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intranetgdi.sharepoint.com/sites/GDIEmpreendimentos/vy/Documentos Compartilhados/17.02 ENTREGA/"/>
    </mc:Choice>
  </mc:AlternateContent>
  <xr:revisionPtr revIDLastSave="14" documentId="8_{C860464E-14A0-4E0B-8BEB-652C06D2029F}" xr6:coauthVersionLast="47" xr6:coauthVersionMax="47" xr10:uidLastSave="{00103F44-C7D8-4B36-9C58-2ACBB4F6FE59}"/>
  <bookViews>
    <workbookView xWindow="-120" yWindow="-120" windowWidth="20640" windowHeight="11160" tabRatio="771" xr2:uid="{00000000-000D-0000-FFFF-FFFF00000000}"/>
  </bookViews>
  <sheets>
    <sheet name="Completo" sheetId="1" r:id="rId1"/>
    <sheet name="Rateio Unidades" sheetId="4" r:id="rId2"/>
  </sheets>
  <externalReferences>
    <externalReference r:id="rId3"/>
  </externalReferences>
  <definedNames>
    <definedName name="_xlnm.Print_Area" localSheetId="0">Completo!$B$2:$B$24</definedName>
    <definedName name="_xlnm.Print_Area" localSheetId="1">'Rateio Unidades'!$V$4:$W$26</definedName>
    <definedName name="Consulta_de_ERPGDI_1" localSheetId="1" hidden="1">'Rateio Unidades'!$B$8:$J$45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4" l="1"/>
  <c r="C8" i="1"/>
  <c r="C13" i="1"/>
  <c r="C10" i="1"/>
  <c r="C6" i="1" s="1"/>
  <c r="C16" i="1" l="1"/>
  <c r="C12" i="1" s="1"/>
  <c r="K45" i="4" l="1"/>
  <c r="K44" i="4"/>
  <c r="K43" i="4"/>
  <c r="K42" i="4"/>
  <c r="E42" i="4"/>
  <c r="K41" i="4"/>
  <c r="C41" i="4"/>
  <c r="C42" i="4" s="1"/>
  <c r="D48" i="4" s="1"/>
  <c r="L15" i="4" s="1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J6" i="4"/>
  <c r="I6" i="4"/>
  <c r="H6" i="4"/>
  <c r="K6" i="4" s="1"/>
  <c r="G6" i="4"/>
  <c r="F6" i="4"/>
  <c r="M4" i="4"/>
  <c r="M15" i="4" l="1"/>
  <c r="L26" i="4"/>
  <c r="L23" i="4"/>
  <c r="L20" i="4"/>
  <c r="L18" i="4"/>
  <c r="L12" i="4"/>
  <c r="L9" i="4"/>
  <c r="L36" i="4"/>
  <c r="L34" i="4"/>
  <c r="L32" i="4"/>
  <c r="L30" i="4"/>
  <c r="L16" i="4"/>
  <c r="L13" i="4"/>
  <c r="L45" i="4"/>
  <c r="L44" i="4"/>
  <c r="M44" i="4" s="1"/>
  <c r="L43" i="4"/>
  <c r="M43" i="4" s="1"/>
  <c r="L40" i="4"/>
  <c r="L27" i="4"/>
  <c r="L24" i="4"/>
  <c r="L21" i="4"/>
  <c r="L10" i="4"/>
  <c r="L33" i="4"/>
  <c r="L25" i="4"/>
  <c r="L39" i="4"/>
  <c r="L37" i="4"/>
  <c r="L38" i="4"/>
  <c r="L29" i="4"/>
  <c r="L19" i="4"/>
  <c r="L17" i="4"/>
  <c r="L14" i="4"/>
  <c r="L41" i="4"/>
  <c r="L35" i="4"/>
  <c r="L31" i="4"/>
  <c r="L22" i="4"/>
  <c r="L11" i="4"/>
  <c r="L42" i="4"/>
  <c r="L28" i="4"/>
  <c r="M25" i="4" l="1"/>
  <c r="M18" i="4"/>
  <c r="M19" i="4"/>
  <c r="M33" i="4"/>
  <c r="M32" i="4"/>
  <c r="M29" i="4"/>
  <c r="N44" i="4"/>
  <c r="O44" i="4"/>
  <c r="P44" i="4"/>
  <c r="M34" i="4"/>
  <c r="M23" i="4"/>
  <c r="M17" i="4"/>
  <c r="M30" i="4"/>
  <c r="M22" i="4"/>
  <c r="N43" i="4"/>
  <c r="O43" i="4"/>
  <c r="P43" i="4"/>
  <c r="M20" i="4"/>
  <c r="M31" i="4"/>
  <c r="M10" i="4"/>
  <c r="M35" i="4"/>
  <c r="M38" i="4"/>
  <c r="M21" i="4"/>
  <c r="M45" i="4"/>
  <c r="M36" i="4"/>
  <c r="M26" i="4"/>
  <c r="M11" i="4"/>
  <c r="M40" i="4"/>
  <c r="M28" i="4"/>
  <c r="M41" i="4"/>
  <c r="M37" i="4"/>
  <c r="M24" i="4"/>
  <c r="M13" i="4"/>
  <c r="M9" i="4"/>
  <c r="P15" i="4"/>
  <c r="O15" i="4"/>
  <c r="N15" i="4"/>
  <c r="M42" i="4"/>
  <c r="M14" i="4"/>
  <c r="M39" i="4"/>
  <c r="M27" i="4"/>
  <c r="M16" i="4"/>
  <c r="M12" i="4"/>
  <c r="P37" i="4" l="1"/>
  <c r="O37" i="4"/>
  <c r="N37" i="4"/>
  <c r="P20" i="4"/>
  <c r="O20" i="4"/>
  <c r="N20" i="4"/>
  <c r="P12" i="4"/>
  <c r="N12" i="4"/>
  <c r="O12" i="4"/>
  <c r="P39" i="4"/>
  <c r="O39" i="4"/>
  <c r="N39" i="4"/>
  <c r="O13" i="4"/>
  <c r="P13" i="4"/>
  <c r="N13" i="4"/>
  <c r="P11" i="4"/>
  <c r="O11" i="4"/>
  <c r="N11" i="4"/>
  <c r="N45" i="4"/>
  <c r="P45" i="4"/>
  <c r="O45" i="4"/>
  <c r="P35" i="4"/>
  <c r="O35" i="4"/>
  <c r="N35" i="4"/>
  <c r="O29" i="4"/>
  <c r="N29" i="4"/>
  <c r="P29" i="4"/>
  <c r="O19" i="4"/>
  <c r="N19" i="4"/>
  <c r="P19" i="4"/>
  <c r="P41" i="4"/>
  <c r="O41" i="4"/>
  <c r="N41" i="4"/>
  <c r="P22" i="4"/>
  <c r="O22" i="4"/>
  <c r="N22" i="4"/>
  <c r="P28" i="4"/>
  <c r="O28" i="4"/>
  <c r="N28" i="4"/>
  <c r="P26" i="4"/>
  <c r="N26" i="4"/>
  <c r="O26" i="4"/>
  <c r="N30" i="4"/>
  <c r="P30" i="4"/>
  <c r="O30" i="4"/>
  <c r="N34" i="4"/>
  <c r="O34" i="4"/>
  <c r="P34" i="4"/>
  <c r="P18" i="4"/>
  <c r="N18" i="4"/>
  <c r="O18" i="4"/>
  <c r="P16" i="4"/>
  <c r="O16" i="4"/>
  <c r="N16" i="4"/>
  <c r="N9" i="4"/>
  <c r="P9" i="4"/>
  <c r="O9" i="4"/>
  <c r="N27" i="4"/>
  <c r="P27" i="4"/>
  <c r="O27" i="4"/>
  <c r="N24" i="4"/>
  <c r="P24" i="4"/>
  <c r="O24" i="4"/>
  <c r="N21" i="4"/>
  <c r="P21" i="4"/>
  <c r="O21" i="4"/>
  <c r="N10" i="4"/>
  <c r="P10" i="4"/>
  <c r="O10" i="4"/>
  <c r="N32" i="4"/>
  <c r="P32" i="4"/>
  <c r="O32" i="4"/>
  <c r="O14" i="4"/>
  <c r="N14" i="4"/>
  <c r="P14" i="4"/>
  <c r="P31" i="4"/>
  <c r="O31" i="4"/>
  <c r="N31" i="4"/>
  <c r="O17" i="4"/>
  <c r="N17" i="4"/>
  <c r="P17" i="4"/>
  <c r="P42" i="4"/>
  <c r="O42" i="4"/>
  <c r="N42" i="4"/>
  <c r="N40" i="4"/>
  <c r="O40" i="4"/>
  <c r="P40" i="4"/>
  <c r="N36" i="4"/>
  <c r="O36" i="4"/>
  <c r="P36" i="4"/>
  <c r="O38" i="4"/>
  <c r="N38" i="4"/>
  <c r="P38" i="4"/>
  <c r="P23" i="4"/>
  <c r="O23" i="4"/>
  <c r="N23" i="4"/>
  <c r="P33" i="4"/>
  <c r="O33" i="4"/>
  <c r="N33" i="4"/>
  <c r="P25" i="4"/>
  <c r="O25" i="4"/>
  <c r="N25" i="4"/>
  <c r="C22" i="1" l="1"/>
  <c r="C23" i="1" s="1"/>
  <c r="Q26" i="4" l="1"/>
  <c r="R26" i="4" s="1"/>
  <c r="Q21" i="4"/>
  <c r="W24" i="4" s="1"/>
  <c r="Q20" i="4"/>
  <c r="W23" i="4" s="1"/>
  <c r="Q45" i="4"/>
  <c r="S45" i="4" s="1"/>
  <c r="Q37" i="4"/>
  <c r="R37" i="4" s="1"/>
  <c r="Q36" i="4"/>
  <c r="R36" i="4" s="1"/>
  <c r="Q28" i="4"/>
  <c r="R28" i="4" s="1"/>
  <c r="Q24" i="4"/>
  <c r="R24" i="4" s="1"/>
  <c r="Q11" i="4"/>
  <c r="W11" i="4" s="1"/>
  <c r="Q14" i="4"/>
  <c r="S14" i="4" s="1"/>
  <c r="Q19" i="4"/>
  <c r="W22" i="4" s="1"/>
  <c r="Q27" i="4"/>
  <c r="R27" i="4" s="1"/>
  <c r="Q16" i="4"/>
  <c r="S16" i="4" s="1"/>
  <c r="Q12" i="4"/>
  <c r="W12" i="4" s="1"/>
  <c r="Q42" i="4"/>
  <c r="S42" i="4" s="1"/>
  <c r="Q18" i="4"/>
  <c r="R18" i="4" s="1"/>
  <c r="Q32" i="4"/>
  <c r="S32" i="4" s="1"/>
  <c r="Q34" i="4"/>
  <c r="R34" i="4" s="1"/>
  <c r="Q23" i="4"/>
  <c r="R23" i="4" s="1"/>
  <c r="Q22" i="4"/>
  <c r="W25" i="4" s="1"/>
  <c r="Q33" i="4"/>
  <c r="R33" i="4" s="1"/>
  <c r="Q17" i="4"/>
  <c r="R17" i="4" s="1"/>
  <c r="Q10" i="4"/>
  <c r="S10" i="4" s="1"/>
  <c r="Q30" i="4"/>
  <c r="R30" i="4" s="1"/>
  <c r="Q35" i="4"/>
  <c r="S35" i="4" s="1"/>
  <c r="Q31" i="4"/>
  <c r="S31" i="4" s="1"/>
  <c r="Q38" i="4"/>
  <c r="R38" i="4" s="1"/>
  <c r="Q41" i="4"/>
  <c r="R41" i="4" s="1"/>
  <c r="Q9" i="4"/>
  <c r="W9" i="4" s="1"/>
  <c r="Q40" i="4"/>
  <c r="S40" i="4" s="1"/>
  <c r="R6" i="4"/>
  <c r="Q39" i="4"/>
  <c r="S39" i="4" s="1"/>
  <c r="Q13" i="4"/>
  <c r="W13" i="4" s="1"/>
  <c r="Q15" i="4"/>
  <c r="R15" i="4" s="1"/>
  <c r="Q29" i="4"/>
  <c r="R29" i="4" s="1"/>
  <c r="Q25" i="4"/>
  <c r="R25" i="4" s="1"/>
  <c r="R31" i="4" l="1"/>
  <c r="W10" i="4"/>
  <c r="S19" i="4"/>
  <c r="R10" i="4"/>
  <c r="S9" i="4"/>
  <c r="R32" i="4"/>
  <c r="R9" i="4"/>
  <c r="R19" i="4"/>
  <c r="S13" i="4"/>
  <c r="R13" i="4"/>
  <c r="R20" i="4"/>
  <c r="S11" i="4"/>
  <c r="R22" i="4"/>
  <c r="R42" i="4"/>
  <c r="S33" i="4"/>
  <c r="R40" i="4"/>
  <c r="S34" i="4"/>
  <c r="S30" i="4"/>
  <c r="S27" i="4"/>
  <c r="S25" i="4"/>
  <c r="S41" i="4"/>
  <c r="R35" i="4"/>
  <c r="S23" i="4"/>
  <c r="W14" i="4"/>
  <c r="W16" i="4"/>
  <c r="W20" i="4"/>
  <c r="S22" i="4"/>
  <c r="S24" i="4"/>
  <c r="R39" i="4"/>
  <c r="S26" i="4"/>
  <c r="R16" i="4"/>
  <c r="W26" i="4"/>
  <c r="R21" i="4"/>
  <c r="S12" i="4"/>
  <c r="W21" i="4"/>
  <c r="S17" i="4"/>
  <c r="R14" i="4"/>
  <c r="W15" i="4"/>
  <c r="S20" i="4"/>
  <c r="S18" i="4"/>
  <c r="Q46" i="4"/>
  <c r="S15" i="4"/>
  <c r="R12" i="4"/>
  <c r="S21" i="4"/>
  <c r="S38" i="4"/>
  <c r="R11" i="4"/>
  <c r="R4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sulta de ERPGDI1" type="1" refreshedVersion="7" savePassword="1" background="1" saveData="1">
    <dbPr connection="DRIVER=SQL Server;SERVER=SERVER;UID=rm;PWD=rm;APP=Microsoft Office 2016;WSID=PLANEJAMENTO;DATABASE=ERPGDI" command="SELECT XITEMVENDA.NUM_SUB_UNID AS 'COTA', FCFO.NOME, Sum(FLAN.VALORORIGINAL) AS 'VALORORIGINAL', Sum(ZFLANCM.CM) AS 'CM', SUM((FLAN.VALORORIGINAL)+(ZFLANCM.CM)) AS 'VALORATUAL', Sum(FLAN.VALORBAIXADO) AS 'VALORBAIXADO', SUM((FLAN.VALORORIGINAL)+(ZFLANCM.CM)-(FLAN.VALORBAIXADO)) AS 'SALDO'_x000d__x000a_FROM ERPGDI.dbo.FCFO FCFO, ERPGDI.dbo.FLAN FLAN, ERPGDI.dbo.XITEMVENDA XITEMVENDA, ERPGDI.dbo.XPARCELAPAGAMENTO XPARCELAPAGAMENTO, ERPGDI.dbo.XVENDA XVENDA, ERPGDI.dbo.ZFLANCM ZFLANCM_x000d__x000a_WHERE FLAN.CODCOLIGADA = FCFO.CODCOLIGADA AND FLAN.CODCFO = FCFO.CODCFO AND XPARCELAPAGAMENTO.CODCOLIGADA = FLAN.CODCOLIGADA AND XPARCELAPAGAMENTO.IDLAN = FLAN.IDLAN AND XVENDA.NUM_VENDA = XPARCELAPAGAMENTO.NUM_VENDA AND XVENDA.CODCFO = FCFO.CODCFO AND XVENDA.CODCOLIGADA = FCFO.CODCOLIGADA AND ZFLANCM.IDLAN = FLAN.IDLAN AND XITEMVENDA.COD_PESS_EMPR = XVENDA.COD_PESS_EMPR AND XITEMVENDA.NUM_VENDA = XPARCELAPAGAMENTO.NUM_VENDA AND XITEMVENDA.NUM_VENDA = XVENDA.NUM_VENDA AND ((XVENDA.COD_SIT_VENDA&lt;=50) AND (XVENDA.CODCOLIGADA=FLAN.CODCOLIGADA) AND (FLAN.PAGREC=1) AND (FLAN.CODFILIAL=?) AND (FLAN.CODAPLICACAO='X'))_x000d__x000a_GROUP BY XITEMVENDA.NUM_SUB_UNID, FCFO.NOME_x000d__x000a_ORDER BY XITEMVENDA.NUM_SUB_UNID"/>
    <parameters count="1">
      <parameter name="Parâmetro1" sqlType="5" parameterType="cell" cell="'https://intranetgdi.sharepoint.com/Users/fabiomarques/Library/Containers/com.microsoft.Excel/Data/Documents/server/GDI/4 - EMPREENDIMENTOS/GDI 17-02 - VEYRON/17.02 PRINCIPAIS CONTROLES/[Fluxo de Caixa-VY.xlsx]Resumo'!$D$4"/>
    </parameters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<sst xmlns="http://schemas.openxmlformats.org/spreadsheetml/2006/main" count="139" uniqueCount="126">
  <si>
    <t>Veyron Empreendimento Imobiliário SPE LTDA</t>
  </si>
  <si>
    <t>Resumo financeiro do empreendimento</t>
  </si>
  <si>
    <t xml:space="preserve">Posição em : </t>
  </si>
  <si>
    <t xml:space="preserve">  CAIXA</t>
  </si>
  <si>
    <t xml:space="preserve">      CONTA CORRENTE </t>
  </si>
  <si>
    <t xml:space="preserve">      APLICAÇÃO</t>
  </si>
  <si>
    <t xml:space="preserve">     COTAS DE CAPITAL</t>
  </si>
  <si>
    <t xml:space="preserve">     VM01 e VM02 </t>
  </si>
  <si>
    <t>DESPESAS</t>
  </si>
  <si>
    <t xml:space="preserve">   RETENÇÃO EMPREEITEIRO </t>
  </si>
  <si>
    <t xml:space="preserve">   Quarta alteração do contrato social  - Registro</t>
  </si>
  <si>
    <t xml:space="preserve">   Distrato Social - Elaboração e Registro</t>
  </si>
  <si>
    <t xml:space="preserve">   Honorários Contabilidade 06-07-08/2025</t>
  </si>
  <si>
    <t xml:space="preserve">   Casas D'água</t>
  </si>
  <si>
    <t xml:space="preserve">   Laudo de Entrega - Eng Daniel </t>
  </si>
  <si>
    <t xml:space="preserve">   Finalização dos itens do laudo - Maurício</t>
  </si>
  <si>
    <t xml:space="preserve">   Material para Finalização</t>
  </si>
  <si>
    <t xml:space="preserve">   Fundo pós obra</t>
  </si>
  <si>
    <t xml:space="preserve">Saldo Final </t>
  </si>
  <si>
    <t xml:space="preserve">Rateio Necessário </t>
  </si>
  <si>
    <t>total Original Corrigido do Empreendimento:</t>
  </si>
  <si>
    <t>Percentual de captação sobre o capital original corrigido:</t>
  </si>
  <si>
    <t>Resumo dos Aportes</t>
  </si>
  <si>
    <t>VALOR</t>
  </si>
  <si>
    <t>Totais</t>
  </si>
  <si>
    <t>Cota</t>
  </si>
  <si>
    <t>Aporte / Unidade</t>
  </si>
  <si>
    <t>COTA</t>
  </si>
  <si>
    <t>Area Privativa</t>
  </si>
  <si>
    <t>NOME</t>
  </si>
  <si>
    <t>Tabela T0</t>
  </si>
  <si>
    <t>VALORORIGINAL</t>
  </si>
  <si>
    <t>CM</t>
  </si>
  <si>
    <t>VALORATUAL</t>
  </si>
  <si>
    <t>VALORBAIXADO</t>
  </si>
  <si>
    <t>SALDO</t>
  </si>
  <si>
    <t>% CM</t>
  </si>
  <si>
    <t>%  area Priv</t>
  </si>
  <si>
    <t>Aporte Adicional</t>
  </si>
  <si>
    <t>% de participação</t>
  </si>
  <si>
    <t>Proposta de Aporte 1</t>
  </si>
  <si>
    <t>Proposta de Aporte 2</t>
  </si>
  <si>
    <t>Aporte / unidade</t>
  </si>
  <si>
    <t>Valor mensal</t>
  </si>
  <si>
    <t>Valor m²</t>
  </si>
  <si>
    <t>PAVIMENTO 1</t>
  </si>
  <si>
    <t>101</t>
  </si>
  <si>
    <t>Karinne Romani</t>
  </si>
  <si>
    <t>Final 01</t>
  </si>
  <si>
    <t>102</t>
  </si>
  <si>
    <t>Gustavo Ribeiro Mauro</t>
  </si>
  <si>
    <t>Final 02</t>
  </si>
  <si>
    <t>103</t>
  </si>
  <si>
    <t>Patrícia Loureiro Abreu Alves Barbosa</t>
  </si>
  <si>
    <t>Final 03</t>
  </si>
  <si>
    <t>104</t>
  </si>
  <si>
    <t>Leonardo Scheinkman</t>
  </si>
  <si>
    <t>Final 04</t>
  </si>
  <si>
    <t>105</t>
  </si>
  <si>
    <t>MSM ADMINISTRADORA DE BENS LTDA</t>
  </si>
  <si>
    <t>Final 05</t>
  </si>
  <si>
    <t>106</t>
  </si>
  <si>
    <t>Patricia Candido Pinto Silva</t>
  </si>
  <si>
    <t>Final 06</t>
  </si>
  <si>
    <t>107</t>
  </si>
  <si>
    <t>Final 07</t>
  </si>
  <si>
    <t>108</t>
  </si>
  <si>
    <t>Renata Pandolfo da Veiga</t>
  </si>
  <si>
    <t>Final 08</t>
  </si>
  <si>
    <t>201</t>
  </si>
  <si>
    <t>Jone Luiz Pasianot</t>
  </si>
  <si>
    <t>202</t>
  </si>
  <si>
    <t>Sandro Denilson Mariotti</t>
  </si>
  <si>
    <t>203</t>
  </si>
  <si>
    <t>Gênesis Agroflorestal e Comercio LTDA</t>
  </si>
  <si>
    <t>PAVIMENTO 2 AO 5</t>
  </si>
  <si>
    <t>204</t>
  </si>
  <si>
    <t>DULCLERCI STERNADT ALEXANDRE</t>
  </si>
  <si>
    <t>205</t>
  </si>
  <si>
    <t>Fabricio Kremer de Souza</t>
  </si>
  <si>
    <t>206</t>
  </si>
  <si>
    <t>207</t>
  </si>
  <si>
    <t>WALL HOLDING E PARTICIPAÇÕES LTDA</t>
  </si>
  <si>
    <t>301</t>
  </si>
  <si>
    <t xml:space="preserve">Cleiton Mendonça </t>
  </si>
  <si>
    <t>302</t>
  </si>
  <si>
    <t>MDA Corretagem na Compra, Venda e Avaliação de imóveis LTDA</t>
  </si>
  <si>
    <t>303</t>
  </si>
  <si>
    <t>Paulo Sergio Joaquim</t>
  </si>
  <si>
    <t>304</t>
  </si>
  <si>
    <t>Marcio Zapelini Orofino</t>
  </si>
  <si>
    <t>305</t>
  </si>
  <si>
    <t>Rosangela Machado Parrella</t>
  </si>
  <si>
    <t>306</t>
  </si>
  <si>
    <t>307</t>
  </si>
  <si>
    <t>Ruy Cesar Ramos Filho</t>
  </si>
  <si>
    <t>401</t>
  </si>
  <si>
    <t>Fabricio Juvêncio</t>
  </si>
  <si>
    <t>402</t>
  </si>
  <si>
    <t>Luiz Gonzaga Cordioli</t>
  </si>
  <si>
    <t>403</t>
  </si>
  <si>
    <t>Gustavo Szpoganicz Damasceno</t>
  </si>
  <si>
    <t>404</t>
  </si>
  <si>
    <t>Gelasio Gomes</t>
  </si>
  <si>
    <t>405</t>
  </si>
  <si>
    <t xml:space="preserve">Paulo Roberto Fagundes de Freitas Junior </t>
  </si>
  <si>
    <t>406</t>
  </si>
  <si>
    <t>Maria Lita Francisco de Oliveira</t>
  </si>
  <si>
    <t>407</t>
  </si>
  <si>
    <t>501</t>
  </si>
  <si>
    <t>Luiz Fernando Palin Droubi</t>
  </si>
  <si>
    <t>502</t>
  </si>
  <si>
    <t>JULIO NASCIMENTO PIRES</t>
  </si>
  <si>
    <t>503</t>
  </si>
  <si>
    <t>Leonardo de Lucca Schiavon</t>
  </si>
  <si>
    <t>504</t>
  </si>
  <si>
    <t xml:space="preserve">GA IMOVEIS LTDA </t>
  </si>
  <si>
    <t>504B</t>
  </si>
  <si>
    <t>SERAFIN E VARGAS ADMINISTRADORA DE BENS LTDA</t>
  </si>
  <si>
    <t>505</t>
  </si>
  <si>
    <t>506</t>
  </si>
  <si>
    <t>507</t>
  </si>
  <si>
    <t>Fernando Simoni Espindola</t>
  </si>
  <si>
    <t>Area Privativa dos Investidores</t>
  </si>
  <si>
    <t>Area Privativa dos Permutantes</t>
  </si>
  <si>
    <t>Valor do Aporte aprovado em assembleia dia 31/07/2025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</si>
</sst>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dd/mm/yy;@"/>
    <numFmt numFmtId="165" formatCode="#,##0.00_ ;[Red]\-#,##0.00\ "/>
    <numFmt numFmtId="166" formatCode="0.0%"/>
    <numFmt numFmtId="167" formatCode="_-&quot;R$&quot;* #,##0.0000_-;\-&quot;R$&quot;* #,##0.0000_-;_-&quot;R$&quot;* &quot;-&quot;??_-;_-@_-"/>
    <numFmt numFmtId="168" formatCode="_-&quot;R$&quot;* #,##0.00_-;\-&quot;R$&quot;* #,##0.00_-;_-&quot;R$&quot;* &quot;-&quot;??_-;_-@_-"/>
    <numFmt numFmtId="169" formatCode="_-* #,##0_-;\-* #,##0_-;_-* &quot;-&quot;??_-;_-@_-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6"/>
      <color rgb="FF000000"/>
      <name val="Calibri"/>
      <family val="2"/>
    </font>
    <font>
      <sz val="11"/>
      <color rgb="FF003366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theme="8"/>
      <name val="Calibri"/>
      <family val="2"/>
    </font>
    <font>
      <sz val="12"/>
      <color theme="1"/>
      <name val="Calibri"/>
      <family val="2"/>
    </font>
    <font>
      <sz val="12"/>
      <color theme="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3" tint="0.74999237037263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rgb="FF000000"/>
      </patternFill>
    </fill>
  </fills>
  <borders count="60">
    <border>
      <left/>
      <right/>
      <top/>
      <bottom/>
      <diagonal/>
    </border>
    <border>
      <left/>
      <right/>
      <top/>
      <bottom style="medium">
        <color rgb="FF2F75B5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4E78"/>
      </left>
      <right style="hair">
        <color rgb="FF1F4E78"/>
      </right>
      <top style="thin">
        <color rgb="FF1F4E78"/>
      </top>
      <bottom style="thin">
        <color rgb="FF1F4E78"/>
      </bottom>
      <diagonal/>
    </border>
    <border>
      <left/>
      <right style="hair">
        <color rgb="FF1F4E78"/>
      </right>
      <top style="thin">
        <color rgb="FF1F4E78"/>
      </top>
      <bottom style="thin">
        <color rgb="FF1F4E78"/>
      </bottom>
      <diagonal/>
    </border>
    <border>
      <left style="hair">
        <color rgb="FF1F4E78"/>
      </left>
      <right/>
      <top style="thin">
        <color rgb="FF1F4E78"/>
      </top>
      <bottom style="thin">
        <color rgb="FF1F4E78"/>
      </bottom>
      <diagonal/>
    </border>
    <border>
      <left/>
      <right/>
      <top style="thin">
        <color rgb="FF1F4E78"/>
      </top>
      <bottom style="thin">
        <color rgb="FF1F4E78"/>
      </bottom>
      <diagonal/>
    </border>
    <border>
      <left/>
      <right/>
      <top/>
      <bottom style="thin">
        <color rgb="FF1F4E78"/>
      </bottom>
      <diagonal/>
    </border>
    <border>
      <left/>
      <right style="hair">
        <color rgb="FF1F4E78"/>
      </right>
      <top/>
      <bottom style="thin">
        <color rgb="FF1F4E78"/>
      </bottom>
      <diagonal/>
    </border>
    <border>
      <left style="hair">
        <color rgb="FF1F4E78"/>
      </left>
      <right style="medium">
        <color auto="1"/>
      </right>
      <top/>
      <bottom style="thin">
        <color rgb="FF1F4E78"/>
      </bottom>
      <diagonal/>
    </border>
    <border>
      <left/>
      <right/>
      <top/>
      <bottom style="thin">
        <color theme="0" tint="-0.34998626667073579"/>
      </bottom>
      <diagonal/>
    </border>
    <border>
      <left style="hair">
        <color rgb="FF1F4E78"/>
      </left>
      <right style="medium">
        <color auto="1"/>
      </right>
      <top style="thin">
        <color rgb="FF1F4E78"/>
      </top>
      <bottom style="thin">
        <color rgb="FF1F4E78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1F4E78"/>
      </left>
      <right style="hair">
        <color rgb="FF1F4E78"/>
      </right>
      <top style="thin">
        <color rgb="FF1F4E78"/>
      </top>
      <bottom/>
      <diagonal/>
    </border>
    <border>
      <left/>
      <right style="hair">
        <color rgb="FF1F4E78"/>
      </right>
      <top style="thin">
        <color rgb="FF1F4E78"/>
      </top>
      <bottom/>
      <diagonal/>
    </border>
    <border>
      <left style="hair">
        <color rgb="FF1F4E78"/>
      </left>
      <right/>
      <top style="thin">
        <color rgb="FF1F4E78"/>
      </top>
      <bottom/>
      <diagonal/>
    </border>
    <border>
      <left/>
      <right/>
      <top style="thin">
        <color rgb="FF1F4E78"/>
      </top>
      <bottom/>
      <diagonal/>
    </border>
    <border>
      <left/>
      <right style="hair">
        <color rgb="FF1F4E78"/>
      </right>
      <top/>
      <bottom/>
      <diagonal/>
    </border>
    <border>
      <left style="hair">
        <color rgb="FF1F4E78"/>
      </left>
      <right style="medium">
        <color auto="1"/>
      </right>
      <top style="thin">
        <color rgb="FF1F4E78"/>
      </top>
      <bottom/>
      <diagonal/>
    </border>
    <border>
      <left style="medium">
        <color indexed="64"/>
      </left>
      <right style="hair">
        <color rgb="FF1F4E78"/>
      </right>
      <top style="medium">
        <color indexed="64"/>
      </top>
      <bottom style="thin">
        <color rgb="FF1F4E78"/>
      </bottom>
      <diagonal/>
    </border>
    <border>
      <left/>
      <right style="hair">
        <color rgb="FF1F4E78"/>
      </right>
      <top style="medium">
        <color auto="1"/>
      </top>
      <bottom style="thin">
        <color rgb="FF1F4E78"/>
      </bottom>
      <diagonal/>
    </border>
    <border>
      <left style="hair">
        <color rgb="FF1F4E78"/>
      </left>
      <right/>
      <top style="medium">
        <color indexed="64"/>
      </top>
      <bottom style="thin">
        <color rgb="FF1F4E78"/>
      </bottom>
      <diagonal/>
    </border>
    <border>
      <left/>
      <right/>
      <top style="medium">
        <color indexed="64"/>
      </top>
      <bottom style="thin">
        <color rgb="FF1F4E78"/>
      </bottom>
      <diagonal/>
    </border>
    <border>
      <left style="hair">
        <color rgb="FF1F4E78"/>
      </left>
      <right style="medium">
        <color auto="1"/>
      </right>
      <top style="medium">
        <color indexed="64"/>
      </top>
      <bottom style="thin">
        <color rgb="FF1F4E78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hair">
        <color rgb="FF1F4E78"/>
      </right>
      <top style="thin">
        <color rgb="FF1F4E78"/>
      </top>
      <bottom style="thin">
        <color rgb="FF1F4E78"/>
      </bottom>
      <diagonal/>
    </border>
    <border>
      <left style="medium">
        <color indexed="64"/>
      </left>
      <right style="hair">
        <color rgb="FF1F4E78"/>
      </right>
      <top style="thin">
        <color rgb="FF1F4E78"/>
      </top>
      <bottom style="medium">
        <color indexed="64"/>
      </bottom>
      <diagonal/>
    </border>
    <border>
      <left/>
      <right style="hair">
        <color rgb="FF1F4E78"/>
      </right>
      <top style="thin">
        <color rgb="FF1F4E78"/>
      </top>
      <bottom style="medium">
        <color auto="1"/>
      </bottom>
      <diagonal/>
    </border>
    <border>
      <left style="hair">
        <color rgb="FF1F4E78"/>
      </left>
      <right/>
      <top style="thin">
        <color rgb="FF1F4E78"/>
      </top>
      <bottom style="medium">
        <color auto="1"/>
      </bottom>
      <diagonal/>
    </border>
    <border>
      <left/>
      <right/>
      <top style="thin">
        <color rgb="FF1F4E78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hair">
        <color rgb="FF1F4E78"/>
      </right>
      <top/>
      <bottom style="medium">
        <color auto="1"/>
      </bottom>
      <diagonal/>
    </border>
    <border>
      <left style="hair">
        <color rgb="FF1F4E78"/>
      </left>
      <right style="medium">
        <color auto="1"/>
      </right>
      <top style="thin">
        <color rgb="FF1F4E78"/>
      </top>
      <bottom style="medium">
        <color auto="1"/>
      </bottom>
      <diagonal/>
    </border>
    <border>
      <left style="thin">
        <color rgb="FF1F4E78"/>
      </left>
      <right style="hair">
        <color rgb="FF1F4E78"/>
      </right>
      <top style="medium">
        <color indexed="64"/>
      </top>
      <bottom style="thin">
        <color rgb="FF1F4E78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rgb="FF1F4E78"/>
      </left>
      <right style="hair">
        <color rgb="FF1F4E78"/>
      </right>
      <top style="thin">
        <color rgb="FF1F4E78"/>
      </top>
      <bottom style="medium">
        <color rgb="FF1F4E78"/>
      </bottom>
      <diagonal/>
    </border>
    <border>
      <left style="hair">
        <color rgb="FF1F4E78"/>
      </left>
      <right/>
      <top style="thin">
        <color rgb="FF1F4E78"/>
      </top>
      <bottom style="medium">
        <color rgb="FF1F4E78"/>
      </bottom>
      <diagonal/>
    </border>
    <border>
      <left/>
      <right/>
      <top style="thin">
        <color rgb="FF1F4E78"/>
      </top>
      <bottom style="medium">
        <color rgb="FF1F4E78"/>
      </bottom>
      <diagonal/>
    </border>
    <border>
      <left/>
      <right/>
      <top/>
      <bottom style="medium">
        <color rgb="FF1F4E78"/>
      </bottom>
      <diagonal/>
    </border>
    <border>
      <left/>
      <right style="hair">
        <color rgb="FF1F4E78"/>
      </right>
      <top/>
      <bottom style="medium">
        <color rgb="FF1F4E78"/>
      </bottom>
      <diagonal/>
    </border>
    <border>
      <left style="hair">
        <color rgb="FF1F4E78"/>
      </left>
      <right style="medium">
        <color auto="1"/>
      </right>
      <top style="thin">
        <color rgb="FF1F4E78"/>
      </top>
      <bottom style="medium">
        <color rgb="FF1F4E78"/>
      </bottom>
      <diagonal/>
    </border>
    <border>
      <left style="thin">
        <color rgb="FF1F4E78"/>
      </left>
      <right style="hair">
        <color rgb="FF1F4E78"/>
      </right>
      <top/>
      <bottom style="thin">
        <color rgb="FF1F4E78"/>
      </bottom>
      <diagonal/>
    </border>
    <border>
      <left style="hair">
        <color rgb="FF1F4E78"/>
      </left>
      <right/>
      <top/>
      <bottom style="thin">
        <color rgb="FF1F4E78"/>
      </bottom>
      <diagonal/>
    </border>
    <border>
      <left style="thin">
        <color rgb="FF1F4E78"/>
      </left>
      <right style="hair">
        <color rgb="FF1F4E78"/>
      </right>
      <top style="medium">
        <color rgb="FF1F4E78"/>
      </top>
      <bottom style="thin">
        <color rgb="FF1F4E78"/>
      </bottom>
      <diagonal/>
    </border>
    <border>
      <left style="hair">
        <color rgb="FF1F4E78"/>
      </left>
      <right/>
      <top style="medium">
        <color rgb="FF1F4E78"/>
      </top>
      <bottom style="thin">
        <color rgb="FF1F4E78"/>
      </bottom>
      <diagonal/>
    </border>
    <border>
      <left/>
      <right/>
      <top style="medium">
        <color rgb="FF1F4E78"/>
      </top>
      <bottom style="thin">
        <color rgb="FF1F4E78"/>
      </bottom>
      <diagonal/>
    </border>
    <border>
      <left/>
      <right style="hair">
        <color rgb="FF1F4E78"/>
      </right>
      <top style="medium">
        <color rgb="FF1F4E78"/>
      </top>
      <bottom style="thin">
        <color rgb="FF1F4E78"/>
      </bottom>
      <diagonal/>
    </border>
    <border>
      <left style="hair">
        <color rgb="FF1F4E78"/>
      </left>
      <right style="medium">
        <color auto="1"/>
      </right>
      <top style="medium">
        <color rgb="FF1F4E78"/>
      </top>
      <bottom style="thin">
        <color rgb="FF1F4E78"/>
      </bottom>
      <diagonal/>
    </border>
    <border>
      <left/>
      <right/>
      <top style="medium">
        <color rgb="FF1F4E78"/>
      </top>
      <bottom/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rgb="FF1F4E78"/>
      </bottom>
      <diagonal/>
    </border>
    <border>
      <left style="thin">
        <color rgb="FF1F4E78"/>
      </left>
      <right style="hair">
        <color rgb="FF1F4E78"/>
      </right>
      <top/>
      <bottom/>
      <diagonal/>
    </border>
    <border>
      <left style="hair">
        <color rgb="FF1F4E78"/>
      </left>
      <right/>
      <top/>
      <bottom/>
      <diagonal/>
    </border>
    <border>
      <left style="hair">
        <color rgb="FF1F4E78"/>
      </left>
      <right style="hair">
        <color rgb="FF1F4E78"/>
      </right>
      <top/>
      <bottom/>
      <diagonal/>
    </border>
    <border>
      <left style="hair">
        <color rgb="FF1F4E78"/>
      </left>
      <right style="medium">
        <color auto="1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0" fillId="2" borderId="0" xfId="0" applyFill="1"/>
    <xf numFmtId="43" fontId="0" fillId="2" borderId="0" xfId="1" applyFont="1" applyFill="1"/>
    <xf numFmtId="43" fontId="2" fillId="5" borderId="0" xfId="1" applyFont="1" applyFill="1"/>
    <xf numFmtId="0" fontId="3" fillId="6" borderId="0" xfId="0" applyFont="1" applyFill="1" applyAlignment="1">
      <alignment horizontal="left" indent="2"/>
    </xf>
    <xf numFmtId="4" fontId="3" fillId="6" borderId="0" xfId="0" applyNumberFormat="1" applyFont="1" applyFill="1" applyAlignment="1">
      <alignment horizontal="right" indent="2"/>
    </xf>
    <xf numFmtId="0" fontId="3" fillId="6" borderId="0" xfId="0" applyFont="1" applyFill="1" applyAlignment="1">
      <alignment horizontal="left" indent="1"/>
    </xf>
    <xf numFmtId="4" fontId="3" fillId="6" borderId="0" xfId="0" applyNumberFormat="1" applyFont="1" applyFill="1" applyAlignment="1">
      <alignment horizontal="right" indent="1"/>
    </xf>
    <xf numFmtId="4" fontId="3" fillId="6" borderId="0" xfId="1" applyNumberFormat="1" applyFont="1" applyFill="1" applyBorder="1" applyAlignment="1">
      <alignment horizontal="right" indent="2"/>
    </xf>
    <xf numFmtId="9" fontId="4" fillId="6" borderId="0" xfId="4" applyFont="1" applyFill="1" applyBorder="1" applyAlignment="1">
      <alignment horizontal="right" indent="2"/>
    </xf>
    <xf numFmtId="43" fontId="4" fillId="6" borderId="0" xfId="1" applyFont="1" applyFill="1" applyBorder="1"/>
    <xf numFmtId="0" fontId="3" fillId="6" borderId="0" xfId="0" applyFont="1" applyFill="1"/>
    <xf numFmtId="164" fontId="3" fillId="6" borderId="0" xfId="0" applyNumberFormat="1" applyFont="1" applyFill="1" applyAlignment="1">
      <alignment horizontal="left" indent="2"/>
    </xf>
    <xf numFmtId="0" fontId="3" fillId="6" borderId="1" xfId="0" applyFont="1" applyFill="1" applyBorder="1" applyAlignment="1">
      <alignment horizontal="left" indent="1"/>
    </xf>
    <xf numFmtId="164" fontId="3" fillId="6" borderId="0" xfId="0" applyNumberFormat="1" applyFont="1" applyFill="1" applyAlignment="1">
      <alignment horizontal="left" indent="1"/>
    </xf>
    <xf numFmtId="4" fontId="4" fillId="6" borderId="0" xfId="1" applyNumberFormat="1" applyFont="1" applyFill="1" applyBorder="1" applyAlignment="1">
      <alignment horizontal="right" indent="2"/>
    </xf>
    <xf numFmtId="10" fontId="3" fillId="6" borderId="1" xfId="4" applyNumberFormat="1" applyFont="1" applyFill="1" applyBorder="1" applyAlignment="1">
      <alignment horizontal="right" indent="3"/>
    </xf>
    <xf numFmtId="4" fontId="3" fillId="6" borderId="1" xfId="1" applyNumberFormat="1" applyFont="1" applyFill="1" applyBorder="1" applyAlignment="1">
      <alignment horizontal="right" indent="2"/>
    </xf>
    <xf numFmtId="0" fontId="5" fillId="6" borderId="0" xfId="0" applyFont="1" applyFill="1"/>
    <xf numFmtId="165" fontId="6" fillId="6" borderId="0" xfId="1" applyNumberFormat="1" applyFont="1" applyFill="1" applyBorder="1"/>
    <xf numFmtId="4" fontId="3" fillId="6" borderId="1" xfId="1" applyNumberFormat="1" applyFont="1" applyFill="1" applyBorder="1" applyAlignment="1">
      <alignment horizontal="right" indent="1"/>
    </xf>
    <xf numFmtId="10" fontId="3" fillId="6" borderId="1" xfId="4" applyNumberFormat="1" applyFont="1" applyFill="1" applyBorder="1" applyAlignment="1">
      <alignment horizontal="right" indent="2"/>
    </xf>
    <xf numFmtId="43" fontId="7" fillId="6" borderId="0" xfId="1" applyFont="1" applyFill="1" applyBorder="1" applyAlignment="1">
      <alignment horizontal="right"/>
    </xf>
    <xf numFmtId="164" fontId="7" fillId="6" borderId="0" xfId="0" applyNumberFormat="1" applyFont="1" applyFill="1" applyAlignment="1">
      <alignment horizontal="center"/>
    </xf>
    <xf numFmtId="4" fontId="5" fillId="6" borderId="0" xfId="0" applyNumberFormat="1" applyFont="1" applyFill="1" applyAlignment="1">
      <alignment horizontal="right" indent="2"/>
    </xf>
    <xf numFmtId="4" fontId="5" fillId="6" borderId="0" xfId="1" applyNumberFormat="1" applyFont="1" applyFill="1" applyBorder="1" applyAlignment="1">
      <alignment horizontal="right" indent="2"/>
    </xf>
    <xf numFmtId="9" fontId="5" fillId="6" borderId="0" xfId="4" applyFont="1" applyFill="1" applyBorder="1" applyAlignment="1">
      <alignment horizontal="right" indent="2"/>
    </xf>
    <xf numFmtId="43" fontId="8" fillId="7" borderId="2" xfId="0" applyNumberFormat="1" applyFont="1" applyFill="1" applyBorder="1" applyAlignment="1">
      <alignment horizontal="left" indent="2"/>
    </xf>
    <xf numFmtId="4" fontId="8" fillId="7" borderId="2" xfId="0" applyNumberFormat="1" applyFont="1" applyFill="1" applyBorder="1" applyAlignment="1">
      <alignment horizontal="right" wrapText="1" indent="2"/>
    </xf>
    <xf numFmtId="43" fontId="9" fillId="7" borderId="3" xfId="0" applyNumberFormat="1" applyFont="1" applyFill="1" applyBorder="1" applyAlignment="1">
      <alignment horizontal="left" indent="1"/>
    </xf>
    <xf numFmtId="43" fontId="8" fillId="7" borderId="0" xfId="0" applyNumberFormat="1" applyFont="1" applyFill="1" applyAlignment="1">
      <alignment horizontal="left" indent="1"/>
    </xf>
    <xf numFmtId="4" fontId="8" fillId="7" borderId="0" xfId="0" applyNumberFormat="1" applyFont="1" applyFill="1" applyAlignment="1">
      <alignment horizontal="right" indent="2"/>
    </xf>
    <xf numFmtId="4" fontId="8" fillId="7" borderId="0" xfId="1" applyNumberFormat="1" applyFont="1" applyFill="1" applyBorder="1" applyAlignment="1">
      <alignment horizontal="right" indent="2"/>
    </xf>
    <xf numFmtId="43" fontId="8" fillId="7" borderId="4" xfId="4" applyNumberFormat="1" applyFont="1" applyFill="1" applyBorder="1" applyAlignment="1">
      <alignment horizontal="right" indent="2"/>
    </xf>
    <xf numFmtId="43" fontId="8" fillId="7" borderId="5" xfId="4" applyNumberFormat="1" applyFont="1" applyFill="1" applyBorder="1" applyAlignment="1">
      <alignment horizontal="right" wrapText="1" indent="2"/>
    </xf>
    <xf numFmtId="43" fontId="8" fillId="7" borderId="6" xfId="4" applyNumberFormat="1" applyFont="1" applyFill="1" applyBorder="1" applyAlignment="1">
      <alignment horizontal="right" indent="2"/>
    </xf>
    <xf numFmtId="43" fontId="8" fillId="7" borderId="7" xfId="0" applyNumberFormat="1" applyFont="1" applyFill="1" applyBorder="1"/>
    <xf numFmtId="43" fontId="8" fillId="7" borderId="8" xfId="4" applyNumberFormat="1" applyFont="1" applyFill="1" applyBorder="1" applyAlignment="1">
      <alignment horizontal="right" wrapText="1" indent="3"/>
    </xf>
    <xf numFmtId="43" fontId="8" fillId="7" borderId="8" xfId="0" applyNumberFormat="1" applyFont="1" applyFill="1" applyBorder="1"/>
    <xf numFmtId="43" fontId="3" fillId="6" borderId="0" xfId="1" applyFont="1" applyFill="1"/>
    <xf numFmtId="0" fontId="10" fillId="6" borderId="9" xfId="0" applyFont="1" applyFill="1" applyBorder="1" applyAlignment="1">
      <alignment horizontal="left" indent="2"/>
    </xf>
    <xf numFmtId="4" fontId="10" fillId="6" borderId="10" xfId="0" applyNumberFormat="1" applyFont="1" applyFill="1" applyBorder="1" applyAlignment="1">
      <alignment horizontal="right" indent="2"/>
    </xf>
    <xf numFmtId="0" fontId="11" fillId="6" borderId="11" xfId="0" applyFont="1" applyFill="1" applyBorder="1" applyAlignment="1">
      <alignment horizontal="left" indent="1"/>
    </xf>
    <xf numFmtId="43" fontId="10" fillId="6" borderId="12" xfId="0" applyNumberFormat="1" applyFont="1" applyFill="1" applyBorder="1" applyAlignment="1">
      <alignment horizontal="left" indent="1"/>
    </xf>
    <xf numFmtId="4" fontId="10" fillId="6" borderId="12" xfId="0" applyNumberFormat="1" applyFont="1" applyFill="1" applyBorder="1" applyAlignment="1">
      <alignment horizontal="right" indent="1"/>
    </xf>
    <xf numFmtId="4" fontId="10" fillId="6" borderId="12" xfId="0" applyNumberFormat="1" applyFont="1" applyFill="1" applyBorder="1" applyAlignment="1">
      <alignment horizontal="right" indent="2"/>
    </xf>
    <xf numFmtId="4" fontId="12" fillId="6" borderId="12" xfId="1" applyNumberFormat="1" applyFont="1" applyFill="1" applyBorder="1" applyAlignment="1">
      <alignment horizontal="right" indent="2"/>
    </xf>
    <xf numFmtId="166" fontId="10" fillId="6" borderId="13" xfId="4" applyNumberFormat="1" applyFont="1" applyFill="1" applyBorder="1" applyAlignment="1">
      <alignment horizontal="right" indent="2"/>
    </xf>
    <xf numFmtId="166" fontId="10" fillId="6" borderId="14" xfId="4" applyNumberFormat="1" applyFont="1" applyFill="1" applyBorder="1" applyAlignment="1">
      <alignment horizontal="right" indent="2"/>
    </xf>
    <xf numFmtId="4" fontId="12" fillId="6" borderId="15" xfId="1" applyNumberFormat="1" applyFont="1" applyFill="1" applyBorder="1" applyAlignment="1">
      <alignment horizontal="right" indent="2"/>
    </xf>
    <xf numFmtId="10" fontId="3" fillId="6" borderId="0" xfId="4" applyNumberFormat="1" applyFont="1" applyFill="1"/>
    <xf numFmtId="167" fontId="3" fillId="6" borderId="0" xfId="0" applyNumberFormat="1" applyFont="1" applyFill="1"/>
    <xf numFmtId="4" fontId="12" fillId="6" borderId="17" xfId="1" applyNumberFormat="1" applyFont="1" applyFill="1" applyBorder="1" applyAlignment="1">
      <alignment horizontal="right" indent="2"/>
    </xf>
    <xf numFmtId="0" fontId="10" fillId="6" borderId="19" xfId="0" applyFont="1" applyFill="1" applyBorder="1" applyAlignment="1">
      <alignment horizontal="left" indent="2"/>
    </xf>
    <xf numFmtId="4" fontId="10" fillId="6" borderId="20" xfId="0" applyNumberFormat="1" applyFont="1" applyFill="1" applyBorder="1" applyAlignment="1">
      <alignment horizontal="right" indent="2"/>
    </xf>
    <xf numFmtId="0" fontId="11" fillId="6" borderId="21" xfId="0" applyFont="1" applyFill="1" applyBorder="1" applyAlignment="1">
      <alignment horizontal="left" indent="1"/>
    </xf>
    <xf numFmtId="43" fontId="10" fillId="6" borderId="22" xfId="0" applyNumberFormat="1" applyFont="1" applyFill="1" applyBorder="1" applyAlignment="1">
      <alignment horizontal="left" indent="1"/>
    </xf>
    <xf numFmtId="4" fontId="10" fillId="6" borderId="22" xfId="0" applyNumberFormat="1" applyFont="1" applyFill="1" applyBorder="1" applyAlignment="1">
      <alignment horizontal="right" indent="1"/>
    </xf>
    <xf numFmtId="4" fontId="10" fillId="6" borderId="22" xfId="0" applyNumberFormat="1" applyFont="1" applyFill="1" applyBorder="1" applyAlignment="1">
      <alignment horizontal="right" indent="2"/>
    </xf>
    <xf numFmtId="4" fontId="12" fillId="6" borderId="22" xfId="1" applyNumberFormat="1" applyFont="1" applyFill="1" applyBorder="1" applyAlignment="1">
      <alignment horizontal="right" indent="2"/>
    </xf>
    <xf numFmtId="166" fontId="10" fillId="6" borderId="0" xfId="4" applyNumberFormat="1" applyFont="1" applyFill="1" applyBorder="1" applyAlignment="1">
      <alignment horizontal="right" indent="2"/>
    </xf>
    <xf numFmtId="166" fontId="10" fillId="6" borderId="23" xfId="4" applyNumberFormat="1" applyFont="1" applyFill="1" applyBorder="1" applyAlignment="1">
      <alignment horizontal="right" indent="2"/>
    </xf>
    <xf numFmtId="4" fontId="12" fillId="6" borderId="24" xfId="1" applyNumberFormat="1" applyFont="1" applyFill="1" applyBorder="1" applyAlignment="1">
      <alignment horizontal="right" indent="2"/>
    </xf>
    <xf numFmtId="0" fontId="10" fillId="6" borderId="25" xfId="0" applyFont="1" applyFill="1" applyBorder="1" applyAlignment="1">
      <alignment horizontal="left" indent="2"/>
    </xf>
    <xf numFmtId="4" fontId="10" fillId="6" borderId="26" xfId="0" applyNumberFormat="1" applyFont="1" applyFill="1" applyBorder="1" applyAlignment="1">
      <alignment horizontal="right" indent="2"/>
    </xf>
    <xf numFmtId="0" fontId="11" fillId="6" borderId="27" xfId="0" applyFont="1" applyFill="1" applyBorder="1" applyAlignment="1">
      <alignment horizontal="left" indent="1"/>
    </xf>
    <xf numFmtId="43" fontId="10" fillId="6" borderId="28" xfId="0" applyNumberFormat="1" applyFont="1" applyFill="1" applyBorder="1" applyAlignment="1">
      <alignment horizontal="left" indent="1"/>
    </xf>
    <xf numFmtId="4" fontId="10" fillId="6" borderId="28" xfId="0" applyNumberFormat="1" applyFont="1" applyFill="1" applyBorder="1" applyAlignment="1">
      <alignment horizontal="right" indent="1"/>
    </xf>
    <xf numFmtId="4" fontId="10" fillId="6" borderId="28" xfId="0" applyNumberFormat="1" applyFont="1" applyFill="1" applyBorder="1" applyAlignment="1">
      <alignment horizontal="right" indent="2"/>
    </xf>
    <xf numFmtId="4" fontId="10" fillId="6" borderId="28" xfId="1" applyNumberFormat="1" applyFont="1" applyFill="1" applyBorder="1" applyAlignment="1">
      <alignment horizontal="right" indent="2"/>
    </xf>
    <xf numFmtId="166" fontId="10" fillId="6" borderId="28" xfId="4" applyNumberFormat="1" applyFont="1" applyFill="1" applyBorder="1" applyAlignment="1">
      <alignment horizontal="right" indent="2"/>
    </xf>
    <xf numFmtId="166" fontId="10" fillId="6" borderId="26" xfId="4" applyNumberFormat="1" applyFont="1" applyFill="1" applyBorder="1" applyAlignment="1">
      <alignment horizontal="right" indent="2"/>
    </xf>
    <xf numFmtId="4" fontId="12" fillId="6" borderId="29" xfId="1" applyNumberFormat="1" applyFont="1" applyFill="1" applyBorder="1" applyAlignment="1">
      <alignment horizontal="right" indent="2"/>
    </xf>
    <xf numFmtId="10" fontId="3" fillId="6" borderId="30" xfId="4" applyNumberFormat="1" applyFont="1" applyFill="1" applyBorder="1"/>
    <xf numFmtId="0" fontId="10" fillId="6" borderId="31" xfId="0" applyFont="1" applyFill="1" applyBorder="1" applyAlignment="1">
      <alignment horizontal="left" indent="2"/>
    </xf>
    <xf numFmtId="4" fontId="10" fillId="6" borderId="12" xfId="1" applyNumberFormat="1" applyFont="1" applyFill="1" applyBorder="1" applyAlignment="1">
      <alignment horizontal="right" indent="2"/>
    </xf>
    <xf numFmtId="10" fontId="3" fillId="6" borderId="0" xfId="4" applyNumberFormat="1" applyFont="1" applyFill="1" applyBorder="1"/>
    <xf numFmtId="0" fontId="10" fillId="6" borderId="32" xfId="0" applyFont="1" applyFill="1" applyBorder="1" applyAlignment="1">
      <alignment horizontal="left" indent="2"/>
    </xf>
    <xf numFmtId="4" fontId="10" fillId="6" borderId="33" xfId="0" applyNumberFormat="1" applyFont="1" applyFill="1" applyBorder="1" applyAlignment="1">
      <alignment horizontal="right" indent="2"/>
    </xf>
    <xf numFmtId="0" fontId="11" fillId="6" borderId="34" xfId="0" applyFont="1" applyFill="1" applyBorder="1" applyAlignment="1">
      <alignment horizontal="left" indent="1"/>
    </xf>
    <xf numFmtId="43" fontId="10" fillId="6" borderId="35" xfId="0" applyNumberFormat="1" applyFont="1" applyFill="1" applyBorder="1" applyAlignment="1">
      <alignment horizontal="left" indent="1"/>
    </xf>
    <xf numFmtId="4" fontId="10" fillId="6" borderId="35" xfId="0" applyNumberFormat="1" applyFont="1" applyFill="1" applyBorder="1" applyAlignment="1">
      <alignment horizontal="right" indent="1"/>
    </xf>
    <xf numFmtId="4" fontId="10" fillId="6" borderId="35" xfId="1" applyNumberFormat="1" applyFont="1" applyFill="1" applyBorder="1" applyAlignment="1">
      <alignment horizontal="right" indent="2"/>
    </xf>
    <xf numFmtId="166" fontId="10" fillId="6" borderId="36" xfId="4" applyNumberFormat="1" applyFont="1" applyFill="1" applyBorder="1" applyAlignment="1">
      <alignment horizontal="right" indent="2"/>
    </xf>
    <xf numFmtId="166" fontId="10" fillId="6" borderId="37" xfId="4" applyNumberFormat="1" applyFont="1" applyFill="1" applyBorder="1" applyAlignment="1">
      <alignment horizontal="right" indent="2"/>
    </xf>
    <xf numFmtId="4" fontId="12" fillId="6" borderId="38" xfId="1" applyNumberFormat="1" applyFont="1" applyFill="1" applyBorder="1" applyAlignment="1">
      <alignment horizontal="right" indent="2"/>
    </xf>
    <xf numFmtId="10" fontId="3" fillId="6" borderId="36" xfId="4" applyNumberFormat="1" applyFont="1" applyFill="1" applyBorder="1"/>
    <xf numFmtId="0" fontId="10" fillId="6" borderId="39" xfId="0" applyFont="1" applyFill="1" applyBorder="1" applyAlignment="1">
      <alignment horizontal="left" indent="2"/>
    </xf>
    <xf numFmtId="0" fontId="3" fillId="6" borderId="40" xfId="0" applyFont="1" applyFill="1" applyBorder="1"/>
    <xf numFmtId="44" fontId="3" fillId="6" borderId="40" xfId="3" applyFont="1" applyFill="1" applyBorder="1"/>
    <xf numFmtId="4" fontId="11" fillId="6" borderId="17" xfId="1" applyNumberFormat="1" applyFont="1" applyFill="1" applyBorder="1" applyAlignment="1">
      <alignment horizontal="right" indent="2"/>
    </xf>
    <xf numFmtId="0" fontId="10" fillId="6" borderId="41" xfId="0" applyFont="1" applyFill="1" applyBorder="1" applyAlignment="1">
      <alignment horizontal="left" indent="2"/>
    </xf>
    <xf numFmtId="0" fontId="11" fillId="6" borderId="42" xfId="0" applyFont="1" applyFill="1" applyBorder="1" applyAlignment="1">
      <alignment horizontal="left" indent="1"/>
    </xf>
    <xf numFmtId="43" fontId="10" fillId="6" borderId="43" xfId="0" applyNumberFormat="1" applyFont="1" applyFill="1" applyBorder="1" applyAlignment="1">
      <alignment horizontal="left" indent="1"/>
    </xf>
    <xf numFmtId="4" fontId="10" fillId="6" borderId="43" xfId="0" applyNumberFormat="1" applyFont="1" applyFill="1" applyBorder="1" applyAlignment="1">
      <alignment horizontal="right" indent="1"/>
    </xf>
    <xf numFmtId="4" fontId="10" fillId="6" borderId="43" xfId="1" applyNumberFormat="1" applyFont="1" applyFill="1" applyBorder="1" applyAlignment="1">
      <alignment horizontal="right" indent="2"/>
    </xf>
    <xf numFmtId="166" fontId="10" fillId="6" borderId="44" xfId="4" applyNumberFormat="1" applyFont="1" applyFill="1" applyBorder="1" applyAlignment="1">
      <alignment horizontal="right" indent="2"/>
    </xf>
    <xf numFmtId="166" fontId="10" fillId="6" borderId="45" xfId="4" applyNumberFormat="1" applyFont="1" applyFill="1" applyBorder="1" applyAlignment="1">
      <alignment horizontal="right" indent="2"/>
    </xf>
    <xf numFmtId="4" fontId="12" fillId="6" borderId="46" xfId="1" applyNumberFormat="1" applyFont="1" applyFill="1" applyBorder="1" applyAlignment="1">
      <alignment horizontal="right" indent="2"/>
    </xf>
    <xf numFmtId="10" fontId="3" fillId="6" borderId="44" xfId="4" applyNumberFormat="1" applyFont="1" applyFill="1" applyBorder="1"/>
    <xf numFmtId="0" fontId="10" fillId="6" borderId="47" xfId="0" applyFont="1" applyFill="1" applyBorder="1" applyAlignment="1">
      <alignment horizontal="left" indent="2"/>
    </xf>
    <xf numFmtId="0" fontId="11" fillId="6" borderId="48" xfId="0" applyFont="1" applyFill="1" applyBorder="1" applyAlignment="1">
      <alignment horizontal="left" indent="1"/>
    </xf>
    <xf numFmtId="43" fontId="10" fillId="6" borderId="13" xfId="0" applyNumberFormat="1" applyFont="1" applyFill="1" applyBorder="1" applyAlignment="1">
      <alignment horizontal="left" indent="1"/>
    </xf>
    <xf numFmtId="4" fontId="10" fillId="6" borderId="13" xfId="0" applyNumberFormat="1" applyFont="1" applyFill="1" applyBorder="1" applyAlignment="1">
      <alignment horizontal="right" indent="1"/>
    </xf>
    <xf numFmtId="4" fontId="10" fillId="6" borderId="13" xfId="1" applyNumberFormat="1" applyFont="1" applyFill="1" applyBorder="1" applyAlignment="1">
      <alignment horizontal="right" indent="2"/>
    </xf>
    <xf numFmtId="4" fontId="10" fillId="6" borderId="22" xfId="1" applyNumberFormat="1" applyFont="1" applyFill="1" applyBorder="1" applyAlignment="1">
      <alignment horizontal="right" indent="2"/>
    </xf>
    <xf numFmtId="4" fontId="11" fillId="6" borderId="24" xfId="1" applyNumberFormat="1" applyFont="1" applyFill="1" applyBorder="1" applyAlignment="1">
      <alignment horizontal="right" indent="2"/>
    </xf>
    <xf numFmtId="0" fontId="10" fillId="6" borderId="49" xfId="0" applyFont="1" applyFill="1" applyBorder="1" applyAlignment="1">
      <alignment horizontal="left" indent="2"/>
    </xf>
    <xf numFmtId="0" fontId="11" fillId="6" borderId="50" xfId="0" applyFont="1" applyFill="1" applyBorder="1" applyAlignment="1">
      <alignment horizontal="left" indent="1"/>
    </xf>
    <xf numFmtId="43" fontId="10" fillId="6" borderId="51" xfId="0" applyNumberFormat="1" applyFont="1" applyFill="1" applyBorder="1" applyAlignment="1">
      <alignment horizontal="left" indent="1"/>
    </xf>
    <xf numFmtId="4" fontId="10" fillId="6" borderId="51" xfId="0" applyNumberFormat="1" applyFont="1" applyFill="1" applyBorder="1" applyAlignment="1">
      <alignment horizontal="right" indent="1"/>
    </xf>
    <xf numFmtId="4" fontId="10" fillId="6" borderId="51" xfId="1" applyNumberFormat="1" applyFont="1" applyFill="1" applyBorder="1" applyAlignment="1">
      <alignment horizontal="right" indent="2"/>
    </xf>
    <xf numFmtId="166" fontId="10" fillId="6" borderId="51" xfId="4" applyNumberFormat="1" applyFont="1" applyFill="1" applyBorder="1" applyAlignment="1">
      <alignment horizontal="right" indent="2"/>
    </xf>
    <xf numFmtId="166" fontId="10" fillId="6" borderId="52" xfId="4" applyNumberFormat="1" applyFont="1" applyFill="1" applyBorder="1" applyAlignment="1">
      <alignment horizontal="right" indent="2"/>
    </xf>
    <xf numFmtId="4" fontId="12" fillId="6" borderId="53" xfId="1" applyNumberFormat="1" applyFont="1" applyFill="1" applyBorder="1" applyAlignment="1">
      <alignment horizontal="right" indent="2"/>
    </xf>
    <xf numFmtId="10" fontId="3" fillId="6" borderId="54" xfId="4" applyNumberFormat="1" applyFont="1" applyFill="1" applyBorder="1"/>
    <xf numFmtId="9" fontId="4" fillId="6" borderId="0" xfId="4" applyFont="1" applyFill="1" applyBorder="1" applyAlignment="1">
      <alignment horizontal="center"/>
    </xf>
    <xf numFmtId="43" fontId="10" fillId="6" borderId="0" xfId="0" applyNumberFormat="1" applyFont="1" applyFill="1" applyAlignment="1">
      <alignment horizontal="left" indent="1"/>
    </xf>
    <xf numFmtId="4" fontId="12" fillId="6" borderId="55" xfId="1" applyNumberFormat="1" applyFont="1" applyFill="1" applyBorder="1" applyAlignment="1">
      <alignment horizontal="right" indent="2"/>
    </xf>
    <xf numFmtId="168" fontId="3" fillId="6" borderId="0" xfId="0" applyNumberFormat="1" applyFont="1" applyFill="1"/>
    <xf numFmtId="0" fontId="10" fillId="6" borderId="56" xfId="0" applyFont="1" applyFill="1" applyBorder="1" applyAlignment="1">
      <alignment horizontal="left" indent="2"/>
    </xf>
    <xf numFmtId="4" fontId="10" fillId="6" borderId="23" xfId="0" applyNumberFormat="1" applyFont="1" applyFill="1" applyBorder="1" applyAlignment="1">
      <alignment horizontal="right" indent="2"/>
    </xf>
    <xf numFmtId="0" fontId="11" fillId="6" borderId="57" xfId="0" applyFont="1" applyFill="1" applyBorder="1" applyAlignment="1">
      <alignment horizontal="left" indent="1"/>
    </xf>
    <xf numFmtId="4" fontId="10" fillId="6" borderId="0" xfId="0" applyNumberFormat="1" applyFont="1" applyFill="1" applyAlignment="1">
      <alignment horizontal="right" indent="1"/>
    </xf>
    <xf numFmtId="4" fontId="12" fillId="6" borderId="0" xfId="0" applyNumberFormat="1" applyFont="1" applyFill="1" applyAlignment="1">
      <alignment horizontal="right" indent="2"/>
    </xf>
    <xf numFmtId="166" fontId="12" fillId="6" borderId="0" xfId="0" applyNumberFormat="1" applyFont="1" applyFill="1" applyAlignment="1">
      <alignment horizontal="right" indent="2"/>
    </xf>
    <xf numFmtId="166" fontId="10" fillId="6" borderId="0" xfId="0" applyNumberFormat="1" applyFont="1" applyFill="1" applyAlignment="1">
      <alignment horizontal="right" indent="2"/>
    </xf>
    <xf numFmtId="4" fontId="12" fillId="6" borderId="58" xfId="0" applyNumberFormat="1" applyFont="1" applyFill="1" applyBorder="1" applyAlignment="1">
      <alignment horizontal="right" indent="2"/>
    </xf>
    <xf numFmtId="0" fontId="4" fillId="6" borderId="0" xfId="0" applyFont="1" applyFill="1"/>
    <xf numFmtId="4" fontId="12" fillId="6" borderId="59" xfId="0" applyNumberFormat="1" applyFont="1" applyFill="1" applyBorder="1" applyAlignment="1">
      <alignment horizontal="right" indent="2"/>
    </xf>
    <xf numFmtId="4" fontId="3" fillId="6" borderId="0" xfId="0" applyNumberFormat="1" applyFont="1" applyFill="1"/>
    <xf numFmtId="0" fontId="12" fillId="6" borderId="24" xfId="0" applyFont="1" applyFill="1" applyBorder="1" applyAlignment="1">
      <alignment horizontal="right" indent="2"/>
    </xf>
    <xf numFmtId="43" fontId="0" fillId="2" borderId="0" xfId="0" applyNumberFormat="1" applyFill="1" applyAlignment="1">
      <alignment wrapText="1"/>
    </xf>
    <xf numFmtId="43" fontId="0" fillId="2" borderId="0" xfId="0" applyNumberFormat="1" applyFill="1"/>
    <xf numFmtId="0" fontId="10" fillId="6" borderId="16" xfId="0" applyFont="1" applyFill="1" applyBorder="1"/>
    <xf numFmtId="44" fontId="10" fillId="6" borderId="16" xfId="3" applyFont="1" applyFill="1" applyBorder="1"/>
    <xf numFmtId="0" fontId="10" fillId="6" borderId="18" xfId="0" applyFont="1" applyFill="1" applyBorder="1"/>
    <xf numFmtId="44" fontId="10" fillId="6" borderId="18" xfId="3" applyFont="1" applyFill="1" applyBorder="1"/>
    <xf numFmtId="0" fontId="10" fillId="8" borderId="0" xfId="0" applyFont="1" applyFill="1"/>
    <xf numFmtId="0" fontId="10" fillId="2" borderId="0" xfId="0" applyFont="1" applyFill="1"/>
    <xf numFmtId="43" fontId="10" fillId="2" borderId="0" xfId="1" applyFont="1" applyFill="1"/>
    <xf numFmtId="0" fontId="10" fillId="2" borderId="0" xfId="0" applyFont="1" applyFill="1" applyAlignment="1">
      <alignment horizontal="right"/>
    </xf>
    <xf numFmtId="14" fontId="10" fillId="2" borderId="0" xfId="1" applyNumberFormat="1" applyFont="1" applyFill="1"/>
    <xf numFmtId="0" fontId="10" fillId="3" borderId="0" xfId="0" applyFont="1" applyFill="1"/>
    <xf numFmtId="43" fontId="10" fillId="3" borderId="0" xfId="1" applyFont="1" applyFill="1"/>
    <xf numFmtId="0" fontId="10" fillId="4" borderId="0" xfId="0" applyFont="1" applyFill="1"/>
    <xf numFmtId="43" fontId="10" fillId="4" borderId="0" xfId="1" applyFont="1" applyFill="1"/>
    <xf numFmtId="0" fontId="10" fillId="5" borderId="0" xfId="0" applyFont="1" applyFill="1"/>
    <xf numFmtId="43" fontId="13" fillId="5" borderId="0" xfId="1" applyFont="1" applyFill="1"/>
    <xf numFmtId="0" fontId="10" fillId="2" borderId="0" xfId="0" applyFont="1" applyFill="1" applyAlignment="1">
      <alignment vertical="top"/>
    </xf>
    <xf numFmtId="43" fontId="10" fillId="2" borderId="0" xfId="1" applyFont="1" applyFill="1" applyAlignment="1">
      <alignment vertical="top"/>
    </xf>
    <xf numFmtId="43" fontId="13" fillId="2" borderId="0" xfId="1" applyFont="1" applyFill="1"/>
    <xf numFmtId="169" fontId="0" fillId="2" borderId="0" xfId="1" applyNumberFormat="1" applyFont="1" applyFill="1"/>
    <xf numFmtId="0" fontId="10" fillId="12" borderId="0" xfId="0" applyFont="1" applyFill="1"/>
    <xf numFmtId="43" fontId="10" fillId="12" borderId="0" xfId="1" applyFont="1" applyFill="1"/>
    <xf numFmtId="169" fontId="10" fillId="2" borderId="0" xfId="1" applyNumberFormat="1" applyFont="1" applyFill="1" applyBorder="1"/>
    <xf numFmtId="14" fontId="0" fillId="2" borderId="0" xfId="0" applyNumberFormat="1" applyFill="1"/>
    <xf numFmtId="169" fontId="0" fillId="2" borderId="0" xfId="1" applyNumberFormat="1" applyFont="1" applyFill="1" applyBorder="1"/>
    <xf numFmtId="4" fontId="0" fillId="2" borderId="0" xfId="0" applyNumberFormat="1" applyFill="1"/>
    <xf numFmtId="43" fontId="0" fillId="2" borderId="0" xfId="1" applyFont="1" applyFill="1" applyBorder="1"/>
    <xf numFmtId="0" fontId="0" fillId="11" borderId="0" xfId="0" applyFill="1"/>
    <xf numFmtId="43" fontId="0" fillId="11" borderId="0" xfId="1" applyFont="1" applyFill="1"/>
    <xf numFmtId="43" fontId="3" fillId="13" borderId="0" xfId="1" applyFont="1" applyFill="1"/>
    <xf numFmtId="0" fontId="3" fillId="13" borderId="0" xfId="0" applyFont="1" applyFill="1"/>
    <xf numFmtId="0" fontId="10" fillId="13" borderId="18" xfId="0" applyFont="1" applyFill="1" applyBorder="1"/>
    <xf numFmtId="44" fontId="10" fillId="13" borderId="18" xfId="3" applyFont="1" applyFill="1" applyBorder="1"/>
    <xf numFmtId="0" fontId="10" fillId="9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3" fillId="6" borderId="0" xfId="0" applyFont="1" applyFill="1" applyAlignment="1">
      <alignment horizontal="left" wrapText="1"/>
    </xf>
  </cellXfs>
  <cellStyles count="5">
    <cellStyle name="Moeda" xfId="3" builtinId="4"/>
    <cellStyle name="Moeda 2" xfId="2" xr:uid="{00000000-0005-0000-0000-000001000000}"/>
    <cellStyle name="Normal" xfId="0" builtinId="0"/>
    <cellStyle name="Porcentagem" xfId="4" builtinId="5"/>
    <cellStyle name="Vírgula" xfId="1" builtinId="3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  <border diagonalUp="0" diagonalDown="0" outline="0">
        <left style="hair">
          <color rgb="FF1F4E78"/>
        </left>
        <right style="medium">
          <color auto="1"/>
        </right>
        <top style="thin">
          <color rgb="FF1F4E78"/>
        </top>
        <bottom/>
      </border>
    </dxf>
    <dxf>
      <numFmt numFmtId="168" formatCode="_-&quot;R$&quot;* #,##0.00_-;\-&quot;R$&quot;* #,##0.00_-;_-&quot;R$&quot;* &quot;-&quot;??_-;_-@_-"/>
      <fill>
        <patternFill patternType="solid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4" formatCode="#,##0.00"/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  <border diagonalUp="0" diagonalDown="0" outline="0">
        <left style="hair">
          <color rgb="FF1F4E78"/>
        </left>
        <right style="medium">
          <color auto="1"/>
        </right>
        <top/>
        <bottom/>
      </border>
    </dxf>
    <dxf>
      <font>
        <sz val="12"/>
        <color rgb="FF000000"/>
      </font>
      <numFmt numFmtId="4" formatCode="#,##0.00"/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  <border diagonalUp="0" diagonalDown="0">
        <left style="hair">
          <color rgb="FF1F4E78"/>
        </left>
        <right style="medium">
          <color auto="1"/>
        </right>
        <top style="thin">
          <color rgb="FF1F4E7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fill>
        <patternFill patternType="solid">
          <fgColor rgb="FF000000"/>
          <bgColor rgb="FFFFFFFF"/>
        </patternFill>
      </fill>
    </dxf>
    <dxf>
      <numFmt numFmtId="4" formatCode="#,##0.00"/>
      <fill>
        <patternFill patternType="solid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4" formatCode="#,##0.00"/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  <border diagonalUp="0" diagonalDown="0" outline="0">
        <left style="hair">
          <color rgb="FF1F4E78"/>
        </left>
        <right style="medium">
          <color auto="1"/>
        </right>
        <top/>
        <bottom/>
      </border>
    </dxf>
    <dxf>
      <font>
        <sz val="12"/>
        <color rgb="FF000000"/>
      </font>
      <numFmt numFmtId="4" formatCode="#,##0.00"/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  <border diagonalUp="0" diagonalDown="0">
        <left style="hair">
          <color rgb="FF1F4E78"/>
        </left>
        <right style="medium">
          <color auto="1"/>
        </right>
        <top style="thin">
          <color rgb="FF1F4E78"/>
        </top>
        <bottom style="thin">
          <color rgb="FF1F4E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4" formatCode="#,##0.00"/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  <border diagonalUp="0" diagonalDown="0" outline="0">
        <left style="hair">
          <color rgb="FF1F4E78"/>
        </left>
        <right style="medium">
          <color auto="1"/>
        </right>
        <top/>
        <bottom/>
      </border>
    </dxf>
    <dxf>
      <font>
        <sz val="12"/>
        <color rgb="FF000000"/>
      </font>
      <numFmt numFmtId="4" formatCode="#,##0.00"/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  <border diagonalUp="0" diagonalDown="0">
        <left style="hair">
          <color rgb="FF1F4E78"/>
        </left>
        <right style="medium">
          <color auto="1"/>
        </right>
        <top style="thin">
          <color rgb="FF1F4E78"/>
        </top>
        <bottom style="thin">
          <color rgb="FF1F4E7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000000"/>
          <bgColor rgb="FFFFFFFF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4" formatCode="#,##0.00"/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  <border diagonalUp="0" diagonalDown="0" outline="0">
        <left style="hair">
          <color rgb="FF1F4E78"/>
        </left>
        <right style="hair">
          <color rgb="FF1F4E78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numFmt numFmtId="4" formatCode="#,##0.00"/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  <border diagonalUp="0" diagonalDown="0" outline="0">
        <left style="hair">
          <color rgb="FF1F4E78"/>
        </left>
        <right style="hair">
          <color rgb="FF1F4E78"/>
        </right>
        <top style="thin">
          <color rgb="FF1F4E78"/>
        </top>
        <bottom style="thin">
          <color rgb="FF1F4E7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6" formatCode="0.0%"/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6" formatCode="0.0%"/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  <border diagonalUp="0" diagonalDown="0" outline="0">
        <left/>
        <right/>
        <top/>
        <bottom style="thin">
          <color rgb="FF1F4E7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6" formatCode="0.0%"/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numFmt numFmtId="166" formatCode="0.0%"/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  <border diagonalUp="0" diagonalDown="0" outline="0">
        <left/>
        <right/>
        <top/>
        <bottom style="thin">
          <color rgb="FF1F4E7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4" formatCode="#,##0.00"/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numFmt numFmtId="4" formatCode="#,##0.00"/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  <border diagonalUp="0" diagonalDown="0" outline="0">
        <left/>
        <right/>
        <top style="thin">
          <color rgb="FF1F4E78"/>
        </top>
        <bottom style="thin">
          <color rgb="FF1F4E7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4" formatCode="#,##0.00"/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numFmt numFmtId="4" formatCode="#,##0.00"/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  <border diagonalUp="0" diagonalDown="0" outline="0">
        <left/>
        <right/>
        <top style="thin">
          <color rgb="FF1F4E78"/>
        </top>
        <bottom style="thin">
          <color rgb="FF1F4E7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4" formatCode="#,##0.00"/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numFmt numFmtId="4" formatCode="#,##0.00"/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  <border diagonalUp="0" diagonalDown="0" outline="0">
        <left/>
        <right/>
        <top style="thin">
          <color rgb="FF1F4E78"/>
        </top>
        <bottom style="thin">
          <color rgb="FF1F4E7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4" formatCode="#,##0.00"/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numFmt numFmtId="4" formatCode="#,##0.00"/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  <border diagonalUp="0" diagonalDown="0" outline="0">
        <left/>
        <right/>
        <top style="thin">
          <color rgb="FF1F4E78"/>
        </top>
        <bottom style="thin">
          <color rgb="FF1F4E7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4" formatCode="#,##0.00"/>
      <fill>
        <patternFill patternType="solid">
          <fgColor rgb="FF000000"/>
          <bgColor rgb="FFFFFFFF"/>
        </patternFill>
      </fill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none"/>
      </font>
      <numFmt numFmtId="4" formatCode="#,##0.00"/>
      <fill>
        <patternFill patternType="solid">
          <fgColor rgb="FF000000"/>
          <bgColor rgb="FFFFFFFF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 style="thin">
          <color rgb="FF1F4E78"/>
        </top>
        <bottom style="thin">
          <color rgb="FF1F4E7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5" formatCode="_-* #,##0.00_-;\-* #,##0.00_-;_-* &quot;-&quot;??_-;_-@_-"/>
      <fill>
        <patternFill patternType="solid">
          <fgColor rgb="FF000000"/>
          <bgColor rgb="FFFFFFFF"/>
        </patternFill>
      </fill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none"/>
      </font>
      <numFmt numFmtId="35" formatCode="_-* #,##0.00_-;\-* #,##0.00_-;_-* &quot;-&quot;??_-;_-@_-"/>
      <fill>
        <patternFill patternType="solid">
          <fgColor rgb="FF000000"/>
          <bgColor rgb="FFFFFFFF"/>
        </patternFill>
      </fill>
      <alignment horizontal="left" vertical="bottom" textRotation="0" wrapText="0" indent="1" justifyLastLine="0" shrinkToFit="0" readingOrder="0"/>
      <border diagonalUp="0" diagonalDown="0" outline="0">
        <left/>
        <right/>
        <top style="thin">
          <color rgb="FF1F4E78"/>
        </top>
        <bottom style="thin">
          <color rgb="FF1F4E7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rgb="FF000000"/>
          <bgColor rgb="FFFFFFFF"/>
        </patternFill>
      </fill>
      <alignment horizontal="left" vertical="bottom" textRotation="0" wrapText="0" indent="1" justifyLastLine="0" shrinkToFit="0" readingOrder="0"/>
      <border diagonalUp="0" diagonalDown="0" outline="0">
        <left style="hair">
          <color rgb="FF1F4E78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rgb="FF000000"/>
          <bgColor rgb="FFFFFFFF"/>
        </patternFill>
      </fill>
      <alignment horizontal="left" vertical="bottom" textRotation="0" wrapText="0" indent="1" justifyLastLine="0" shrinkToFit="0" readingOrder="0"/>
      <border diagonalUp="0" diagonalDown="0" outline="0">
        <left style="hair">
          <color rgb="FF1F4E78"/>
        </left>
        <right/>
        <top style="thin">
          <color rgb="FF1F4E78"/>
        </top>
        <bottom style="thin">
          <color rgb="FF1F4E7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4" formatCode="#,##0.00"/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  <border diagonalUp="0" diagonalDown="0" outline="0">
        <left/>
        <right style="hair">
          <color rgb="FF1F4E78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numFmt numFmtId="4" formatCode="#,##0.00"/>
      <fill>
        <patternFill patternType="solid">
          <fgColor rgb="FF000000"/>
          <bgColor rgb="FFFFFFFF"/>
        </patternFill>
      </fill>
      <alignment horizontal="right" vertical="bottom" textRotation="0" wrapText="0" indent="2" justifyLastLine="0" shrinkToFit="0" readingOrder="0"/>
      <border diagonalUp="0" diagonalDown="0" outline="0">
        <left/>
        <right style="hair">
          <color rgb="FF1F4E78"/>
        </right>
        <top style="thin">
          <color rgb="FF1F4E78"/>
        </top>
        <bottom style="thin">
          <color rgb="FF1F4E7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rgb="FF000000"/>
          <bgColor rgb="FFFFFFFF"/>
        </patternFill>
      </fill>
      <alignment horizontal="left" vertical="bottom" textRotation="0" wrapText="0" indent="2" justifyLastLine="0" shrinkToFit="0" readingOrder="0"/>
      <border diagonalUp="0" diagonalDown="0" outline="0">
        <left style="thin">
          <color rgb="FF1F4E78"/>
        </left>
        <right style="hair">
          <color rgb="FF1F4E78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solid">
          <fgColor rgb="FF000000"/>
          <bgColor rgb="FFFFFFFF"/>
        </patternFill>
      </fill>
      <alignment horizontal="left" vertical="bottom" textRotation="0" wrapText="0" relativeIndent="1" justifyLastLine="0" shrinkToFit="0" readingOrder="0"/>
      <border diagonalUp="0" diagonalDown="0" outline="0">
        <left style="thin">
          <color rgb="FF1F4E78"/>
        </left>
        <right style="hair">
          <color rgb="FF1F4E78"/>
        </right>
        <top style="thin">
          <color rgb="FF1F4E78"/>
        </top>
        <bottom style="thin">
          <color rgb="FF1F4E78"/>
        </bottom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 patternType="solid">
          <fgColor rgb="FF000000"/>
          <bgColor rgb="FFFFFFFF"/>
        </patternFill>
      </fill>
    </dxf>
    <dxf>
      <border outline="0"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rgb="FFFFFFFF"/>
        <name val="Calibri"/>
      </font>
      <numFmt numFmtId="35" formatCode="_-* #,##0.00_-;\-* #,##0.00_-;_-* &quot;-&quot;??_-;_-@_-"/>
      <fill>
        <patternFill patternType="solid">
          <fgColor rgb="FF000000"/>
          <bgColor rgb="FF2F75B5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biomarques/Library/Containers/com.microsoft.Excel/Data/Documents/server/GDI/4%20-%20EMPREENDIMENTOS/GDI%2017-02%20-%20VEYRON/17.02%20PRINCIPAIS%20CONTROLES/Fluxo%20de%20Caixa-V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ERPGDI_1" adjustColumnWidth="0" connectionId="1" xr16:uid="{00000000-0016-0000-0100-000000000000}" autoFormatId="16" applyNumberFormats="0" applyBorderFormats="0" applyFontFormats="0" applyPatternFormats="0" applyAlignmentFormats="0" applyWidthHeightFormats="0">
  <queryTableRefresh nextId="20" unboundColumnsRight="9">
    <queryTableFields count="18">
      <queryTableField id="1" name="COTA" tableColumnId="1"/>
      <queryTableField id="9" dataBound="0" tableColumnId="8"/>
      <queryTableField id="2" name="NOME" tableColumnId="2"/>
      <queryTableField id="11" dataBound="0" tableColumnId="10"/>
      <queryTableField id="3" name="VALORORIGINAL" tableColumnId="3"/>
      <queryTableField id="4" name="CM" tableColumnId="4"/>
      <queryTableField id="5" name="VALORATUAL" tableColumnId="5"/>
      <queryTableField id="6" name="VALORBAIXADO" tableColumnId="6"/>
      <queryTableField id="7" name="SALDO" tableColumnId="7"/>
      <queryTableField id="10" dataBound="0" tableColumnId="9"/>
      <queryTableField id="13" dataBound="0" tableColumnId="12"/>
      <queryTableField id="12" dataBound="0" tableColumnId="11"/>
      <queryTableField id="14" dataBound="0" tableColumnId="13"/>
      <queryTableField id="15" dataBound="0" tableColumnId="14"/>
      <queryTableField id="16" dataBound="0" tableColumnId="15"/>
      <queryTableField id="17" dataBound="0" tableColumnId="16"/>
      <queryTableField id="18" dataBound="0" tableColumnId="17"/>
      <queryTableField id="19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Consulta_de_ERPGDI_1162" displayName="Tabela_Consulta_de_ERPGDI_1162" ref="B8:S46" tableType="queryTable" totalsRowCount="1" headerRowDxfId="39" dataDxfId="37" headerRowBorderDxfId="38" tableBorderDxfId="36">
  <autoFilter ref="B8:S45" xr:uid="{00000000-0009-0000-0100-000001000000}"/>
  <sortState xmlns:xlrd2="http://schemas.microsoft.com/office/spreadsheetml/2017/richdata2" ref="B9:K45">
    <sortCondition ref="B8:B45"/>
  </sortState>
  <tableColumns count="18">
    <tableColumn id="1" xr3:uid="{00000000-0010-0000-0000-000001000000}" uniqueName="1" name="COTA" queryTableFieldId="1" dataDxfId="35" totalsRowDxfId="34"/>
    <tableColumn id="8" xr3:uid="{00000000-0010-0000-0000-000008000000}" uniqueName="8" name="Area Privativa" queryTableFieldId="9" dataDxfId="33" totalsRowDxfId="32"/>
    <tableColumn id="2" xr3:uid="{00000000-0010-0000-0000-000002000000}" uniqueName="2" name="NOME" queryTableFieldId="2" dataDxfId="31" totalsRowDxfId="30"/>
    <tableColumn id="10" xr3:uid="{00000000-0010-0000-0000-00000A000000}" uniqueName="10" name="Tabela T0" queryTableFieldId="11" dataDxfId="29" totalsRowDxfId="28"/>
    <tableColumn id="3" xr3:uid="{00000000-0010-0000-0000-000003000000}" uniqueName="3" name="VALORORIGINAL" queryTableFieldId="3" dataDxfId="27" totalsRowDxfId="26"/>
    <tableColumn id="4" xr3:uid="{00000000-0010-0000-0000-000004000000}" uniqueName="4" name="CM" queryTableFieldId="4" dataDxfId="25" totalsRowDxfId="24" dataCellStyle="Vírgula"/>
    <tableColumn id="5" xr3:uid="{00000000-0010-0000-0000-000005000000}" uniqueName="5" name="VALORATUAL" queryTableFieldId="5" dataDxfId="23" totalsRowDxfId="22" dataCellStyle="Vírgula"/>
    <tableColumn id="6" xr3:uid="{00000000-0010-0000-0000-000006000000}" uniqueName="6" name="VALORBAIXADO" queryTableFieldId="6" dataDxfId="21" totalsRowDxfId="20" dataCellStyle="Vírgula"/>
    <tableColumn id="7" xr3:uid="{00000000-0010-0000-0000-000007000000}" uniqueName="7" name="SALDO" queryTableFieldId="7" dataDxfId="19" totalsRowDxfId="18" dataCellStyle="Vírgula"/>
    <tableColumn id="9" xr3:uid="{00000000-0010-0000-0000-000009000000}" uniqueName="9" name="% CM" queryTableFieldId="10" dataDxfId="17" totalsRowDxfId="16" dataCellStyle="Porcentagem">
      <calculatedColumnFormula>Tabela_Consulta_de_ERPGDI_1162[[#This Row],[CM]]/Tabela_Consulta_de_ERPGDI_1162[[#This Row],[VALORORIGINAL]]</calculatedColumnFormula>
    </tableColumn>
    <tableColumn id="12" xr3:uid="{00000000-0010-0000-0000-00000C000000}" uniqueName="12" name="%  area Priv" queryTableFieldId="13" dataDxfId="15" totalsRowDxfId="14" dataCellStyle="Porcentagem">
      <calculatedColumnFormula>Tabela_Consulta_de_ERPGDI_1162[[#This Row],[Area Privativa]]/$D$48</calculatedColumnFormula>
    </tableColumn>
    <tableColumn id="11" xr3:uid="{00000000-0010-0000-0000-00000B000000}" uniqueName="11" name="Aporte Adicional" queryTableFieldId="12" dataDxfId="13" totalsRowDxfId="12" dataCellStyle="Vírgula">
      <calculatedColumnFormula>$M$6*Tabela_Consulta_de_ERPGDI_1162[[#This Row],[%  area Priv]]</calculatedColumnFormula>
    </tableColumn>
    <tableColumn id="13" xr3:uid="{00000000-0010-0000-0000-00000D000000}" uniqueName="13" name="% de participação" queryTableFieldId="14" dataDxfId="11" totalsRowDxfId="10" dataCellStyle="Vírgula">
      <calculatedColumnFormula>Tabela_Consulta_de_ERPGDI_1162[[#This Row],[Aporte Adicional]]/Tabela_Consulta_de_ERPGDI_1162[[#This Row],[VALORATUAL]]</calculatedColumnFormula>
    </tableColumn>
    <tableColumn id="14" xr3:uid="{00000000-0010-0000-0000-00000E000000}" uniqueName="14" name="Proposta de Aporte 1" queryTableFieldId="15" dataDxfId="9" totalsRowDxfId="8" dataCellStyle="Vírgula">
      <calculatedColumnFormula>Tabela_Consulta_de_ERPGDI_1162[[#This Row],[Aporte Adicional]]/12</calculatedColumnFormula>
    </tableColumn>
    <tableColumn id="15" xr3:uid="{00000000-0010-0000-0000-00000F000000}" uniqueName="15" name="Proposta de Aporte 2" queryTableFieldId="16" dataDxfId="7" totalsRowDxfId="6" dataCellStyle="Vírgula">
      <calculatedColumnFormula>Tabela_Consulta_de_ERPGDI_1162[[#This Row],[Aporte Adicional]]/18</calculatedColumnFormula>
    </tableColumn>
    <tableColumn id="16" xr3:uid="{00000000-0010-0000-0000-000010000000}" uniqueName="16" name="Aporte / unidade" totalsRowFunction="custom" queryTableFieldId="17" dataDxfId="5" totalsRowDxfId="4">
      <calculatedColumnFormula>$Q$6*Tabela_Consulta_de_ERPGDI_1162[[#This Row],[%  area Priv]]</calculatedColumnFormula>
      <totalsRowFormula>SUM(Tabela_Consulta_de_ERPGDI_1162[Aporte / unidade])</totalsRowFormula>
    </tableColumn>
    <tableColumn id="17" xr3:uid="{00000000-0010-0000-0000-000011000000}" uniqueName="17" name="Valor mensal" queryTableFieldId="18" dataDxfId="3" totalsRowDxfId="2" dataCellStyle="Vírgula">
      <calculatedColumnFormula>Tabela_Consulta_de_ERPGDI_1162[[#This Row],[Aporte / unidade]]/6</calculatedColumnFormula>
    </tableColumn>
    <tableColumn id="18" xr3:uid="{00000000-0010-0000-0000-000012000000}" uniqueName="18" name="Valor m²" queryTableFieldId="19" dataDxfId="1" totalsRowDxfId="0">
      <calculatedColumnFormula>Tabela_Consulta_de_ERPGDI_1162[[#This Row],[Aporte / unidade]]/Tabela_Consulta_de_ERPGDI_1162[[#This Row],[Area Privativa]]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0"/>
  <sheetViews>
    <sheetView tabSelected="1" zoomScale="80" zoomScaleNormal="80" workbookViewId="0"/>
  </sheetViews>
  <sheetFormatPr defaultColWidth="9.140625" defaultRowHeight="15" x14ac:dyDescent="0.25"/>
  <cols>
    <col min="1" max="1" width="9.140625" style="1"/>
    <col min="2" max="2" width="50.5703125" style="1" customWidth="1"/>
    <col min="3" max="3" width="15.5703125" style="2" customWidth="1"/>
    <col min="4" max="4" width="16.85546875" style="1" customWidth="1"/>
    <col min="5" max="5" width="5.42578125" style="152" customWidth="1"/>
    <col min="6" max="6" width="11.28515625" style="1" bestFit="1" customWidth="1"/>
    <col min="7" max="7" width="35.5703125" style="1" customWidth="1"/>
    <col min="8" max="8" width="12.140625" style="1" customWidth="1"/>
    <col min="9" max="9" width="41" style="1" customWidth="1"/>
    <col min="10" max="16384" width="9.140625" style="1"/>
  </cols>
  <sheetData>
    <row r="2" spans="2:8" ht="15.75" x14ac:dyDescent="0.25">
      <c r="B2" s="139" t="s">
        <v>0</v>
      </c>
      <c r="C2" s="140"/>
    </row>
    <row r="3" spans="2:8" ht="15.75" x14ac:dyDescent="0.25">
      <c r="B3" s="139" t="s">
        <v>1</v>
      </c>
      <c r="C3" s="140"/>
    </row>
    <row r="4" spans="2:8" ht="15.75" x14ac:dyDescent="0.25">
      <c r="B4" s="141" t="s">
        <v>2</v>
      </c>
      <c r="C4" s="142">
        <v>45869</v>
      </c>
    </row>
    <row r="5" spans="2:8" ht="15.75" x14ac:dyDescent="0.25">
      <c r="B5" s="139"/>
      <c r="C5" s="140"/>
    </row>
    <row r="6" spans="2:8" ht="15.75" x14ac:dyDescent="0.25">
      <c r="B6" s="143" t="s">
        <v>3</v>
      </c>
      <c r="C6" s="144">
        <f>SUM(C7:C10)</f>
        <v>36351.18</v>
      </c>
    </row>
    <row r="7" spans="2:8" ht="15.75" x14ac:dyDescent="0.25">
      <c r="B7" s="139" t="s">
        <v>4</v>
      </c>
      <c r="C7" s="140">
        <v>1114.1300000000001</v>
      </c>
    </row>
    <row r="8" spans="2:8" ht="15.75" x14ac:dyDescent="0.25">
      <c r="B8" s="139" t="s">
        <v>5</v>
      </c>
      <c r="C8" s="140">
        <f>38303.15-30000</f>
        <v>8303.1500000000015</v>
      </c>
    </row>
    <row r="9" spans="2:8" ht="15.75" x14ac:dyDescent="0.25">
      <c r="B9" s="139" t="s">
        <v>6</v>
      </c>
      <c r="C9" s="2">
        <v>21777.18</v>
      </c>
      <c r="E9" s="155"/>
    </row>
    <row r="10" spans="2:8" ht="15.75" x14ac:dyDescent="0.25">
      <c r="B10" s="139" t="s">
        <v>7</v>
      </c>
      <c r="C10" s="2">
        <f>4958.38+198.34</f>
        <v>5156.72</v>
      </c>
      <c r="D10" s="133"/>
      <c r="E10" s="155"/>
    </row>
    <row r="11" spans="2:8" ht="15.75" x14ac:dyDescent="0.25">
      <c r="B11" s="139"/>
      <c r="E11" s="155"/>
      <c r="F11" s="156"/>
    </row>
    <row r="12" spans="2:8" ht="15.75" x14ac:dyDescent="0.25">
      <c r="B12" s="145" t="s">
        <v>8</v>
      </c>
      <c r="C12" s="146">
        <f>SUM(C13:C21)</f>
        <v>114128.81</v>
      </c>
      <c r="E12" s="157"/>
      <c r="F12" s="156"/>
      <c r="H12" s="158"/>
    </row>
    <row r="13" spans="2:8" ht="15.75" x14ac:dyDescent="0.25">
      <c r="B13" s="139" t="s">
        <v>9</v>
      </c>
      <c r="C13" s="140">
        <f>115000-30000</f>
        <v>85000</v>
      </c>
      <c r="E13" s="157"/>
      <c r="F13" s="156"/>
      <c r="H13" s="158"/>
    </row>
    <row r="14" spans="2:8" ht="15.75" x14ac:dyDescent="0.25">
      <c r="B14" s="149" t="s">
        <v>10</v>
      </c>
      <c r="C14" s="150">
        <v>220</v>
      </c>
      <c r="E14" s="157"/>
      <c r="F14" s="156"/>
      <c r="H14" s="158"/>
    </row>
    <row r="15" spans="2:8" ht="15.75" x14ac:dyDescent="0.25">
      <c r="B15" s="149" t="s">
        <v>11</v>
      </c>
      <c r="C15" s="150">
        <v>1270</v>
      </c>
      <c r="E15" s="157"/>
      <c r="F15" s="156"/>
      <c r="H15" s="158"/>
    </row>
    <row r="16" spans="2:8" ht="15.75" x14ac:dyDescent="0.25">
      <c r="B16" s="149" t="s">
        <v>12</v>
      </c>
      <c r="C16" s="150">
        <f>1520.6*3</f>
        <v>4561.7999999999993</v>
      </c>
      <c r="E16" s="157"/>
      <c r="F16" s="156"/>
      <c r="H16" s="158"/>
    </row>
    <row r="17" spans="2:8" ht="15.75" x14ac:dyDescent="0.25">
      <c r="B17" s="149" t="s">
        <v>13</v>
      </c>
      <c r="C17" s="150">
        <v>177.01</v>
      </c>
      <c r="E17" s="157"/>
      <c r="F17" s="156"/>
      <c r="H17" s="158"/>
    </row>
    <row r="18" spans="2:8" ht="15.75" x14ac:dyDescent="0.25">
      <c r="B18" s="139" t="s">
        <v>14</v>
      </c>
      <c r="C18" s="140">
        <v>4900</v>
      </c>
      <c r="E18" s="157"/>
      <c r="F18" s="156"/>
      <c r="H18" s="158"/>
    </row>
    <row r="19" spans="2:8" ht="15.75" x14ac:dyDescent="0.25">
      <c r="B19" s="153" t="s">
        <v>15</v>
      </c>
      <c r="C19" s="154">
        <v>2500</v>
      </c>
      <c r="E19" s="157"/>
      <c r="F19" s="156"/>
      <c r="H19" s="158"/>
    </row>
    <row r="20" spans="2:8" ht="15.75" x14ac:dyDescent="0.25">
      <c r="B20" s="153" t="s">
        <v>16</v>
      </c>
      <c r="C20" s="154">
        <v>500</v>
      </c>
      <c r="E20" s="157"/>
      <c r="F20" s="156"/>
      <c r="H20" s="158"/>
    </row>
    <row r="21" spans="2:8" ht="15.75" x14ac:dyDescent="0.25">
      <c r="B21" s="153" t="s">
        <v>17</v>
      </c>
      <c r="C21" s="154">
        <v>15000</v>
      </c>
      <c r="E21" s="157"/>
      <c r="F21" s="156"/>
      <c r="H21" s="158"/>
    </row>
    <row r="22" spans="2:8" ht="15.75" x14ac:dyDescent="0.25">
      <c r="B22" s="147" t="s">
        <v>18</v>
      </c>
      <c r="C22" s="148">
        <f>C6-C12</f>
        <v>-77777.63</v>
      </c>
      <c r="E22" s="157"/>
      <c r="H22" s="159"/>
    </row>
    <row r="23" spans="2:8" x14ac:dyDescent="0.25">
      <c r="B23" s="160" t="s">
        <v>19</v>
      </c>
      <c r="C23" s="161">
        <f>C22-C9</f>
        <v>-99554.81</v>
      </c>
      <c r="E23" s="1"/>
    </row>
    <row r="24" spans="2:8" ht="15.75" x14ac:dyDescent="0.25">
      <c r="B24" s="139"/>
      <c r="C24" s="140"/>
      <c r="D24" s="133"/>
    </row>
    <row r="25" spans="2:8" ht="15.75" x14ac:dyDescent="0.25">
      <c r="B25" s="139"/>
      <c r="C25" s="140"/>
    </row>
    <row r="26" spans="2:8" ht="15.75" x14ac:dyDescent="0.25">
      <c r="B26" s="139"/>
      <c r="C26" s="140"/>
    </row>
    <row r="27" spans="2:8" ht="15.75" x14ac:dyDescent="0.25">
      <c r="B27" s="149"/>
      <c r="C27" s="150"/>
      <c r="D27" s="132"/>
    </row>
    <row r="28" spans="2:8" ht="15.75" x14ac:dyDescent="0.25">
      <c r="B28" s="139"/>
      <c r="C28" s="151"/>
      <c r="D28" s="133"/>
    </row>
    <row r="29" spans="2:8" x14ac:dyDescent="0.25">
      <c r="D29" s="133"/>
    </row>
    <row r="30" spans="2:8" x14ac:dyDescent="0.25">
      <c r="D30" s="13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D49"/>
  <sheetViews>
    <sheetView zoomScale="70" zoomScaleNormal="70" workbookViewId="0">
      <selection activeCell="Q49" sqref="Q49"/>
    </sheetView>
  </sheetViews>
  <sheetFormatPr defaultColWidth="7.7109375" defaultRowHeight="12.75" customHeight="1" x14ac:dyDescent="0.25"/>
  <cols>
    <col min="1" max="1" width="3" style="11" customWidth="1"/>
    <col min="2" max="2" width="16.5703125" style="4" customWidth="1"/>
    <col min="3" max="3" width="13" style="5" customWidth="1"/>
    <col min="4" max="4" width="32.42578125" style="6" hidden="1" customWidth="1"/>
    <col min="5" max="5" width="13.7109375" style="6" hidden="1" customWidth="1"/>
    <col min="6" max="6" width="14.28515625" style="7" hidden="1" customWidth="1"/>
    <col min="7" max="7" width="12.42578125" style="15" hidden="1" customWidth="1"/>
    <col min="8" max="8" width="14.140625" style="15" hidden="1" customWidth="1"/>
    <col min="9" max="9" width="15" style="15" hidden="1" customWidth="1"/>
    <col min="10" max="10" width="14.5703125" style="15" hidden="1" customWidth="1"/>
    <col min="11" max="11" width="13" style="9" hidden="1" customWidth="1"/>
    <col min="12" max="12" width="14" style="9" hidden="1" customWidth="1"/>
    <col min="13" max="13" width="17.5703125" style="9" hidden="1" customWidth="1"/>
    <col min="14" max="14" width="11.7109375" style="10" hidden="1" customWidth="1"/>
    <col min="15" max="15" width="15.7109375" style="10" hidden="1" customWidth="1"/>
    <col min="16" max="16" width="15.5703125" style="11" hidden="1" customWidth="1"/>
    <col min="17" max="17" width="15.5703125" style="11" customWidth="1"/>
    <col min="18" max="18" width="17.85546875" style="11" hidden="1" customWidth="1"/>
    <col min="19" max="19" width="16.85546875" style="11" hidden="1" customWidth="1"/>
    <col min="20" max="20" width="7.7109375" style="11"/>
    <col min="21" max="21" width="11.140625" style="11" bestFit="1" customWidth="1"/>
    <col min="22" max="22" width="10.28515625" style="11" bestFit="1" customWidth="1"/>
    <col min="23" max="23" width="17.85546875" style="11" bestFit="1" customWidth="1"/>
    <col min="24" max="24" width="7.7109375" style="11"/>
    <col min="25" max="25" width="31.42578125" style="11" customWidth="1"/>
    <col min="26" max="26" width="55" style="11" customWidth="1"/>
    <col min="27" max="27" width="19.140625" style="11" bestFit="1" customWidth="1"/>
    <col min="28" max="28" width="11.42578125" style="11" bestFit="1" customWidth="1"/>
    <col min="29" max="16384" width="7.7109375" style="11"/>
  </cols>
  <sheetData>
    <row r="1" spans="2:30" ht="12.75" customHeight="1" x14ac:dyDescent="0.25">
      <c r="G1" s="5"/>
      <c r="H1" s="5"/>
      <c r="I1" s="5"/>
      <c r="J1" s="8"/>
      <c r="O1" s="11"/>
    </row>
    <row r="2" spans="2:30" ht="21.75" thickBot="1" x14ac:dyDescent="0.4">
      <c r="B2" s="12"/>
      <c r="D2" s="13" t="s">
        <v>20</v>
      </c>
      <c r="E2" s="14"/>
      <c r="L2" s="16"/>
      <c r="M2" s="17">
        <v>11619467.165399985</v>
      </c>
      <c r="N2" s="11"/>
      <c r="O2" s="18"/>
      <c r="S2" s="10"/>
      <c r="T2" s="10"/>
      <c r="U2" s="19"/>
    </row>
    <row r="3" spans="2:30" ht="12.75" customHeight="1" x14ac:dyDescent="0.25">
      <c r="N3" s="11"/>
      <c r="O3" s="11"/>
      <c r="P3" s="19"/>
      <c r="Q3" s="19"/>
      <c r="R3" s="19"/>
      <c r="S3" s="19"/>
      <c r="T3" s="19"/>
    </row>
    <row r="4" spans="2:30" ht="15.75" thickBot="1" x14ac:dyDescent="0.3">
      <c r="D4" s="13" t="s">
        <v>21</v>
      </c>
      <c r="E4" s="13"/>
      <c r="F4" s="20"/>
      <c r="G4" s="17" t="s">
        <v>22</v>
      </c>
      <c r="H4" s="17"/>
      <c r="I4" s="17"/>
      <c r="J4" s="17"/>
      <c r="K4" s="16"/>
      <c r="L4" s="16"/>
      <c r="M4" s="21">
        <f>M6/M2</f>
        <v>0.245</v>
      </c>
      <c r="N4" s="11"/>
      <c r="O4" s="22"/>
      <c r="P4" s="23"/>
      <c r="Q4" s="23"/>
      <c r="R4" s="23"/>
      <c r="S4" s="19"/>
      <c r="T4" s="19"/>
      <c r="V4" s="168" t="s">
        <v>125</v>
      </c>
      <c r="W4" s="168"/>
    </row>
    <row r="5" spans="2:30" ht="21" x14ac:dyDescent="0.35">
      <c r="G5" s="24"/>
      <c r="H5" s="24"/>
      <c r="I5" s="24"/>
      <c r="J5" s="25"/>
      <c r="K5" s="26"/>
      <c r="L5" s="26"/>
      <c r="M5" s="26"/>
      <c r="N5" s="11"/>
      <c r="O5" s="22"/>
      <c r="P5" s="23"/>
      <c r="Q5" s="23"/>
      <c r="R5" s="23"/>
      <c r="S5" s="19"/>
      <c r="T5" s="19"/>
      <c r="V5" s="168"/>
      <c r="W5" s="168"/>
    </row>
    <row r="6" spans="2:30" ht="15.75" thickBot="1" x14ac:dyDescent="0.3">
      <c r="C6" s="5" t="s">
        <v>23</v>
      </c>
      <c r="D6" s="13" t="s">
        <v>24</v>
      </c>
      <c r="E6" s="13"/>
      <c r="F6" s="20">
        <f>SUM(Tabela_Consulta_de_ERPGDI_1162[VALORORIGINAL])</f>
        <v>10867546.390000001</v>
      </c>
      <c r="G6" s="17">
        <f>SUM(Tabela_Consulta_de_ERPGDI_1162[CM])</f>
        <v>898292.64519999991</v>
      </c>
      <c r="H6" s="17">
        <f>SUM(Tabela_Consulta_de_ERPGDI_1162[VALORATUAL])</f>
        <v>11765839.0352</v>
      </c>
      <c r="I6" s="17">
        <f>SUM(Tabela_Consulta_de_ERPGDI_1162[VALORBAIXADO])</f>
        <v>9091639.540000001</v>
      </c>
      <c r="J6" s="17">
        <f>SUM(Tabela_Consulta_de_ERPGDI_1162[SALDO])</f>
        <v>2674199.4951999998</v>
      </c>
      <c r="K6" s="16">
        <f>H6/F6-1</f>
        <v>8.2658275655172808E-2</v>
      </c>
      <c r="L6" s="16"/>
      <c r="M6" s="17">
        <v>2846769.4555229964</v>
      </c>
      <c r="N6" s="11"/>
      <c r="O6" s="22"/>
      <c r="P6" s="23"/>
      <c r="Q6" s="3">
        <f>-Completo!C23</f>
        <v>99554.81</v>
      </c>
      <c r="R6" s="17">
        <f>Q6/6</f>
        <v>16592.468333333334</v>
      </c>
      <c r="S6" s="19"/>
      <c r="T6" s="19"/>
      <c r="V6" s="168"/>
      <c r="W6" s="168"/>
    </row>
    <row r="7" spans="2:30" ht="15.75" x14ac:dyDescent="0.25">
      <c r="G7" s="5"/>
      <c r="H7" s="5"/>
      <c r="I7" s="5"/>
      <c r="J7" s="8"/>
      <c r="N7" s="11"/>
      <c r="O7" s="22"/>
      <c r="P7" s="23"/>
      <c r="Q7" s="23"/>
      <c r="R7" s="23"/>
      <c r="S7" s="19"/>
      <c r="T7" s="19"/>
      <c r="V7" s="138" t="s">
        <v>25</v>
      </c>
      <c r="W7" s="138" t="s">
        <v>26</v>
      </c>
    </row>
    <row r="8" spans="2:30" ht="17.100000000000001" customHeight="1" x14ac:dyDescent="0.25">
      <c r="B8" s="27" t="s">
        <v>27</v>
      </c>
      <c r="C8" s="28" t="s">
        <v>28</v>
      </c>
      <c r="D8" s="29" t="s">
        <v>29</v>
      </c>
      <c r="E8" s="30" t="s">
        <v>30</v>
      </c>
      <c r="F8" s="31" t="s">
        <v>31</v>
      </c>
      <c r="G8" s="31" t="s">
        <v>32</v>
      </c>
      <c r="H8" s="31" t="s">
        <v>33</v>
      </c>
      <c r="I8" s="31" t="s">
        <v>34</v>
      </c>
      <c r="J8" s="32" t="s">
        <v>35</v>
      </c>
      <c r="K8" s="33" t="s">
        <v>36</v>
      </c>
      <c r="L8" s="34" t="s">
        <v>37</v>
      </c>
      <c r="M8" s="35" t="s">
        <v>38</v>
      </c>
      <c r="N8" s="36" t="s">
        <v>39</v>
      </c>
      <c r="O8" s="37" t="s">
        <v>40</v>
      </c>
      <c r="P8" s="37" t="s">
        <v>41</v>
      </c>
      <c r="Q8" s="37" t="s">
        <v>42</v>
      </c>
      <c r="R8" s="37" t="s">
        <v>43</v>
      </c>
      <c r="S8" s="38" t="s">
        <v>44</v>
      </c>
      <c r="V8" s="167" t="s">
        <v>45</v>
      </c>
      <c r="W8" s="167"/>
      <c r="AA8" s="39"/>
      <c r="AB8" s="39"/>
    </row>
    <row r="9" spans="2:30" ht="15.75" x14ac:dyDescent="0.25">
      <c r="B9" s="40" t="s">
        <v>46</v>
      </c>
      <c r="C9" s="41">
        <v>39</v>
      </c>
      <c r="D9" s="42" t="s">
        <v>47</v>
      </c>
      <c r="E9" s="43">
        <v>202570</v>
      </c>
      <c r="F9" s="44">
        <v>202570</v>
      </c>
      <c r="G9" s="45">
        <v>0</v>
      </c>
      <c r="H9" s="45">
        <v>202570</v>
      </c>
      <c r="I9" s="45">
        <v>202570</v>
      </c>
      <c r="J9" s="46">
        <v>0</v>
      </c>
      <c r="K9" s="47">
        <f>Tabela_Consulta_de_ERPGDI_1162[[#This Row],[CM]]/Tabela_Consulta_de_ERPGDI_1162[[#This Row],[VALORORIGINAL]]</f>
        <v>0</v>
      </c>
      <c r="L9" s="48">
        <f>Tabela_Consulta_de_ERPGDI_1162[[#This Row],[Area Privativa]]/$D$48</f>
        <v>2.6078234704112337E-2</v>
      </c>
      <c r="M9" s="49">
        <f>$M$6*Tabela_Consulta_de_ERPGDI_1162[[#This Row],[%  area Priv]]</f>
        <v>74238.722009626785</v>
      </c>
      <c r="N9" s="50">
        <f>Tabela_Consulta_de_ERPGDI_1162[[#This Row],[Aporte Adicional]]/Tabela_Consulta_de_ERPGDI_1162[[#This Row],[VALORATUAL]]</f>
        <v>0.36648428696068908</v>
      </c>
      <c r="O9" s="49">
        <f>Tabela_Consulta_de_ERPGDI_1162[[#This Row],[Aporte Adicional]]/12</f>
        <v>6186.5601674688987</v>
      </c>
      <c r="P9" s="49">
        <f>Tabela_Consulta_de_ERPGDI_1162[[#This Row],[Aporte Adicional]]/18</f>
        <v>4124.3734449792655</v>
      </c>
      <c r="Q9" s="49">
        <f>$Q$6*Tabela_Consulta_de_ERPGDI_1162[[#This Row],[%  area Priv]]</f>
        <v>2596.2137011033096</v>
      </c>
      <c r="R9" s="49">
        <f>Tabela_Consulta_de_ERPGDI_1162[[#This Row],[Aporte / unidade]]/6</f>
        <v>432.70228351721829</v>
      </c>
      <c r="S9" s="51">
        <f>Tabela_Consulta_de_ERPGDI_1162[[#This Row],[Aporte / unidade]]/Tabela_Consulta_de_ERPGDI_1162[[#This Row],[Area Privativa]]</f>
        <v>66.569582079572044</v>
      </c>
      <c r="V9" s="134" t="s">
        <v>48</v>
      </c>
      <c r="W9" s="135">
        <f>Tabela_Consulta_de_ERPGDI_1162[[#This Row],[Aporte / unidade]]</f>
        <v>2596.2137011033096</v>
      </c>
      <c r="AA9" s="39"/>
      <c r="AB9" s="39"/>
    </row>
    <row r="10" spans="2:30" ht="15.75" x14ac:dyDescent="0.25">
      <c r="B10" s="40" t="s">
        <v>49</v>
      </c>
      <c r="C10" s="41">
        <v>39.39</v>
      </c>
      <c r="D10" s="42" t="s">
        <v>50</v>
      </c>
      <c r="E10" s="43">
        <v>219500</v>
      </c>
      <c r="F10" s="44">
        <v>219500</v>
      </c>
      <c r="G10" s="45">
        <v>38739.270199999999</v>
      </c>
      <c r="H10" s="45">
        <v>258239.2702</v>
      </c>
      <c r="I10" s="45">
        <v>174128.43</v>
      </c>
      <c r="J10" s="46">
        <v>84110.840200000006</v>
      </c>
      <c r="K10" s="47">
        <f>Tabela_Consulta_de_ERPGDI_1162[[#This Row],[CM]]/Tabela_Consulta_de_ERPGDI_1162[[#This Row],[VALORORIGINAL]]</f>
        <v>0.17648870250569476</v>
      </c>
      <c r="L10" s="48">
        <f>Tabela_Consulta_de_ERPGDI_1162[[#This Row],[Area Privativa]]/$D$48</f>
        <v>2.6339017051153459E-2</v>
      </c>
      <c r="M10" s="52">
        <f>$M$6*Tabela_Consulta_de_ERPGDI_1162[[#This Row],[%  area Priv]]</f>
        <v>74981.10922972305</v>
      </c>
      <c r="N10" s="50">
        <f>Tabela_Consulta_de_ERPGDI_1162[[#This Row],[Aporte Adicional]]/Tabela_Consulta_de_ERPGDI_1162[[#This Row],[VALORATUAL]]</f>
        <v>0.29035517786141518</v>
      </c>
      <c r="O10" s="52">
        <f>Tabela_Consulta_de_ERPGDI_1162[[#This Row],[Aporte Adicional]]/12</f>
        <v>6248.4257691435878</v>
      </c>
      <c r="P10" s="52">
        <f>Tabela_Consulta_de_ERPGDI_1162[[#This Row],[Aporte Adicional]]/18</f>
        <v>4165.6171794290585</v>
      </c>
      <c r="Q10" s="52">
        <f>$Q$6*Tabela_Consulta_de_ERPGDI_1162[[#This Row],[%  area Priv]]</f>
        <v>2622.1758381143427</v>
      </c>
      <c r="R10" s="52">
        <f>Tabela_Consulta_de_ERPGDI_1162[[#This Row],[Aporte / unidade]]/6</f>
        <v>437.02930635239045</v>
      </c>
      <c r="S10" s="51">
        <f>Tabela_Consulta_de_ERPGDI_1162[[#This Row],[Aporte / unidade]]/Tabela_Consulta_de_ERPGDI_1162[[#This Row],[Area Privativa]]</f>
        <v>66.569582079572044</v>
      </c>
      <c r="V10" s="136" t="s">
        <v>51</v>
      </c>
      <c r="W10" s="137">
        <f>Tabela_Consulta_de_ERPGDI_1162[[#This Row],[Aporte / unidade]]</f>
        <v>2622.1758381143427</v>
      </c>
      <c r="AA10" s="39"/>
      <c r="AB10" s="39"/>
    </row>
    <row r="11" spans="2:30" ht="15.75" x14ac:dyDescent="0.25">
      <c r="B11" s="40" t="s">
        <v>52</v>
      </c>
      <c r="C11" s="41">
        <v>39.78</v>
      </c>
      <c r="D11" s="42" t="s">
        <v>53</v>
      </c>
      <c r="E11" s="43">
        <v>217668.98</v>
      </c>
      <c r="F11" s="44">
        <v>217668.98</v>
      </c>
      <c r="G11" s="45">
        <v>33136.565000000002</v>
      </c>
      <c r="H11" s="45">
        <v>250805.54500000001</v>
      </c>
      <c r="I11" s="45">
        <v>191400.84</v>
      </c>
      <c r="J11" s="46">
        <v>59404.705000000002</v>
      </c>
      <c r="K11" s="47">
        <f>Tabela_Consulta_de_ERPGDI_1162[[#This Row],[CM]]/Tabela_Consulta_de_ERPGDI_1162[[#This Row],[VALORORIGINAL]]</f>
        <v>0.15223374961374836</v>
      </c>
      <c r="L11" s="48">
        <f>Tabela_Consulta_de_ERPGDI_1162[[#This Row],[Area Privativa]]/$D$48</f>
        <v>2.6599799398194585E-2</v>
      </c>
      <c r="M11" s="52">
        <f>$M$6*Tabela_Consulta_de_ERPGDI_1162[[#This Row],[%  area Priv]]</f>
        <v>75723.496449819329</v>
      </c>
      <c r="N11" s="50">
        <f>Tabela_Consulta_de_ERPGDI_1162[[#This Row],[Aporte Adicional]]/Tabela_Consulta_de_ERPGDI_1162[[#This Row],[VALORATUAL]]</f>
        <v>0.30192114153544464</v>
      </c>
      <c r="O11" s="52">
        <f>Tabela_Consulta_de_ERPGDI_1162[[#This Row],[Aporte Adicional]]/12</f>
        <v>6310.2913708182778</v>
      </c>
      <c r="P11" s="52">
        <f>Tabela_Consulta_de_ERPGDI_1162[[#This Row],[Aporte Adicional]]/18</f>
        <v>4206.8609138788515</v>
      </c>
      <c r="Q11" s="52">
        <f>$Q$6*Tabela_Consulta_de_ERPGDI_1162[[#This Row],[%  area Priv]]</f>
        <v>2648.1379751253762</v>
      </c>
      <c r="R11" s="52">
        <f>Tabela_Consulta_de_ERPGDI_1162[[#This Row],[Aporte / unidade]]/6</f>
        <v>441.35632918756272</v>
      </c>
      <c r="S11" s="51">
        <f>Tabela_Consulta_de_ERPGDI_1162[[#This Row],[Aporte / unidade]]/Tabela_Consulta_de_ERPGDI_1162[[#This Row],[Area Privativa]]</f>
        <v>66.569582079572044</v>
      </c>
      <c r="V11" s="136" t="s">
        <v>54</v>
      </c>
      <c r="W11" s="137">
        <f>Tabela_Consulta_de_ERPGDI_1162[[#This Row],[Aporte / unidade]]</f>
        <v>2648.1379751253762</v>
      </c>
      <c r="AA11" s="39"/>
      <c r="AB11" s="39"/>
    </row>
    <row r="12" spans="2:30" ht="15.75" x14ac:dyDescent="0.25">
      <c r="B12" s="40" t="s">
        <v>55</v>
      </c>
      <c r="C12" s="41">
        <v>38.21</v>
      </c>
      <c r="D12" s="42" t="s">
        <v>56</v>
      </c>
      <c r="E12" s="43">
        <v>239227.5</v>
      </c>
      <c r="F12" s="44">
        <v>239227.5</v>
      </c>
      <c r="G12" s="45">
        <v>49410.890599999999</v>
      </c>
      <c r="H12" s="45">
        <v>288638.39059999998</v>
      </c>
      <c r="I12" s="45">
        <v>183724.2</v>
      </c>
      <c r="J12" s="46">
        <v>104914.1906</v>
      </c>
      <c r="K12" s="47">
        <f>Tabela_Consulta_de_ERPGDI_1162[[#This Row],[CM]]/Tabela_Consulta_de_ERPGDI_1162[[#This Row],[VALORORIGINAL]]</f>
        <v>0.20654352279733726</v>
      </c>
      <c r="L12" s="48">
        <f>Tabela_Consulta_de_ERPGDI_1162[[#This Row],[Area Privativa]]/$D$48</f>
        <v>2.5549983283182882E-2</v>
      </c>
      <c r="M12" s="52">
        <f>$M$6*Tabela_Consulta_de_ERPGDI_1162[[#This Row],[%  area Priv]]</f>
        <v>72734.911999688193</v>
      </c>
      <c r="N12" s="50">
        <f>Tabela_Consulta_de_ERPGDI_1162[[#This Row],[Aporte Adicional]]/Tabela_Consulta_de_ERPGDI_1162[[#This Row],[VALORATUAL]]</f>
        <v>0.25199320107242934</v>
      </c>
      <c r="O12" s="52">
        <f>Tabela_Consulta_de_ERPGDI_1162[[#This Row],[Aporte Adicional]]/12</f>
        <v>6061.2426666406827</v>
      </c>
      <c r="P12" s="52">
        <f>Tabela_Consulta_de_ERPGDI_1162[[#This Row],[Aporte Adicional]]/18</f>
        <v>4040.8284444271217</v>
      </c>
      <c r="Q12" s="52">
        <f>$Q$6*Tabela_Consulta_de_ERPGDI_1162[[#This Row],[%  area Priv]]</f>
        <v>2543.623731260448</v>
      </c>
      <c r="R12" s="52">
        <f>Tabela_Consulta_de_ERPGDI_1162[[#This Row],[Aporte / unidade]]/6</f>
        <v>423.93728854340799</v>
      </c>
      <c r="S12" s="51">
        <f>Tabela_Consulta_de_ERPGDI_1162[[#This Row],[Aporte / unidade]]/Tabela_Consulta_de_ERPGDI_1162[[#This Row],[Area Privativa]]</f>
        <v>66.569582079572044</v>
      </c>
      <c r="V12" s="136" t="s">
        <v>57</v>
      </c>
      <c r="W12" s="137">
        <f>Tabela_Consulta_de_ERPGDI_1162[[#This Row],[Aporte / unidade]]</f>
        <v>2543.623731260448</v>
      </c>
      <c r="AA12" s="162"/>
      <c r="AB12" s="162"/>
      <c r="AC12" s="163"/>
      <c r="AD12" s="163"/>
    </row>
    <row r="13" spans="2:30" ht="15.75" x14ac:dyDescent="0.25">
      <c r="B13" s="40" t="s">
        <v>58</v>
      </c>
      <c r="C13" s="41">
        <v>57.03</v>
      </c>
      <c r="D13" s="42" t="s">
        <v>59</v>
      </c>
      <c r="E13" s="43">
        <v>367721.55</v>
      </c>
      <c r="F13" s="44">
        <v>277210</v>
      </c>
      <c r="G13" s="45">
        <v>18757.069</v>
      </c>
      <c r="H13" s="45">
        <v>295967.06900000002</v>
      </c>
      <c r="I13" s="45">
        <v>142208.84</v>
      </c>
      <c r="J13" s="46">
        <v>153758.22899999999</v>
      </c>
      <c r="K13" s="47">
        <f>Tabela_Consulta_de_ERPGDI_1162[[#This Row],[CM]]/Tabela_Consulta_de_ERPGDI_1162[[#This Row],[VALORORIGINAL]]</f>
        <v>6.7663753111359623E-2</v>
      </c>
      <c r="L13" s="48">
        <f>Tabela_Consulta_de_ERPGDI_1162[[#This Row],[Area Privativa]]/$D$48</f>
        <v>3.8134403209628888E-2</v>
      </c>
      <c r="M13" s="52">
        <f>$M$6*Tabela_Consulta_de_ERPGDI_1162[[#This Row],[%  area Priv]]</f>
        <v>108559.85426176964</v>
      </c>
      <c r="N13" s="50">
        <f>Tabela_Consulta_de_ERPGDI_1162[[#This Row],[Aporte Adicional]]/Tabela_Consulta_de_ERPGDI_1162[[#This Row],[VALORATUAL]]</f>
        <v>0.36679707181128868</v>
      </c>
      <c r="O13" s="52">
        <f>Tabela_Consulta_de_ERPGDI_1162[[#This Row],[Aporte Adicional]]/12</f>
        <v>9046.6545218141364</v>
      </c>
      <c r="P13" s="52">
        <f>Tabela_Consulta_de_ERPGDI_1162[[#This Row],[Aporte Adicional]]/18</f>
        <v>6031.1030145427576</v>
      </c>
      <c r="Q13" s="52">
        <f>$Q$6*Tabela_Consulta_de_ERPGDI_1162[[#This Row],[%  area Priv]]</f>
        <v>3796.4632659979939</v>
      </c>
      <c r="R13" s="52">
        <f>Tabela_Consulta_de_ERPGDI_1162[[#This Row],[Aporte / unidade]]/6</f>
        <v>632.74387766633231</v>
      </c>
      <c r="S13" s="51">
        <f>Tabela_Consulta_de_ERPGDI_1162[[#This Row],[Aporte / unidade]]/Tabela_Consulta_de_ERPGDI_1162[[#This Row],[Area Privativa]]</f>
        <v>66.569582079572044</v>
      </c>
      <c r="V13" s="136" t="s">
        <v>60</v>
      </c>
      <c r="W13" s="137">
        <f>Tabela_Consulta_de_ERPGDI_1162[[#This Row],[Aporte / unidade]]</f>
        <v>3796.4632659979939</v>
      </c>
      <c r="AA13" s="39"/>
      <c r="AB13" s="39"/>
    </row>
    <row r="14" spans="2:30" ht="15.75" x14ac:dyDescent="0.25">
      <c r="B14" s="40" t="s">
        <v>61</v>
      </c>
      <c r="C14" s="41">
        <v>38.21</v>
      </c>
      <c r="D14" s="42" t="s">
        <v>62</v>
      </c>
      <c r="E14" s="43">
        <v>246434</v>
      </c>
      <c r="F14" s="44">
        <v>246434</v>
      </c>
      <c r="G14" s="45">
        <v>0</v>
      </c>
      <c r="H14" s="45">
        <v>246434</v>
      </c>
      <c r="I14" s="45">
        <v>5932</v>
      </c>
      <c r="J14" s="46">
        <v>240502</v>
      </c>
      <c r="K14" s="47">
        <f>Tabela_Consulta_de_ERPGDI_1162[[#This Row],[CM]]/Tabela_Consulta_de_ERPGDI_1162[[#This Row],[VALORORIGINAL]]</f>
        <v>0</v>
      </c>
      <c r="L14" s="48">
        <f>Tabela_Consulta_de_ERPGDI_1162[[#This Row],[Area Privativa]]/$D$48</f>
        <v>2.5549983283182882E-2</v>
      </c>
      <c r="M14" s="52">
        <f>$M$6*Tabela_Consulta_de_ERPGDI_1162[[#This Row],[%  area Priv]]</f>
        <v>72734.911999688193</v>
      </c>
      <c r="N14" s="50">
        <f>Tabela_Consulta_de_ERPGDI_1162[[#This Row],[Aporte Adicional]]/Tabela_Consulta_de_ERPGDI_1162[[#This Row],[VALORATUAL]]</f>
        <v>0.2951496627887718</v>
      </c>
      <c r="O14" s="52">
        <f>Tabela_Consulta_de_ERPGDI_1162[[#This Row],[Aporte Adicional]]/12</f>
        <v>6061.2426666406827</v>
      </c>
      <c r="P14" s="52">
        <f>Tabela_Consulta_de_ERPGDI_1162[[#This Row],[Aporte Adicional]]/18</f>
        <v>4040.8284444271217</v>
      </c>
      <c r="Q14" s="52">
        <f>$Q$6*Tabela_Consulta_de_ERPGDI_1162[[#This Row],[%  area Priv]]</f>
        <v>2543.623731260448</v>
      </c>
      <c r="R14" s="52">
        <f>Tabela_Consulta_de_ERPGDI_1162[[#This Row],[Aporte / unidade]]/6</f>
        <v>423.93728854340799</v>
      </c>
      <c r="S14" s="51">
        <f>Tabela_Consulta_de_ERPGDI_1162[[#This Row],[Aporte / unidade]]/Tabela_Consulta_de_ERPGDI_1162[[#This Row],[Area Privativa]]</f>
        <v>66.569582079572044</v>
      </c>
      <c r="V14" s="136" t="s">
        <v>63</v>
      </c>
      <c r="W14" s="137">
        <f>Tabela_Consulta_de_ERPGDI_1162[[#This Row],[Aporte / unidade]]</f>
        <v>2543.623731260448</v>
      </c>
      <c r="AA14" s="39"/>
      <c r="AB14" s="39"/>
    </row>
    <row r="15" spans="2:30" ht="15.75" x14ac:dyDescent="0.25">
      <c r="B15" s="40" t="s">
        <v>64</v>
      </c>
      <c r="C15" s="41">
        <v>39.78</v>
      </c>
      <c r="D15" s="42" t="s">
        <v>59</v>
      </c>
      <c r="E15" s="43">
        <v>246434</v>
      </c>
      <c r="F15" s="44">
        <v>246432</v>
      </c>
      <c r="G15" s="45">
        <v>15499.322200000001</v>
      </c>
      <c r="H15" s="45">
        <v>261931.3222</v>
      </c>
      <c r="I15" s="45">
        <v>134877.97</v>
      </c>
      <c r="J15" s="46">
        <v>127053.35219999999</v>
      </c>
      <c r="K15" s="47">
        <f>Tabela_Consulta_de_ERPGDI_1162[[#This Row],[CM]]/Tabela_Consulta_de_ERPGDI_1162[[#This Row],[VALORORIGINAL]]</f>
        <v>6.2894925172055582E-2</v>
      </c>
      <c r="L15" s="48">
        <f>Tabela_Consulta_de_ERPGDI_1162[[#This Row],[Area Privativa]]/$D$48</f>
        <v>2.6599799398194585E-2</v>
      </c>
      <c r="M15" s="52">
        <f>$M$6*Tabela_Consulta_de_ERPGDI_1162[[#This Row],[%  area Priv]]</f>
        <v>75723.496449819329</v>
      </c>
      <c r="N15" s="50">
        <f>Tabela_Consulta_de_ERPGDI_1162[[#This Row],[Aporte Adicional]]/Tabela_Consulta_de_ERPGDI_1162[[#This Row],[VALORATUAL]]</f>
        <v>0.28909675946277236</v>
      </c>
      <c r="O15" s="52">
        <f>Tabela_Consulta_de_ERPGDI_1162[[#This Row],[Aporte Adicional]]/12</f>
        <v>6310.2913708182778</v>
      </c>
      <c r="P15" s="52">
        <f>Tabela_Consulta_de_ERPGDI_1162[[#This Row],[Aporte Adicional]]/18</f>
        <v>4206.8609138788515</v>
      </c>
      <c r="Q15" s="52">
        <f>$Q$6*Tabela_Consulta_de_ERPGDI_1162[[#This Row],[%  area Priv]]</f>
        <v>2648.1379751253762</v>
      </c>
      <c r="R15" s="52">
        <f>Tabela_Consulta_de_ERPGDI_1162[[#This Row],[Aporte / unidade]]/6</f>
        <v>441.35632918756272</v>
      </c>
      <c r="S15" s="51">
        <f>Tabela_Consulta_de_ERPGDI_1162[[#This Row],[Aporte / unidade]]/Tabela_Consulta_de_ERPGDI_1162[[#This Row],[Area Privativa]]</f>
        <v>66.569582079572044</v>
      </c>
      <c r="V15" s="136" t="s">
        <v>65</v>
      </c>
      <c r="W15" s="137">
        <f>Tabela_Consulta_de_ERPGDI_1162[[#This Row],[Aporte / unidade]]</f>
        <v>2648.1379751253762</v>
      </c>
    </row>
    <row r="16" spans="2:30" ht="16.5" thickBot="1" x14ac:dyDescent="0.3">
      <c r="B16" s="53" t="s">
        <v>66</v>
      </c>
      <c r="C16" s="54">
        <v>70.16</v>
      </c>
      <c r="D16" s="55" t="s">
        <v>67</v>
      </c>
      <c r="E16" s="56">
        <v>379011.01</v>
      </c>
      <c r="F16" s="57">
        <v>390569.32</v>
      </c>
      <c r="G16" s="58">
        <v>36802.070399999997</v>
      </c>
      <c r="H16" s="58">
        <v>427371.39039999997</v>
      </c>
      <c r="I16" s="58">
        <v>427390.58</v>
      </c>
      <c r="J16" s="59">
        <v>-19.189599999999999</v>
      </c>
      <c r="K16" s="60">
        <f>Tabela_Consulta_de_ERPGDI_1162[[#This Row],[CM]]/Tabela_Consulta_de_ERPGDI_1162[[#This Row],[VALORORIGINAL]]</f>
        <v>9.4226731377671943E-2</v>
      </c>
      <c r="L16" s="61">
        <f>Tabela_Consulta_de_ERPGDI_1162[[#This Row],[Area Privativa]]/$D$48</f>
        <v>4.6914075560013369E-2</v>
      </c>
      <c r="M16" s="62">
        <f>$M$6*Tabela_Consulta_de_ERPGDI_1162[[#This Row],[%  area Priv]]</f>
        <v>133553.55733834396</v>
      </c>
      <c r="N16" s="50">
        <f>Tabela_Consulta_de_ERPGDI_1162[[#This Row],[Aporte Adicional]]/Tabela_Consulta_de_ERPGDI_1162[[#This Row],[VALORATUAL]]</f>
        <v>0.312499994941973</v>
      </c>
      <c r="O16" s="62">
        <f>Tabela_Consulta_de_ERPGDI_1162[[#This Row],[Aporte Adicional]]/12</f>
        <v>11129.463111528663</v>
      </c>
      <c r="P16" s="62">
        <f>Tabela_Consulta_de_ERPGDI_1162[[#This Row],[Aporte Adicional]]/18</f>
        <v>7419.6420743524423</v>
      </c>
      <c r="Q16" s="62">
        <f>$Q$6*Tabela_Consulta_de_ERPGDI_1162[[#This Row],[%  area Priv]]</f>
        <v>4670.5218787027743</v>
      </c>
      <c r="R16" s="62">
        <f>Tabela_Consulta_de_ERPGDI_1162[[#This Row],[Aporte / unidade]]/6</f>
        <v>778.42031311712901</v>
      </c>
      <c r="S16" s="51">
        <f>Tabela_Consulta_de_ERPGDI_1162[[#This Row],[Aporte / unidade]]/Tabela_Consulta_de_ERPGDI_1162[[#This Row],[Area Privativa]]</f>
        <v>66.569582079572044</v>
      </c>
      <c r="V16" s="164" t="s">
        <v>68</v>
      </c>
      <c r="W16" s="165">
        <f>Tabela_Consulta_de_ERPGDI_1162[[#This Row],[Aporte / unidade]]</f>
        <v>4670.5218787027743</v>
      </c>
    </row>
    <row r="17" spans="2:23" ht="15.75" x14ac:dyDescent="0.25">
      <c r="B17" s="63" t="s">
        <v>69</v>
      </c>
      <c r="C17" s="64">
        <v>39</v>
      </c>
      <c r="D17" s="65" t="s">
        <v>70</v>
      </c>
      <c r="E17" s="66">
        <v>234805.82</v>
      </c>
      <c r="F17" s="67">
        <v>234805.83</v>
      </c>
      <c r="G17" s="68">
        <v>43859.822099999998</v>
      </c>
      <c r="H17" s="68">
        <v>278665.65210000001</v>
      </c>
      <c r="I17" s="68">
        <v>203379.79</v>
      </c>
      <c r="J17" s="69">
        <v>75285.862099999998</v>
      </c>
      <c r="K17" s="70">
        <f>Tabela_Consulta_de_ERPGDI_1162[[#This Row],[CM]]/Tabela_Consulta_de_ERPGDI_1162[[#This Row],[VALORORIGINAL]]</f>
        <v>0.18679187863435928</v>
      </c>
      <c r="L17" s="71">
        <f>Tabela_Consulta_de_ERPGDI_1162[[#This Row],[Area Privativa]]/$D$48</f>
        <v>2.6078234704112337E-2</v>
      </c>
      <c r="M17" s="72">
        <f>$M$6*Tabela_Consulta_de_ERPGDI_1162[[#This Row],[%  area Priv]]</f>
        <v>74238.722009626785</v>
      </c>
      <c r="N17" s="73">
        <f>Tabela_Consulta_de_ERPGDI_1162[[#This Row],[Aporte Adicional]]/Tabela_Consulta_de_ERPGDI_1162[[#This Row],[VALORATUAL]]</f>
        <v>0.26640786709869069</v>
      </c>
      <c r="O17" s="72">
        <f>Tabela_Consulta_de_ERPGDI_1162[[#This Row],[Aporte Adicional]]/12</f>
        <v>6186.5601674688987</v>
      </c>
      <c r="P17" s="72">
        <f>Tabela_Consulta_de_ERPGDI_1162[[#This Row],[Aporte Adicional]]/18</f>
        <v>4124.3734449792655</v>
      </c>
      <c r="Q17" s="72">
        <f>$Q$6*Tabela_Consulta_de_ERPGDI_1162[[#This Row],[%  area Priv]]</f>
        <v>2596.2137011033096</v>
      </c>
      <c r="R17" s="72">
        <f>Tabela_Consulta_de_ERPGDI_1162[[#This Row],[Aporte / unidade]]/6</f>
        <v>432.70228351721829</v>
      </c>
      <c r="S17" s="51">
        <f>Tabela_Consulta_de_ERPGDI_1162[[#This Row],[Aporte / unidade]]/Tabela_Consulta_de_ERPGDI_1162[[#This Row],[Area Privativa]]</f>
        <v>66.569582079572044</v>
      </c>
    </row>
    <row r="18" spans="2:23" ht="15.75" x14ac:dyDescent="0.25">
      <c r="B18" s="74" t="s">
        <v>71</v>
      </c>
      <c r="C18" s="41">
        <v>39.39</v>
      </c>
      <c r="D18" s="42" t="s">
        <v>72</v>
      </c>
      <c r="E18" s="43">
        <v>239467.61</v>
      </c>
      <c r="F18" s="44">
        <v>239467.76</v>
      </c>
      <c r="G18" s="75">
        <v>31424.728899999998</v>
      </c>
      <c r="H18" s="75">
        <v>270892.4889</v>
      </c>
      <c r="I18" s="75">
        <v>206856.88</v>
      </c>
      <c r="J18" s="75">
        <v>64035.608899999999</v>
      </c>
      <c r="K18" s="47">
        <f>Tabela_Consulta_de_ERPGDI_1162[[#This Row],[CM]]/Tabela_Consulta_de_ERPGDI_1162[[#This Row],[VALORORIGINAL]]</f>
        <v>0.13122738902305678</v>
      </c>
      <c r="L18" s="48">
        <f>Tabela_Consulta_de_ERPGDI_1162[[#This Row],[Area Privativa]]/$D$48</f>
        <v>2.6339017051153459E-2</v>
      </c>
      <c r="M18" s="52">
        <f>$M$6*Tabela_Consulta_de_ERPGDI_1162[[#This Row],[%  area Priv]]</f>
        <v>74981.10922972305</v>
      </c>
      <c r="N18" s="76">
        <f>Tabela_Consulta_de_ERPGDI_1162[[#This Row],[Aporte Adicional]]/Tabela_Consulta_de_ERPGDI_1162[[#This Row],[VALORATUAL]]</f>
        <v>0.27679286913489259</v>
      </c>
      <c r="O18" s="52">
        <f>Tabela_Consulta_de_ERPGDI_1162[[#This Row],[Aporte Adicional]]/12</f>
        <v>6248.4257691435878</v>
      </c>
      <c r="P18" s="52">
        <f>Tabela_Consulta_de_ERPGDI_1162[[#This Row],[Aporte Adicional]]/18</f>
        <v>4165.6171794290585</v>
      </c>
      <c r="Q18" s="52">
        <f>$Q$6*Tabela_Consulta_de_ERPGDI_1162[[#This Row],[%  area Priv]]</f>
        <v>2622.1758381143427</v>
      </c>
      <c r="R18" s="52">
        <f>Tabela_Consulta_de_ERPGDI_1162[[#This Row],[Aporte / unidade]]/6</f>
        <v>437.02930635239045</v>
      </c>
      <c r="S18" s="51">
        <f>Tabela_Consulta_de_ERPGDI_1162[[#This Row],[Aporte / unidade]]/Tabela_Consulta_de_ERPGDI_1162[[#This Row],[Area Privativa]]</f>
        <v>66.569582079572044</v>
      </c>
    </row>
    <row r="19" spans="2:23" ht="15.75" x14ac:dyDescent="0.25">
      <c r="B19" s="74" t="s">
        <v>73</v>
      </c>
      <c r="C19" s="41">
        <v>39.78</v>
      </c>
      <c r="D19" s="42" t="s">
        <v>74</v>
      </c>
      <c r="E19" s="43">
        <v>229912.16</v>
      </c>
      <c r="F19" s="44">
        <v>227466.38</v>
      </c>
      <c r="G19" s="75">
        <v>34874.39</v>
      </c>
      <c r="H19" s="75">
        <v>262340.77</v>
      </c>
      <c r="I19" s="75">
        <v>199851.98</v>
      </c>
      <c r="J19" s="75">
        <v>62488.79</v>
      </c>
      <c r="K19" s="47">
        <f>Tabela_Consulta_de_ERPGDI_1162[[#This Row],[CM]]/Tabela_Consulta_de_ERPGDI_1162[[#This Row],[VALORORIGINAL]]</f>
        <v>0.15331667915056282</v>
      </c>
      <c r="L19" s="48">
        <f>Tabela_Consulta_de_ERPGDI_1162[[#This Row],[Area Privativa]]/$D$48</f>
        <v>2.6599799398194585E-2</v>
      </c>
      <c r="M19" s="52">
        <f>$M$6*Tabela_Consulta_de_ERPGDI_1162[[#This Row],[%  area Priv]]</f>
        <v>75723.496449819329</v>
      </c>
      <c r="N19" s="76">
        <f>Tabela_Consulta_de_ERPGDI_1162[[#This Row],[Aporte Adicional]]/Tabela_Consulta_de_ERPGDI_1162[[#This Row],[VALORATUAL]]</f>
        <v>0.28864555230900374</v>
      </c>
      <c r="O19" s="52">
        <f>Tabela_Consulta_de_ERPGDI_1162[[#This Row],[Aporte Adicional]]/12</f>
        <v>6310.2913708182778</v>
      </c>
      <c r="P19" s="52">
        <f>Tabela_Consulta_de_ERPGDI_1162[[#This Row],[Aporte Adicional]]/18</f>
        <v>4206.8609138788515</v>
      </c>
      <c r="Q19" s="52">
        <f>$Q$6*Tabela_Consulta_de_ERPGDI_1162[[#This Row],[%  area Priv]]</f>
        <v>2648.1379751253762</v>
      </c>
      <c r="R19" s="52">
        <f>Tabela_Consulta_de_ERPGDI_1162[[#This Row],[Aporte / unidade]]/6</f>
        <v>441.35632918756272</v>
      </c>
      <c r="S19" s="51">
        <f>Tabela_Consulta_de_ERPGDI_1162[[#This Row],[Aporte / unidade]]/Tabela_Consulta_de_ERPGDI_1162[[#This Row],[Area Privativa]]</f>
        <v>66.569582079572044</v>
      </c>
      <c r="V19" s="166" t="s">
        <v>75</v>
      </c>
      <c r="W19" s="166"/>
    </row>
    <row r="20" spans="2:23" ht="15.75" x14ac:dyDescent="0.25">
      <c r="B20" s="74" t="s">
        <v>76</v>
      </c>
      <c r="C20" s="41">
        <v>68.5</v>
      </c>
      <c r="D20" s="42" t="s">
        <v>77</v>
      </c>
      <c r="E20" s="43">
        <v>358845.51</v>
      </c>
      <c r="F20" s="44">
        <v>413544.1</v>
      </c>
      <c r="G20" s="75">
        <v>0</v>
      </c>
      <c r="H20" s="75">
        <v>413544.1</v>
      </c>
      <c r="I20" s="75">
        <v>289833.59999999998</v>
      </c>
      <c r="J20" s="75">
        <v>123710.5</v>
      </c>
      <c r="K20" s="47">
        <f>Tabela_Consulta_de_ERPGDI_1162[[#This Row],[CM]]/Tabela_Consulta_de_ERPGDI_1162[[#This Row],[VALORORIGINAL]]</f>
        <v>0</v>
      </c>
      <c r="L20" s="48">
        <f>Tabela_Consulta_de_ERPGDI_1162[[#This Row],[Area Privativa]]/$D$48</f>
        <v>4.5804078903376795E-2</v>
      </c>
      <c r="M20" s="52">
        <f>$M$6*Tabela_Consulta_de_ERPGDI_1162[[#This Row],[%  area Priv]]</f>
        <v>130393.65276049833</v>
      </c>
      <c r="N20" s="76">
        <f>Tabela_Consulta_de_ERPGDI_1162[[#This Row],[Aporte Adicional]]/Tabela_Consulta_de_ERPGDI_1162[[#This Row],[VALORATUAL]]</f>
        <v>0.31530773322723826</v>
      </c>
      <c r="O20" s="52">
        <f>Tabela_Consulta_de_ERPGDI_1162[[#This Row],[Aporte Adicional]]/12</f>
        <v>10866.137730041528</v>
      </c>
      <c r="P20" s="52">
        <f>Tabela_Consulta_de_ERPGDI_1162[[#This Row],[Aporte Adicional]]/18</f>
        <v>7244.0918200276847</v>
      </c>
      <c r="Q20" s="52">
        <f>$Q$6*Tabela_Consulta_de_ERPGDI_1162[[#This Row],[%  area Priv]]</f>
        <v>4560.0163724506847</v>
      </c>
      <c r="R20" s="52">
        <f>Tabela_Consulta_de_ERPGDI_1162[[#This Row],[Aporte / unidade]]/6</f>
        <v>760.00272874178074</v>
      </c>
      <c r="S20" s="51">
        <f>Tabela_Consulta_de_ERPGDI_1162[[#This Row],[Aporte / unidade]]/Tabela_Consulta_de_ERPGDI_1162[[#This Row],[Area Privativa]]</f>
        <v>66.569582079572044</v>
      </c>
      <c r="V20" s="134" t="s">
        <v>48</v>
      </c>
      <c r="W20" s="135">
        <f>Q17</f>
        <v>2596.2137011033096</v>
      </c>
    </row>
    <row r="21" spans="2:23" ht="15.75" x14ac:dyDescent="0.25">
      <c r="B21" s="74" t="s">
        <v>78</v>
      </c>
      <c r="C21" s="41">
        <v>68.5</v>
      </c>
      <c r="D21" s="42" t="s">
        <v>79</v>
      </c>
      <c r="E21" s="43">
        <v>377865.59</v>
      </c>
      <c r="F21" s="44">
        <v>367721.93</v>
      </c>
      <c r="G21" s="75">
        <v>57047.041599999997</v>
      </c>
      <c r="H21" s="75">
        <v>424768.97159999999</v>
      </c>
      <c r="I21" s="75">
        <v>401447.76</v>
      </c>
      <c r="J21" s="75">
        <v>23321.211599999999</v>
      </c>
      <c r="K21" s="47">
        <f>Tabela_Consulta_de_ERPGDI_1162[[#This Row],[CM]]/Tabela_Consulta_de_ERPGDI_1162[[#This Row],[VALORORIGINAL]]</f>
        <v>0.15513635969440279</v>
      </c>
      <c r="L21" s="48">
        <f>Tabela_Consulta_de_ERPGDI_1162[[#This Row],[Area Privativa]]/$D$48</f>
        <v>4.5804078903376795E-2</v>
      </c>
      <c r="M21" s="52">
        <f>$M$6*Tabela_Consulta_de_ERPGDI_1162[[#This Row],[%  area Priv]]</f>
        <v>130393.65276049833</v>
      </c>
      <c r="N21" s="76">
        <f>Tabela_Consulta_de_ERPGDI_1162[[#This Row],[Aporte Adicional]]/Tabela_Consulta_de_ERPGDI_1162[[#This Row],[VALORATUAL]]</f>
        <v>0.30697546543792403</v>
      </c>
      <c r="O21" s="52">
        <f>Tabela_Consulta_de_ERPGDI_1162[[#This Row],[Aporte Adicional]]/12</f>
        <v>10866.137730041528</v>
      </c>
      <c r="P21" s="52">
        <f>Tabela_Consulta_de_ERPGDI_1162[[#This Row],[Aporte Adicional]]/18</f>
        <v>7244.0918200276847</v>
      </c>
      <c r="Q21" s="52">
        <f>$Q$6*Tabela_Consulta_de_ERPGDI_1162[[#This Row],[%  area Priv]]</f>
        <v>4560.0163724506847</v>
      </c>
      <c r="R21" s="52">
        <f>Tabela_Consulta_de_ERPGDI_1162[[#This Row],[Aporte / unidade]]/6</f>
        <v>760.00272874178074</v>
      </c>
      <c r="S21" s="51">
        <f>Tabela_Consulta_de_ERPGDI_1162[[#This Row],[Aporte / unidade]]/Tabela_Consulta_de_ERPGDI_1162[[#This Row],[Area Privativa]]</f>
        <v>66.569582079572044</v>
      </c>
      <c r="V21" s="136" t="s">
        <v>51</v>
      </c>
      <c r="W21" s="135">
        <f t="shared" ref="W21:W26" si="0">Q18</f>
        <v>2622.1758381143427</v>
      </c>
    </row>
    <row r="22" spans="2:23" ht="15.75" x14ac:dyDescent="0.25">
      <c r="B22" s="74" t="s">
        <v>80</v>
      </c>
      <c r="C22" s="41">
        <v>39.78</v>
      </c>
      <c r="D22" s="42" t="s">
        <v>59</v>
      </c>
      <c r="E22" s="43">
        <v>242116.22</v>
      </c>
      <c r="F22" s="44">
        <v>238006</v>
      </c>
      <c r="G22" s="75">
        <v>14607.46</v>
      </c>
      <c r="H22" s="75">
        <v>252613.46</v>
      </c>
      <c r="I22" s="75">
        <v>132870.99</v>
      </c>
      <c r="J22" s="75">
        <v>119742.47</v>
      </c>
      <c r="K22" s="47">
        <f>Tabela_Consulta_de_ERPGDI_1162[[#This Row],[CM]]/Tabela_Consulta_de_ERPGDI_1162[[#This Row],[VALORORIGINAL]]</f>
        <v>6.1374335100795777E-2</v>
      </c>
      <c r="L22" s="48">
        <f>Tabela_Consulta_de_ERPGDI_1162[[#This Row],[Area Privativa]]/$D$48</f>
        <v>2.6599799398194585E-2</v>
      </c>
      <c r="M22" s="52">
        <f>$M$6*Tabela_Consulta_de_ERPGDI_1162[[#This Row],[%  area Priv]]</f>
        <v>75723.496449819329</v>
      </c>
      <c r="N22" s="76">
        <f>Tabela_Consulta_de_ERPGDI_1162[[#This Row],[Aporte Adicional]]/Tabela_Consulta_de_ERPGDI_1162[[#This Row],[VALORATUAL]]</f>
        <v>0.29976033917519412</v>
      </c>
      <c r="O22" s="52">
        <f>Tabela_Consulta_de_ERPGDI_1162[[#This Row],[Aporte Adicional]]/12</f>
        <v>6310.2913708182778</v>
      </c>
      <c r="P22" s="52">
        <f>Tabela_Consulta_de_ERPGDI_1162[[#This Row],[Aporte Adicional]]/18</f>
        <v>4206.8609138788515</v>
      </c>
      <c r="Q22" s="52">
        <f>$Q$6*Tabela_Consulta_de_ERPGDI_1162[[#This Row],[%  area Priv]]</f>
        <v>2648.1379751253762</v>
      </c>
      <c r="R22" s="52">
        <f>Tabela_Consulta_de_ERPGDI_1162[[#This Row],[Aporte / unidade]]/6</f>
        <v>441.35632918756272</v>
      </c>
      <c r="S22" s="51">
        <f>Tabela_Consulta_de_ERPGDI_1162[[#This Row],[Aporte / unidade]]/Tabela_Consulta_de_ERPGDI_1162[[#This Row],[Area Privativa]]</f>
        <v>66.569582079572044</v>
      </c>
      <c r="V22" s="136" t="s">
        <v>54</v>
      </c>
      <c r="W22" s="135">
        <f t="shared" si="0"/>
        <v>2648.1379751253762</v>
      </c>
    </row>
    <row r="23" spans="2:23" ht="16.5" thickBot="1" x14ac:dyDescent="0.3">
      <c r="B23" s="77" t="s">
        <v>81</v>
      </c>
      <c r="C23" s="78">
        <v>70.16</v>
      </c>
      <c r="D23" s="79" t="s">
        <v>82</v>
      </c>
      <c r="E23" s="80">
        <v>389466.49</v>
      </c>
      <c r="F23" s="81">
        <v>375124.1</v>
      </c>
      <c r="G23" s="82">
        <v>0</v>
      </c>
      <c r="H23" s="82">
        <v>375124.1</v>
      </c>
      <c r="I23" s="82">
        <v>203000</v>
      </c>
      <c r="J23" s="82">
        <v>172124.1</v>
      </c>
      <c r="K23" s="83">
        <f>Tabela_Consulta_de_ERPGDI_1162[[#This Row],[CM]]/Tabela_Consulta_de_ERPGDI_1162[[#This Row],[VALORORIGINAL]]</f>
        <v>0</v>
      </c>
      <c r="L23" s="84">
        <f>Tabela_Consulta_de_ERPGDI_1162[[#This Row],[Area Privativa]]/$D$48</f>
        <v>4.6914075560013369E-2</v>
      </c>
      <c r="M23" s="85">
        <f>$M$6*Tabela_Consulta_de_ERPGDI_1162[[#This Row],[%  area Priv]]</f>
        <v>133553.55733834396</v>
      </c>
      <c r="N23" s="86">
        <f>Tabela_Consulta_de_ERPGDI_1162[[#This Row],[Aporte Adicional]]/Tabela_Consulta_de_ERPGDI_1162[[#This Row],[VALORATUAL]]</f>
        <v>0.35602499902923851</v>
      </c>
      <c r="O23" s="85">
        <f>Tabela_Consulta_de_ERPGDI_1162[[#This Row],[Aporte Adicional]]/12</f>
        <v>11129.463111528663</v>
      </c>
      <c r="P23" s="85">
        <f>Tabela_Consulta_de_ERPGDI_1162[[#This Row],[Aporte Adicional]]/18</f>
        <v>7419.6420743524423</v>
      </c>
      <c r="Q23" s="85">
        <f>$Q$6*Tabela_Consulta_de_ERPGDI_1162[[#This Row],[%  area Priv]]</f>
        <v>4670.5218787027743</v>
      </c>
      <c r="R23" s="85">
        <f>Tabela_Consulta_de_ERPGDI_1162[[#This Row],[Aporte / unidade]]/6</f>
        <v>778.42031311712901</v>
      </c>
      <c r="S23" s="51">
        <f>Tabela_Consulta_de_ERPGDI_1162[[#This Row],[Aporte / unidade]]/Tabela_Consulta_de_ERPGDI_1162[[#This Row],[Area Privativa]]</f>
        <v>66.569582079572044</v>
      </c>
      <c r="V23" s="136" t="s">
        <v>57</v>
      </c>
      <c r="W23" s="135">
        <f t="shared" si="0"/>
        <v>4560.0163724506847</v>
      </c>
    </row>
    <row r="24" spans="2:23" ht="15.75" x14ac:dyDescent="0.25">
      <c r="B24" s="87" t="s">
        <v>83</v>
      </c>
      <c r="C24" s="64">
        <v>39</v>
      </c>
      <c r="D24" s="65" t="s">
        <v>84</v>
      </c>
      <c r="E24" s="66">
        <v>239851.08</v>
      </c>
      <c r="F24" s="67">
        <v>236353.41</v>
      </c>
      <c r="G24" s="69">
        <v>8954.6057000000001</v>
      </c>
      <c r="H24" s="69">
        <v>245308.01569999999</v>
      </c>
      <c r="I24" s="69">
        <v>245308.11</v>
      </c>
      <c r="J24" s="69">
        <v>-9.4299999999999995E-2</v>
      </c>
      <c r="K24" s="70">
        <f>Tabela_Consulta_de_ERPGDI_1162[[#This Row],[CM]]/Tabela_Consulta_de_ERPGDI_1162[[#This Row],[VALORORIGINAL]]</f>
        <v>3.788650944363358E-2</v>
      </c>
      <c r="L24" s="71">
        <f>Tabela_Consulta_de_ERPGDI_1162[[#This Row],[Area Privativa]]/$D$48</f>
        <v>2.6078234704112337E-2</v>
      </c>
      <c r="M24" s="72">
        <f>$M$6*Tabela_Consulta_de_ERPGDI_1162[[#This Row],[%  area Priv]]</f>
        <v>74238.722009626785</v>
      </c>
      <c r="N24" s="73">
        <f>Tabela_Consulta_de_ERPGDI_1162[[#This Row],[Aporte Adicional]]/Tabela_Consulta_de_ERPGDI_1162[[#This Row],[VALORATUAL]]</f>
        <v>0.30263471740938624</v>
      </c>
      <c r="O24" s="72">
        <f>Tabela_Consulta_de_ERPGDI_1162[[#This Row],[Aporte Adicional]]/12</f>
        <v>6186.5601674688987</v>
      </c>
      <c r="P24" s="72">
        <f>Tabela_Consulta_de_ERPGDI_1162[[#This Row],[Aporte Adicional]]/18</f>
        <v>4124.3734449792655</v>
      </c>
      <c r="Q24" s="72">
        <f>$Q$6*Tabela_Consulta_de_ERPGDI_1162[[#This Row],[%  area Priv]]</f>
        <v>2596.2137011033096</v>
      </c>
      <c r="R24" s="72">
        <f>Tabela_Consulta_de_ERPGDI_1162[[#This Row],[Aporte / unidade]]/6</f>
        <v>432.70228351721829</v>
      </c>
      <c r="S24" s="51">
        <f>Tabela_Consulta_de_ERPGDI_1162[[#This Row],[Aporte / unidade]]/Tabela_Consulta_de_ERPGDI_1162[[#This Row],[Area Privativa]]</f>
        <v>66.569582079572044</v>
      </c>
      <c r="V24" s="136" t="s">
        <v>60</v>
      </c>
      <c r="W24" s="135">
        <f t="shared" si="0"/>
        <v>4560.0163724506847</v>
      </c>
    </row>
    <row r="25" spans="2:23" ht="15.75" x14ac:dyDescent="0.25">
      <c r="B25" s="40" t="s">
        <v>85</v>
      </c>
      <c r="C25" s="41">
        <v>39.39</v>
      </c>
      <c r="D25" s="42" t="s">
        <v>86</v>
      </c>
      <c r="E25" s="43">
        <v>243484.44</v>
      </c>
      <c r="F25" s="44">
        <v>242543.79</v>
      </c>
      <c r="G25" s="75">
        <v>63606.072</v>
      </c>
      <c r="H25" s="75">
        <v>306149.86200000002</v>
      </c>
      <c r="I25" s="75">
        <v>187086.31</v>
      </c>
      <c r="J25" s="75">
        <v>119063.552</v>
      </c>
      <c r="K25" s="47">
        <f>Tabela_Consulta_de_ERPGDI_1162[[#This Row],[CM]]/Tabela_Consulta_de_ERPGDI_1162[[#This Row],[VALORORIGINAL]]</f>
        <v>0.26224572478231661</v>
      </c>
      <c r="L25" s="48">
        <f>Tabela_Consulta_de_ERPGDI_1162[[#This Row],[Area Privativa]]/$D$48</f>
        <v>2.6339017051153459E-2</v>
      </c>
      <c r="M25" s="52">
        <f>$M$6*Tabela_Consulta_de_ERPGDI_1162[[#This Row],[%  area Priv]]</f>
        <v>74981.10922972305</v>
      </c>
      <c r="N25" s="76">
        <f>Tabela_Consulta_de_ERPGDI_1162[[#This Row],[Aporte Adicional]]/Tabela_Consulta_de_ERPGDI_1162[[#This Row],[VALORATUAL]]</f>
        <v>0.24491635808649506</v>
      </c>
      <c r="O25" s="52">
        <f>Tabela_Consulta_de_ERPGDI_1162[[#This Row],[Aporte Adicional]]/12</f>
        <v>6248.4257691435878</v>
      </c>
      <c r="P25" s="52">
        <f>Tabela_Consulta_de_ERPGDI_1162[[#This Row],[Aporte Adicional]]/18</f>
        <v>4165.6171794290585</v>
      </c>
      <c r="Q25" s="52">
        <f>$Q$6*Tabela_Consulta_de_ERPGDI_1162[[#This Row],[%  area Priv]]</f>
        <v>2622.1758381143427</v>
      </c>
      <c r="R25" s="52">
        <f>Tabela_Consulta_de_ERPGDI_1162[[#This Row],[Aporte / unidade]]/6</f>
        <v>437.02930635239045</v>
      </c>
      <c r="S25" s="51">
        <f>Tabela_Consulta_de_ERPGDI_1162[[#This Row],[Aporte / unidade]]/Tabela_Consulta_de_ERPGDI_1162[[#This Row],[Area Privativa]]</f>
        <v>66.569582079572044</v>
      </c>
      <c r="V25" s="136" t="s">
        <v>63</v>
      </c>
      <c r="W25" s="135">
        <f t="shared" si="0"/>
        <v>2648.1379751253762</v>
      </c>
    </row>
    <row r="26" spans="2:23" ht="15.75" x14ac:dyDescent="0.25">
      <c r="B26" s="40" t="s">
        <v>87</v>
      </c>
      <c r="C26" s="41">
        <v>39.78</v>
      </c>
      <c r="D26" s="42" t="s">
        <v>88</v>
      </c>
      <c r="E26" s="43">
        <v>227466.23999999999</v>
      </c>
      <c r="F26" s="44">
        <v>229912.15</v>
      </c>
      <c r="G26" s="75">
        <v>34472.446900000003</v>
      </c>
      <c r="H26" s="75">
        <v>264384.5969</v>
      </c>
      <c r="I26" s="75">
        <v>203677.52</v>
      </c>
      <c r="J26" s="75">
        <v>60707.0769</v>
      </c>
      <c r="K26" s="47">
        <f>Tabela_Consulta_de_ERPGDI_1162[[#This Row],[CM]]/Tabela_Consulta_de_ERPGDI_1162[[#This Row],[VALORORIGINAL]]</f>
        <v>0.1499374735089033</v>
      </c>
      <c r="L26" s="48">
        <f>Tabela_Consulta_de_ERPGDI_1162[[#This Row],[Area Privativa]]/$D$48</f>
        <v>2.6599799398194585E-2</v>
      </c>
      <c r="M26" s="52">
        <f>$M$6*Tabela_Consulta_de_ERPGDI_1162[[#This Row],[%  area Priv]]</f>
        <v>75723.496449819329</v>
      </c>
      <c r="N26" s="76">
        <f>Tabela_Consulta_de_ERPGDI_1162[[#This Row],[Aporte Adicional]]/Tabela_Consulta_de_ERPGDI_1162[[#This Row],[VALORATUAL]]</f>
        <v>0.28641417593045615</v>
      </c>
      <c r="O26" s="52">
        <f>Tabela_Consulta_de_ERPGDI_1162[[#This Row],[Aporte Adicional]]/12</f>
        <v>6310.2913708182778</v>
      </c>
      <c r="P26" s="52">
        <f>Tabela_Consulta_de_ERPGDI_1162[[#This Row],[Aporte Adicional]]/18</f>
        <v>4206.8609138788515</v>
      </c>
      <c r="Q26" s="52">
        <f>$Q$6*Tabela_Consulta_de_ERPGDI_1162[[#This Row],[%  area Priv]]</f>
        <v>2648.1379751253762</v>
      </c>
      <c r="R26" s="52">
        <f>Tabela_Consulta_de_ERPGDI_1162[[#This Row],[Aporte / unidade]]/6</f>
        <v>441.35632918756272</v>
      </c>
      <c r="S26" s="51">
        <f>Tabela_Consulta_de_ERPGDI_1162[[#This Row],[Aporte / unidade]]/Tabela_Consulta_de_ERPGDI_1162[[#This Row],[Area Privativa]]</f>
        <v>66.569582079572044</v>
      </c>
      <c r="V26" s="136" t="s">
        <v>65</v>
      </c>
      <c r="W26" s="135">
        <f t="shared" si="0"/>
        <v>4670.5218787027743</v>
      </c>
    </row>
    <row r="27" spans="2:23" ht="15.75" x14ac:dyDescent="0.25">
      <c r="B27" s="40" t="s">
        <v>89</v>
      </c>
      <c r="C27" s="41">
        <v>68.5</v>
      </c>
      <c r="D27" s="42" t="s">
        <v>90</v>
      </c>
      <c r="E27" s="43">
        <v>358845.51</v>
      </c>
      <c r="F27" s="44">
        <v>358845.51</v>
      </c>
      <c r="G27" s="75">
        <v>64123.724999999999</v>
      </c>
      <c r="H27" s="75">
        <v>422969.23499999999</v>
      </c>
      <c r="I27" s="75">
        <v>316729.59999999998</v>
      </c>
      <c r="J27" s="75">
        <v>106239.63499999999</v>
      </c>
      <c r="K27" s="47">
        <f>Tabela_Consulta_de_ERPGDI_1162[[#This Row],[CM]]/Tabela_Consulta_de_ERPGDI_1162[[#This Row],[VALORORIGINAL]]</f>
        <v>0.17869451675736447</v>
      </c>
      <c r="L27" s="48">
        <f>Tabela_Consulta_de_ERPGDI_1162[[#This Row],[Area Privativa]]/$D$48</f>
        <v>4.5804078903376795E-2</v>
      </c>
      <c r="M27" s="52">
        <f>$M$6*Tabela_Consulta_de_ERPGDI_1162[[#This Row],[%  area Priv]]</f>
        <v>130393.65276049833</v>
      </c>
      <c r="N27" s="76">
        <f>Tabela_Consulta_de_ERPGDI_1162[[#This Row],[Aporte Adicional]]/Tabela_Consulta_de_ERPGDI_1162[[#This Row],[VALORATUAL]]</f>
        <v>0.3082816478614534</v>
      </c>
      <c r="O27" s="52">
        <f>Tabela_Consulta_de_ERPGDI_1162[[#This Row],[Aporte Adicional]]/12</f>
        <v>10866.137730041528</v>
      </c>
      <c r="P27" s="52">
        <f>Tabela_Consulta_de_ERPGDI_1162[[#This Row],[Aporte Adicional]]/18</f>
        <v>7244.0918200276847</v>
      </c>
      <c r="Q27" s="52">
        <f>$Q$6*Tabela_Consulta_de_ERPGDI_1162[[#This Row],[%  area Priv]]</f>
        <v>4560.0163724506847</v>
      </c>
      <c r="R27" s="52">
        <f>Tabela_Consulta_de_ERPGDI_1162[[#This Row],[Aporte / unidade]]/6</f>
        <v>760.00272874178074</v>
      </c>
      <c r="S27" s="51">
        <f>Tabela_Consulta_de_ERPGDI_1162[[#This Row],[Aporte / unidade]]/Tabela_Consulta_de_ERPGDI_1162[[#This Row],[Area Privativa]]</f>
        <v>66.569582079572044</v>
      </c>
      <c r="V27" s="88"/>
      <c r="W27" s="89"/>
    </row>
    <row r="28" spans="2:23" ht="15.75" x14ac:dyDescent="0.25">
      <c r="B28" s="40" t="s">
        <v>91</v>
      </c>
      <c r="C28" s="41"/>
      <c r="D28" s="42" t="s">
        <v>92</v>
      </c>
      <c r="E28" s="43">
        <v>468863.86</v>
      </c>
      <c r="F28" s="44">
        <v>468863.86</v>
      </c>
      <c r="G28" s="75">
        <v>0</v>
      </c>
      <c r="H28" s="75">
        <v>468863.86</v>
      </c>
      <c r="I28" s="75">
        <v>468863.86</v>
      </c>
      <c r="J28" s="75">
        <v>0</v>
      </c>
      <c r="K28" s="47">
        <f>Tabela_Consulta_de_ERPGDI_1162[[#This Row],[CM]]/Tabela_Consulta_de_ERPGDI_1162[[#This Row],[VALORORIGINAL]]</f>
        <v>0</v>
      </c>
      <c r="L28" s="48">
        <f>Tabela_Consulta_de_ERPGDI_1162[[#This Row],[Area Privativa]]/$D$48</f>
        <v>0</v>
      </c>
      <c r="M28" s="90">
        <f>$M$6*Tabela_Consulta_de_ERPGDI_1162[[#This Row],[%  area Priv]]</f>
        <v>0</v>
      </c>
      <c r="N28" s="76">
        <f>Tabela_Consulta_de_ERPGDI_1162[[#This Row],[Aporte Adicional]]/Tabela_Consulta_de_ERPGDI_1162[[#This Row],[VALORATUAL]]</f>
        <v>0</v>
      </c>
      <c r="O28" s="90">
        <f>Tabela_Consulta_de_ERPGDI_1162[[#This Row],[Aporte Adicional]]/12</f>
        <v>0</v>
      </c>
      <c r="P28" s="90">
        <f>Tabela_Consulta_de_ERPGDI_1162[[#This Row],[Aporte Adicional]]/18</f>
        <v>0</v>
      </c>
      <c r="Q28" s="90">
        <f>$Q$6*Tabela_Consulta_de_ERPGDI_1162[[#This Row],[%  area Priv]]</f>
        <v>0</v>
      </c>
      <c r="R28" s="90">
        <f>Tabela_Consulta_de_ERPGDI_1162[[#This Row],[Aporte / unidade]]/6</f>
        <v>0</v>
      </c>
      <c r="S28" s="51"/>
    </row>
    <row r="29" spans="2:23" ht="15.75" x14ac:dyDescent="0.25">
      <c r="B29" s="40" t="s">
        <v>93</v>
      </c>
      <c r="C29" s="41"/>
      <c r="D29" s="42" t="s">
        <v>92</v>
      </c>
      <c r="E29" s="43">
        <v>300136.14</v>
      </c>
      <c r="F29" s="44">
        <v>300136.14</v>
      </c>
      <c r="G29" s="75">
        <v>0</v>
      </c>
      <c r="H29" s="75">
        <v>300136.14</v>
      </c>
      <c r="I29" s="75">
        <v>300136.14</v>
      </c>
      <c r="J29" s="75">
        <v>0</v>
      </c>
      <c r="K29" s="47">
        <f>Tabela_Consulta_de_ERPGDI_1162[[#This Row],[CM]]/Tabela_Consulta_de_ERPGDI_1162[[#This Row],[VALORORIGINAL]]</f>
        <v>0</v>
      </c>
      <c r="L29" s="48">
        <f>Tabela_Consulta_de_ERPGDI_1162[[#This Row],[Area Privativa]]/$D$48</f>
        <v>0</v>
      </c>
      <c r="M29" s="90">
        <f>$M$6*Tabela_Consulta_de_ERPGDI_1162[[#This Row],[%  area Priv]]</f>
        <v>0</v>
      </c>
      <c r="N29" s="76">
        <f>Tabela_Consulta_de_ERPGDI_1162[[#This Row],[Aporte Adicional]]/Tabela_Consulta_de_ERPGDI_1162[[#This Row],[VALORATUAL]]</f>
        <v>0</v>
      </c>
      <c r="O29" s="90">
        <f>Tabela_Consulta_de_ERPGDI_1162[[#This Row],[Aporte Adicional]]/12</f>
        <v>0</v>
      </c>
      <c r="P29" s="90">
        <f>Tabela_Consulta_de_ERPGDI_1162[[#This Row],[Aporte Adicional]]/18</f>
        <v>0</v>
      </c>
      <c r="Q29" s="90">
        <f>$Q$6*Tabela_Consulta_de_ERPGDI_1162[[#This Row],[%  area Priv]]</f>
        <v>0</v>
      </c>
      <c r="R29" s="90">
        <f>Tabela_Consulta_de_ERPGDI_1162[[#This Row],[Aporte / unidade]]/6</f>
        <v>0</v>
      </c>
      <c r="S29" s="51"/>
    </row>
    <row r="30" spans="2:23" ht="16.5" thickBot="1" x14ac:dyDescent="0.3">
      <c r="B30" s="91" t="s">
        <v>94</v>
      </c>
      <c r="C30" s="78">
        <v>70.16</v>
      </c>
      <c r="D30" s="92" t="s">
        <v>95</v>
      </c>
      <c r="E30" s="93">
        <v>405149.7</v>
      </c>
      <c r="F30" s="94">
        <v>503345.83</v>
      </c>
      <c r="G30" s="95">
        <v>16286.4535</v>
      </c>
      <c r="H30" s="95">
        <v>519632.28350000002</v>
      </c>
      <c r="I30" s="95">
        <v>259159.17</v>
      </c>
      <c r="J30" s="95">
        <v>260473.11350000001</v>
      </c>
      <c r="K30" s="96">
        <f>Tabela_Consulta_de_ERPGDI_1162[[#This Row],[CM]]/Tabela_Consulta_de_ERPGDI_1162[[#This Row],[VALORORIGINAL]]</f>
        <v>3.2356389045678592E-2</v>
      </c>
      <c r="L30" s="97">
        <f>Tabela_Consulta_de_ERPGDI_1162[[#This Row],[Area Privativa]]/$D$48</f>
        <v>4.6914075560013369E-2</v>
      </c>
      <c r="M30" s="98">
        <f>$M$6*Tabela_Consulta_de_ERPGDI_1162[[#This Row],[%  area Priv]]</f>
        <v>133553.55733834396</v>
      </c>
      <c r="N30" s="99">
        <f>Tabela_Consulta_de_ERPGDI_1162[[#This Row],[Aporte Adicional]]/Tabela_Consulta_de_ERPGDI_1162[[#This Row],[VALORATUAL]]</f>
        <v>0.25701551189004207</v>
      </c>
      <c r="O30" s="98">
        <f>Tabela_Consulta_de_ERPGDI_1162[[#This Row],[Aporte Adicional]]/12</f>
        <v>11129.463111528663</v>
      </c>
      <c r="P30" s="98">
        <f>Tabela_Consulta_de_ERPGDI_1162[[#This Row],[Aporte Adicional]]/18</f>
        <v>7419.6420743524423</v>
      </c>
      <c r="Q30" s="98">
        <f>$Q$6*Tabela_Consulta_de_ERPGDI_1162[[#This Row],[%  area Priv]]</f>
        <v>4670.5218787027743</v>
      </c>
      <c r="R30" s="98">
        <f>Tabela_Consulta_de_ERPGDI_1162[[#This Row],[Aporte / unidade]]/6</f>
        <v>778.42031311712901</v>
      </c>
      <c r="S30" s="51">
        <f>Tabela_Consulta_de_ERPGDI_1162[[#This Row],[Aporte / unidade]]/Tabela_Consulta_de_ERPGDI_1162[[#This Row],[Area Privativa]]</f>
        <v>66.569582079572044</v>
      </c>
    </row>
    <row r="31" spans="2:23" ht="15.75" x14ac:dyDescent="0.25">
      <c r="B31" s="100" t="s">
        <v>96</v>
      </c>
      <c r="C31" s="64">
        <v>39</v>
      </c>
      <c r="D31" s="101" t="s">
        <v>97</v>
      </c>
      <c r="E31" s="102">
        <v>238911.08</v>
      </c>
      <c r="F31" s="103">
        <v>238911.08</v>
      </c>
      <c r="G31" s="104">
        <v>30872.661</v>
      </c>
      <c r="H31" s="104">
        <v>269783.74099999998</v>
      </c>
      <c r="I31" s="104">
        <v>258949.22</v>
      </c>
      <c r="J31" s="104">
        <v>10834.521000000001</v>
      </c>
      <c r="K31" s="47">
        <f>Tabela_Consulta_de_ERPGDI_1162[[#This Row],[CM]]/Tabela_Consulta_de_ERPGDI_1162[[#This Row],[VALORORIGINAL]]</f>
        <v>0.12922239102514627</v>
      </c>
      <c r="L31" s="48">
        <f>Tabela_Consulta_de_ERPGDI_1162[[#This Row],[Area Privativa]]/$D$48</f>
        <v>2.6078234704112337E-2</v>
      </c>
      <c r="M31" s="49">
        <f>$M$6*Tabela_Consulta_de_ERPGDI_1162[[#This Row],[%  area Priv]]</f>
        <v>74238.722009626785</v>
      </c>
      <c r="N31" s="50">
        <f>Tabela_Consulta_de_ERPGDI_1162[[#This Row],[Aporte Adicional]]/Tabela_Consulta_de_ERPGDI_1162[[#This Row],[VALORATUAL]]</f>
        <v>0.27517863654217323</v>
      </c>
      <c r="O31" s="49">
        <f>Tabela_Consulta_de_ERPGDI_1162[[#This Row],[Aporte Adicional]]/12</f>
        <v>6186.5601674688987</v>
      </c>
      <c r="P31" s="49">
        <f>Tabela_Consulta_de_ERPGDI_1162[[#This Row],[Aporte Adicional]]/18</f>
        <v>4124.3734449792655</v>
      </c>
      <c r="Q31" s="49">
        <f>$Q$6*Tabela_Consulta_de_ERPGDI_1162[[#This Row],[%  area Priv]]</f>
        <v>2596.2137011033096</v>
      </c>
      <c r="R31" s="49">
        <f>Tabela_Consulta_de_ERPGDI_1162[[#This Row],[Aporte / unidade]]/6</f>
        <v>432.70228351721829</v>
      </c>
      <c r="S31" s="51">
        <f>Tabela_Consulta_de_ERPGDI_1162[[#This Row],[Aporte / unidade]]/Tabela_Consulta_de_ERPGDI_1162[[#This Row],[Area Privativa]]</f>
        <v>66.569582079572044</v>
      </c>
    </row>
    <row r="32" spans="2:23" ht="15.75" x14ac:dyDescent="0.25">
      <c r="B32" s="40" t="s">
        <v>98</v>
      </c>
      <c r="C32" s="41">
        <v>39.39</v>
      </c>
      <c r="D32" s="42" t="s">
        <v>99</v>
      </c>
      <c r="E32" s="43">
        <v>243484.44</v>
      </c>
      <c r="F32" s="44">
        <v>236975.16</v>
      </c>
      <c r="G32" s="75">
        <v>35727.819900000002</v>
      </c>
      <c r="H32" s="75">
        <v>272702.97989999998</v>
      </c>
      <c r="I32" s="75">
        <v>208363.15</v>
      </c>
      <c r="J32" s="75">
        <v>64339.829899999997</v>
      </c>
      <c r="K32" s="47">
        <f>Tabela_Consulta_de_ERPGDI_1162[[#This Row],[CM]]/Tabela_Consulta_de_ERPGDI_1162[[#This Row],[VALORORIGINAL]]</f>
        <v>0.1507660967503936</v>
      </c>
      <c r="L32" s="48">
        <f>Tabela_Consulta_de_ERPGDI_1162[[#This Row],[Area Privativa]]/$D$48</f>
        <v>2.6339017051153459E-2</v>
      </c>
      <c r="M32" s="52">
        <f>$M$6*Tabela_Consulta_de_ERPGDI_1162[[#This Row],[%  area Priv]]</f>
        <v>74981.10922972305</v>
      </c>
      <c r="N32" s="50">
        <f>Tabela_Consulta_de_ERPGDI_1162[[#This Row],[Aporte Adicional]]/Tabela_Consulta_de_ERPGDI_1162[[#This Row],[VALORATUAL]]</f>
        <v>0.27495522512155379</v>
      </c>
      <c r="O32" s="52">
        <f>Tabela_Consulta_de_ERPGDI_1162[[#This Row],[Aporte Adicional]]/12</f>
        <v>6248.4257691435878</v>
      </c>
      <c r="P32" s="52">
        <f>Tabela_Consulta_de_ERPGDI_1162[[#This Row],[Aporte Adicional]]/18</f>
        <v>4165.6171794290585</v>
      </c>
      <c r="Q32" s="52">
        <f>$Q$6*Tabela_Consulta_de_ERPGDI_1162[[#This Row],[%  area Priv]]</f>
        <v>2622.1758381143427</v>
      </c>
      <c r="R32" s="52">
        <f>Tabela_Consulta_de_ERPGDI_1162[[#This Row],[Aporte / unidade]]/6</f>
        <v>437.02930635239045</v>
      </c>
      <c r="S32" s="51">
        <f>Tabela_Consulta_de_ERPGDI_1162[[#This Row],[Aporte / unidade]]/Tabela_Consulta_de_ERPGDI_1162[[#This Row],[Area Privativa]]</f>
        <v>66.569582079572044</v>
      </c>
    </row>
    <row r="33" spans="2:22" ht="15.75" x14ac:dyDescent="0.25">
      <c r="B33" s="40" t="s">
        <v>100</v>
      </c>
      <c r="C33" s="41">
        <v>39.78</v>
      </c>
      <c r="D33" s="42" t="s">
        <v>101</v>
      </c>
      <c r="E33" s="43">
        <v>234986.23999999999</v>
      </c>
      <c r="F33" s="44">
        <v>236975.16</v>
      </c>
      <c r="G33" s="75">
        <v>36066.399100000002</v>
      </c>
      <c r="H33" s="75">
        <v>273041.55910000001</v>
      </c>
      <c r="I33" s="75">
        <v>208701.8</v>
      </c>
      <c r="J33" s="75">
        <v>64339.759100000003</v>
      </c>
      <c r="K33" s="47">
        <f>Tabela_Consulta_de_ERPGDI_1162[[#This Row],[CM]]/Tabela_Consulta_de_ERPGDI_1162[[#This Row],[VALORORIGINAL]]</f>
        <v>0.15219485071768704</v>
      </c>
      <c r="L33" s="48">
        <f>Tabela_Consulta_de_ERPGDI_1162[[#This Row],[Area Privativa]]/$D$48</f>
        <v>2.6599799398194585E-2</v>
      </c>
      <c r="M33" s="52">
        <f>$M$6*Tabela_Consulta_de_ERPGDI_1162[[#This Row],[%  area Priv]]</f>
        <v>75723.496449819329</v>
      </c>
      <c r="N33" s="50">
        <f>Tabela_Consulta_de_ERPGDI_1162[[#This Row],[Aporte Adicional]]/Tabela_Consulta_de_ERPGDI_1162[[#This Row],[VALORATUAL]]</f>
        <v>0.27733322611920042</v>
      </c>
      <c r="O33" s="52">
        <f>Tabela_Consulta_de_ERPGDI_1162[[#This Row],[Aporte Adicional]]/12</f>
        <v>6310.2913708182778</v>
      </c>
      <c r="P33" s="52">
        <f>Tabela_Consulta_de_ERPGDI_1162[[#This Row],[Aporte Adicional]]/18</f>
        <v>4206.8609138788515</v>
      </c>
      <c r="Q33" s="52">
        <f>$Q$6*Tabela_Consulta_de_ERPGDI_1162[[#This Row],[%  area Priv]]</f>
        <v>2648.1379751253762</v>
      </c>
      <c r="R33" s="52">
        <f>Tabela_Consulta_de_ERPGDI_1162[[#This Row],[Aporte / unidade]]/6</f>
        <v>441.35632918756272</v>
      </c>
      <c r="S33" s="51">
        <f>Tabela_Consulta_de_ERPGDI_1162[[#This Row],[Aporte / unidade]]/Tabela_Consulta_de_ERPGDI_1162[[#This Row],[Area Privativa]]</f>
        <v>66.569582079572044</v>
      </c>
    </row>
    <row r="34" spans="2:22" ht="15.75" x14ac:dyDescent="0.25">
      <c r="B34" s="40" t="s">
        <v>102</v>
      </c>
      <c r="C34" s="41">
        <v>68.5</v>
      </c>
      <c r="D34" s="42" t="s">
        <v>103</v>
      </c>
      <c r="E34" s="43">
        <v>374061.58</v>
      </c>
      <c r="F34" s="44">
        <v>374061.57</v>
      </c>
      <c r="G34" s="75">
        <v>64642.016000000003</v>
      </c>
      <c r="H34" s="75">
        <v>438703.58600000001</v>
      </c>
      <c r="I34" s="75">
        <v>286174.78999999998</v>
      </c>
      <c r="J34" s="75">
        <v>152528.796</v>
      </c>
      <c r="K34" s="47">
        <f>Tabela_Consulta_de_ERPGDI_1162[[#This Row],[CM]]/Tabela_Consulta_de_ERPGDI_1162[[#This Row],[VALORORIGINAL]]</f>
        <v>0.17281116581957351</v>
      </c>
      <c r="L34" s="48">
        <f>Tabela_Consulta_de_ERPGDI_1162[[#This Row],[Area Privativa]]/$D$48</f>
        <v>4.5804078903376795E-2</v>
      </c>
      <c r="M34" s="52">
        <f>$M$6*Tabela_Consulta_de_ERPGDI_1162[[#This Row],[%  area Priv]]</f>
        <v>130393.65276049833</v>
      </c>
      <c r="N34" s="50">
        <f>Tabela_Consulta_de_ERPGDI_1162[[#This Row],[Aporte Adicional]]/Tabela_Consulta_de_ERPGDI_1162[[#This Row],[VALORATUAL]]</f>
        <v>0.29722495307001734</v>
      </c>
      <c r="O34" s="52">
        <f>Tabela_Consulta_de_ERPGDI_1162[[#This Row],[Aporte Adicional]]/12</f>
        <v>10866.137730041528</v>
      </c>
      <c r="P34" s="52">
        <f>Tabela_Consulta_de_ERPGDI_1162[[#This Row],[Aporte Adicional]]/18</f>
        <v>7244.0918200276847</v>
      </c>
      <c r="Q34" s="52">
        <f>$Q$6*Tabela_Consulta_de_ERPGDI_1162[[#This Row],[%  area Priv]]</f>
        <v>4560.0163724506847</v>
      </c>
      <c r="R34" s="52">
        <f>Tabela_Consulta_de_ERPGDI_1162[[#This Row],[Aporte / unidade]]/6</f>
        <v>760.00272874178074</v>
      </c>
      <c r="S34" s="51">
        <f>Tabela_Consulta_de_ERPGDI_1162[[#This Row],[Aporte / unidade]]/Tabela_Consulta_de_ERPGDI_1162[[#This Row],[Area Privativa]]</f>
        <v>66.569582079572044</v>
      </c>
    </row>
    <row r="35" spans="2:22" ht="15.75" x14ac:dyDescent="0.25">
      <c r="B35" s="40" t="s">
        <v>104</v>
      </c>
      <c r="C35" s="41">
        <v>68.5</v>
      </c>
      <c r="D35" s="42" t="s">
        <v>105</v>
      </c>
      <c r="E35" s="43">
        <v>393081.65</v>
      </c>
      <c r="F35" s="44">
        <v>374118.08</v>
      </c>
      <c r="G35" s="75">
        <v>39498.402199999997</v>
      </c>
      <c r="H35" s="75">
        <v>413616.48220000003</v>
      </c>
      <c r="I35" s="75">
        <v>153915.82999999999</v>
      </c>
      <c r="J35" s="75">
        <v>259700.65220000001</v>
      </c>
      <c r="K35" s="47">
        <f>Tabela_Consulta_de_ERPGDI_1162[[#This Row],[CM]]/Tabela_Consulta_de_ERPGDI_1162[[#This Row],[VALORORIGINAL]]</f>
        <v>0.10557736797964962</v>
      </c>
      <c r="L35" s="48">
        <f>Tabela_Consulta_de_ERPGDI_1162[[#This Row],[Area Privativa]]/$D$48</f>
        <v>4.5804078903376795E-2</v>
      </c>
      <c r="M35" s="52">
        <f>$M$6*Tabela_Consulta_de_ERPGDI_1162[[#This Row],[%  area Priv]]</f>
        <v>130393.65276049833</v>
      </c>
      <c r="N35" s="50">
        <f>Tabela_Consulta_de_ERPGDI_1162[[#This Row],[Aporte Adicional]]/Tabela_Consulta_de_ERPGDI_1162[[#This Row],[VALORATUAL]]</f>
        <v>0.31525255489564319</v>
      </c>
      <c r="O35" s="52">
        <f>Tabela_Consulta_de_ERPGDI_1162[[#This Row],[Aporte Adicional]]/12</f>
        <v>10866.137730041528</v>
      </c>
      <c r="P35" s="52">
        <f>Tabela_Consulta_de_ERPGDI_1162[[#This Row],[Aporte Adicional]]/18</f>
        <v>7244.0918200276847</v>
      </c>
      <c r="Q35" s="52">
        <f>$Q$6*Tabela_Consulta_de_ERPGDI_1162[[#This Row],[%  area Priv]]</f>
        <v>4560.0163724506847</v>
      </c>
      <c r="R35" s="52">
        <f>Tabela_Consulta_de_ERPGDI_1162[[#This Row],[Aporte / unidade]]/6</f>
        <v>760.00272874178074</v>
      </c>
      <c r="S35" s="51">
        <f>Tabela_Consulta_de_ERPGDI_1162[[#This Row],[Aporte / unidade]]/Tabela_Consulta_de_ERPGDI_1162[[#This Row],[Area Privativa]]</f>
        <v>66.569582079572044</v>
      </c>
    </row>
    <row r="36" spans="2:22" ht="15.75" x14ac:dyDescent="0.25">
      <c r="B36" s="40" t="s">
        <v>106</v>
      </c>
      <c r="C36" s="41"/>
      <c r="D36" s="42" t="s">
        <v>107</v>
      </c>
      <c r="E36" s="43">
        <v>255975.2</v>
      </c>
      <c r="F36" s="44">
        <v>255975.2</v>
      </c>
      <c r="G36" s="75">
        <v>0</v>
      </c>
      <c r="H36" s="75">
        <v>255975.2</v>
      </c>
      <c r="I36" s="75">
        <v>255975.2</v>
      </c>
      <c r="J36" s="75">
        <v>0</v>
      </c>
      <c r="K36" s="47">
        <f>Tabela_Consulta_de_ERPGDI_1162[[#This Row],[CM]]/Tabela_Consulta_de_ERPGDI_1162[[#This Row],[VALORORIGINAL]]</f>
        <v>0</v>
      </c>
      <c r="L36" s="48">
        <f>Tabela_Consulta_de_ERPGDI_1162[[#This Row],[Area Privativa]]/$D$48</f>
        <v>0</v>
      </c>
      <c r="M36" s="90">
        <f>$M$6*Tabela_Consulta_de_ERPGDI_1162[[#This Row],[%  area Priv]]</f>
        <v>0</v>
      </c>
      <c r="N36" s="50">
        <f>Tabela_Consulta_de_ERPGDI_1162[[#This Row],[Aporte Adicional]]/Tabela_Consulta_de_ERPGDI_1162[[#This Row],[VALORATUAL]]</f>
        <v>0</v>
      </c>
      <c r="O36" s="90">
        <f>Tabela_Consulta_de_ERPGDI_1162[[#This Row],[Aporte Adicional]]/12</f>
        <v>0</v>
      </c>
      <c r="P36" s="90">
        <f>Tabela_Consulta_de_ERPGDI_1162[[#This Row],[Aporte Adicional]]/18</f>
        <v>0</v>
      </c>
      <c r="Q36" s="90">
        <f>$Q$6*Tabela_Consulta_de_ERPGDI_1162[[#This Row],[%  area Priv]]</f>
        <v>0</v>
      </c>
      <c r="R36" s="90">
        <f>Tabela_Consulta_de_ERPGDI_1162[[#This Row],[Aporte / unidade]]/6</f>
        <v>0</v>
      </c>
      <c r="S36" s="51"/>
    </row>
    <row r="37" spans="2:22" ht="16.5" thickBot="1" x14ac:dyDescent="0.3">
      <c r="B37" s="53" t="s">
        <v>108</v>
      </c>
      <c r="C37" s="78"/>
      <c r="D37" s="55" t="s">
        <v>107</v>
      </c>
      <c r="E37" s="56">
        <v>408312.88</v>
      </c>
      <c r="F37" s="57">
        <v>408312.88</v>
      </c>
      <c r="G37" s="105">
        <v>0</v>
      </c>
      <c r="H37" s="105">
        <v>408312.88</v>
      </c>
      <c r="I37" s="105">
        <v>408312.88</v>
      </c>
      <c r="J37" s="105">
        <v>0</v>
      </c>
      <c r="K37" s="60">
        <f>Tabela_Consulta_de_ERPGDI_1162[[#This Row],[CM]]/Tabela_Consulta_de_ERPGDI_1162[[#This Row],[VALORORIGINAL]]</f>
        <v>0</v>
      </c>
      <c r="L37" s="61">
        <f>Tabela_Consulta_de_ERPGDI_1162[[#This Row],[Area Privativa]]/$D$48</f>
        <v>0</v>
      </c>
      <c r="M37" s="106">
        <f>$M$6*Tabela_Consulta_de_ERPGDI_1162[[#This Row],[%  area Priv]]</f>
        <v>0</v>
      </c>
      <c r="N37" s="50">
        <f>Tabela_Consulta_de_ERPGDI_1162[[#This Row],[Aporte Adicional]]/Tabela_Consulta_de_ERPGDI_1162[[#This Row],[VALORATUAL]]</f>
        <v>0</v>
      </c>
      <c r="O37" s="106">
        <f>Tabela_Consulta_de_ERPGDI_1162[[#This Row],[Aporte Adicional]]/12</f>
        <v>0</v>
      </c>
      <c r="P37" s="106">
        <f>Tabela_Consulta_de_ERPGDI_1162[[#This Row],[Aporte Adicional]]/18</f>
        <v>0</v>
      </c>
      <c r="Q37" s="106">
        <f>$Q$6*Tabela_Consulta_de_ERPGDI_1162[[#This Row],[%  area Priv]]</f>
        <v>0</v>
      </c>
      <c r="R37" s="106">
        <f>Tabela_Consulta_de_ERPGDI_1162[[#This Row],[Aporte / unidade]]/6</f>
        <v>0</v>
      </c>
      <c r="S37" s="51"/>
    </row>
    <row r="38" spans="2:22" ht="15.75" x14ac:dyDescent="0.25">
      <c r="B38" s="107" t="s">
        <v>109</v>
      </c>
      <c r="C38" s="64">
        <v>39</v>
      </c>
      <c r="D38" s="108" t="s">
        <v>110</v>
      </c>
      <c r="E38" s="109">
        <v>238911.08</v>
      </c>
      <c r="F38" s="110">
        <v>242530.79</v>
      </c>
      <c r="G38" s="111">
        <v>33181.758699999998</v>
      </c>
      <c r="H38" s="111">
        <v>275712.54869999998</v>
      </c>
      <c r="I38" s="111">
        <v>207596.31</v>
      </c>
      <c r="J38" s="111">
        <v>68116.238700000002</v>
      </c>
      <c r="K38" s="112">
        <f>Tabela_Consulta_de_ERPGDI_1162[[#This Row],[CM]]/Tabela_Consulta_de_ERPGDI_1162[[#This Row],[VALORORIGINAL]]</f>
        <v>0.13681462341338185</v>
      </c>
      <c r="L38" s="113">
        <f>Tabela_Consulta_de_ERPGDI_1162[[#This Row],[Area Privativa]]/$D$48</f>
        <v>2.6078234704112337E-2</v>
      </c>
      <c r="M38" s="114">
        <f>$M$6*Tabela_Consulta_de_ERPGDI_1162[[#This Row],[%  area Priv]]</f>
        <v>74238.722009626785</v>
      </c>
      <c r="N38" s="115">
        <f>Tabela_Consulta_de_ERPGDI_1162[[#This Row],[Aporte Adicional]]/Tabela_Consulta_de_ERPGDI_1162[[#This Row],[VALORATUAL]]</f>
        <v>0.26926130986662195</v>
      </c>
      <c r="O38" s="114">
        <f>Tabela_Consulta_de_ERPGDI_1162[[#This Row],[Aporte Adicional]]/12</f>
        <v>6186.5601674688987</v>
      </c>
      <c r="P38" s="114">
        <f>Tabela_Consulta_de_ERPGDI_1162[[#This Row],[Aporte Adicional]]/18</f>
        <v>4124.3734449792655</v>
      </c>
      <c r="Q38" s="114">
        <f>$Q$6*Tabela_Consulta_de_ERPGDI_1162[[#This Row],[%  area Priv]]</f>
        <v>2596.2137011033096</v>
      </c>
      <c r="R38" s="114">
        <f>Tabela_Consulta_de_ERPGDI_1162[[#This Row],[Aporte / unidade]]/6</f>
        <v>432.70228351721829</v>
      </c>
      <c r="S38" s="51">
        <f>Tabela_Consulta_de_ERPGDI_1162[[#This Row],[Aporte / unidade]]/Tabela_Consulta_de_ERPGDI_1162[[#This Row],[Area Privativa]]</f>
        <v>66.569582079572044</v>
      </c>
      <c r="T38" s="116"/>
      <c r="U38" s="39"/>
      <c r="V38" s="39"/>
    </row>
    <row r="39" spans="2:22" ht="15.75" x14ac:dyDescent="0.25">
      <c r="B39" s="40" t="s">
        <v>111</v>
      </c>
      <c r="C39" s="41">
        <v>39.39</v>
      </c>
      <c r="D39" s="42" t="s">
        <v>112</v>
      </c>
      <c r="E39" s="43">
        <v>244717.44</v>
      </c>
      <c r="F39" s="44">
        <v>237474</v>
      </c>
      <c r="G39" s="75">
        <v>28004.082200000001</v>
      </c>
      <c r="H39" s="75">
        <v>265478.0822</v>
      </c>
      <c r="I39" s="75">
        <v>212225.9</v>
      </c>
      <c r="J39" s="75">
        <v>53252.182200000003</v>
      </c>
      <c r="K39" s="47">
        <f>Tabela_Consulta_de_ERPGDI_1162[[#This Row],[CM]]/Tabela_Consulta_de_ERPGDI_1162[[#This Row],[VALORORIGINAL]]</f>
        <v>0.11792483471874816</v>
      </c>
      <c r="L39" s="48">
        <f>Tabela_Consulta_de_ERPGDI_1162[[#This Row],[Area Privativa]]/$D$48</f>
        <v>2.6339017051153459E-2</v>
      </c>
      <c r="M39" s="52">
        <f>$M$6*Tabela_Consulta_de_ERPGDI_1162[[#This Row],[%  area Priv]]</f>
        <v>74981.10922972305</v>
      </c>
      <c r="N39" s="76">
        <f>Tabela_Consulta_de_ERPGDI_1162[[#This Row],[Aporte Adicional]]/Tabela_Consulta_de_ERPGDI_1162[[#This Row],[VALORATUAL]]</f>
        <v>0.28243804011374257</v>
      </c>
      <c r="O39" s="52">
        <f>Tabela_Consulta_de_ERPGDI_1162[[#This Row],[Aporte Adicional]]/12</f>
        <v>6248.4257691435878</v>
      </c>
      <c r="P39" s="52">
        <f>Tabela_Consulta_de_ERPGDI_1162[[#This Row],[Aporte Adicional]]/18</f>
        <v>4165.6171794290585</v>
      </c>
      <c r="Q39" s="52">
        <f>$Q$6*Tabela_Consulta_de_ERPGDI_1162[[#This Row],[%  area Priv]]</f>
        <v>2622.1758381143427</v>
      </c>
      <c r="R39" s="52">
        <f>Tabela_Consulta_de_ERPGDI_1162[[#This Row],[Aporte / unidade]]/6</f>
        <v>437.02930635239045</v>
      </c>
      <c r="S39" s="51">
        <f>Tabela_Consulta_de_ERPGDI_1162[[#This Row],[Aporte / unidade]]/Tabela_Consulta_de_ERPGDI_1162[[#This Row],[Area Privativa]]</f>
        <v>66.569582079572044</v>
      </c>
    </row>
    <row r="40" spans="2:22" ht="15.75" x14ac:dyDescent="0.25">
      <c r="B40" s="40" t="s">
        <v>113</v>
      </c>
      <c r="C40" s="41">
        <v>39.78</v>
      </c>
      <c r="D40" s="42" t="s">
        <v>114</v>
      </c>
      <c r="E40" s="43">
        <v>234985.3</v>
      </c>
      <c r="F40" s="44">
        <v>234986.16</v>
      </c>
      <c r="G40" s="75">
        <v>26107.624199999998</v>
      </c>
      <c r="H40" s="75">
        <v>261093.78419999999</v>
      </c>
      <c r="I40" s="75">
        <v>216960.84</v>
      </c>
      <c r="J40" s="75">
        <v>44132.944199999998</v>
      </c>
      <c r="K40" s="47">
        <f>Tabela_Consulta_de_ERPGDI_1162[[#This Row],[CM]]/Tabela_Consulta_de_ERPGDI_1162[[#This Row],[VALORORIGINAL]]</f>
        <v>0.11110281643821066</v>
      </c>
      <c r="L40" s="48">
        <f>Tabela_Consulta_de_ERPGDI_1162[[#This Row],[Area Privativa]]/$D$48</f>
        <v>2.6599799398194585E-2</v>
      </c>
      <c r="M40" s="52">
        <f>$M$6*Tabela_Consulta_de_ERPGDI_1162[[#This Row],[%  area Priv]]</f>
        <v>75723.496449819329</v>
      </c>
      <c r="N40" s="76">
        <f>Tabela_Consulta_de_ERPGDI_1162[[#This Row],[Aporte Adicional]]/Tabela_Consulta_de_ERPGDI_1162[[#This Row],[VALORATUAL]]</f>
        <v>0.29002412555258117</v>
      </c>
      <c r="O40" s="52">
        <f>Tabela_Consulta_de_ERPGDI_1162[[#This Row],[Aporte Adicional]]/12</f>
        <v>6310.2913708182778</v>
      </c>
      <c r="P40" s="52">
        <f>Tabela_Consulta_de_ERPGDI_1162[[#This Row],[Aporte Adicional]]/18</f>
        <v>4206.8609138788515</v>
      </c>
      <c r="Q40" s="52">
        <f>$Q$6*Tabela_Consulta_de_ERPGDI_1162[[#This Row],[%  area Priv]]</f>
        <v>2648.1379751253762</v>
      </c>
      <c r="R40" s="52">
        <f>Tabela_Consulta_de_ERPGDI_1162[[#This Row],[Aporte / unidade]]/6</f>
        <v>441.35632918756272</v>
      </c>
      <c r="S40" s="51">
        <f>Tabela_Consulta_de_ERPGDI_1162[[#This Row],[Aporte / unidade]]/Tabela_Consulta_de_ERPGDI_1162[[#This Row],[Area Privativa]]</f>
        <v>66.569582079572044</v>
      </c>
    </row>
    <row r="41" spans="2:22" ht="15.75" x14ac:dyDescent="0.25">
      <c r="B41" s="40" t="s">
        <v>115</v>
      </c>
      <c r="C41" s="41">
        <f>68.5/2</f>
        <v>34.25</v>
      </c>
      <c r="D41" s="42" t="s">
        <v>116</v>
      </c>
      <c r="E41" s="43">
        <v>187306.4</v>
      </c>
      <c r="F41" s="44">
        <v>187306.74</v>
      </c>
      <c r="G41" s="75">
        <v>18056.401099999999</v>
      </c>
      <c r="H41" s="75">
        <v>205363.14110000001</v>
      </c>
      <c r="I41" s="75">
        <v>205324.45</v>
      </c>
      <c r="J41" s="75">
        <v>38.691099999999999</v>
      </c>
      <c r="K41" s="47">
        <f>Tabela_Consulta_de_ERPGDI_1162[[#This Row],[CM]]/Tabela_Consulta_de_ERPGDI_1162[[#This Row],[VALORORIGINAL]]</f>
        <v>9.6400167447257906E-2</v>
      </c>
      <c r="L41" s="48">
        <f>Tabela_Consulta_de_ERPGDI_1162[[#This Row],[Area Privativa]]/$D$48</f>
        <v>2.2902039451688398E-2</v>
      </c>
      <c r="M41" s="52">
        <f>$M$6*Tabela_Consulta_de_ERPGDI_1162[[#This Row],[%  area Priv]]</f>
        <v>65196.826380249164</v>
      </c>
      <c r="N41" s="76">
        <f>Tabela_Consulta_de_ERPGDI_1162[[#This Row],[Aporte Adicional]]/Tabela_Consulta_de_ERPGDI_1162[[#This Row],[VALORATUAL]]</f>
        <v>0.31747092506976249</v>
      </c>
      <c r="O41" s="52">
        <f>Tabela_Consulta_de_ERPGDI_1162[[#This Row],[Aporte Adicional]]/12</f>
        <v>5433.068865020764</v>
      </c>
      <c r="P41" s="52">
        <f>Tabela_Consulta_de_ERPGDI_1162[[#This Row],[Aporte Adicional]]/18</f>
        <v>3622.0459100138423</v>
      </c>
      <c r="Q41" s="52">
        <f>$Q$6*Tabela_Consulta_de_ERPGDI_1162[[#This Row],[%  area Priv]]</f>
        <v>2280.0081862253423</v>
      </c>
      <c r="R41" s="52">
        <f>Tabela_Consulta_de_ERPGDI_1162[[#This Row],[Aporte / unidade]]/6</f>
        <v>380.00136437089037</v>
      </c>
      <c r="S41" s="51">
        <f>Tabela_Consulta_de_ERPGDI_1162[[#This Row],[Aporte / unidade]]/Tabela_Consulta_de_ERPGDI_1162[[#This Row],[Area Privativa]]</f>
        <v>66.569582079572044</v>
      </c>
    </row>
    <row r="42" spans="2:22" ht="15.75" x14ac:dyDescent="0.25">
      <c r="B42" s="40" t="s">
        <v>117</v>
      </c>
      <c r="C42" s="5">
        <f>C41</f>
        <v>34.25</v>
      </c>
      <c r="D42" s="42" t="s">
        <v>118</v>
      </c>
      <c r="E42" s="117">
        <f>E41</f>
        <v>187306.4</v>
      </c>
      <c r="F42" s="44">
        <v>187306.74</v>
      </c>
      <c r="G42" s="75">
        <v>24533.547699999999</v>
      </c>
      <c r="H42" s="75">
        <v>211840.28769999999</v>
      </c>
      <c r="I42" s="75">
        <v>211840.36</v>
      </c>
      <c r="J42" s="75">
        <v>-7.2300000000000003E-2</v>
      </c>
      <c r="K42" s="47">
        <f>Tabela_Consulta_de_ERPGDI_1162[[#This Row],[CM]]/Tabela_Consulta_de_ERPGDI_1162[[#This Row],[VALORORIGINAL]]</f>
        <v>0.13098059204917026</v>
      </c>
      <c r="L42" s="48">
        <f>Tabela_Consulta_de_ERPGDI_1162[[#This Row],[Area Privativa]]/$D$48</f>
        <v>2.2902039451688398E-2</v>
      </c>
      <c r="M42" s="52">
        <f>$M$6*Tabela_Consulta_de_ERPGDI_1162[[#This Row],[%  area Priv]]</f>
        <v>65196.826380249164</v>
      </c>
      <c r="N42" s="76">
        <f>Tabela_Consulta_de_ERPGDI_1162[[#This Row],[Aporte Adicional]]/Tabela_Consulta_de_ERPGDI_1162[[#This Row],[VALORATUAL]]</f>
        <v>0.30776405700778875</v>
      </c>
      <c r="O42" s="52">
        <f>Tabela_Consulta_de_ERPGDI_1162[[#This Row],[Aporte Adicional]]/12</f>
        <v>5433.068865020764</v>
      </c>
      <c r="P42" s="52">
        <f>Tabela_Consulta_de_ERPGDI_1162[[#This Row],[Aporte Adicional]]/18</f>
        <v>3622.0459100138423</v>
      </c>
      <c r="Q42" s="52">
        <f>$Q$6*Tabela_Consulta_de_ERPGDI_1162[[#This Row],[%  area Priv]]</f>
        <v>2280.0081862253423</v>
      </c>
      <c r="R42" s="52">
        <f>Tabela_Consulta_de_ERPGDI_1162[[#This Row],[Aporte / unidade]]/6</f>
        <v>380.00136437089037</v>
      </c>
      <c r="S42" s="51">
        <f>Tabela_Consulta_de_ERPGDI_1162[[#This Row],[Aporte / unidade]]/Tabela_Consulta_de_ERPGDI_1162[[#This Row],[Area Privativa]]</f>
        <v>66.569582079572044</v>
      </c>
    </row>
    <row r="43" spans="2:22" ht="15.75" x14ac:dyDescent="0.25">
      <c r="B43" s="40" t="s">
        <v>119</v>
      </c>
      <c r="C43" s="41"/>
      <c r="D43" s="42" t="s">
        <v>92</v>
      </c>
      <c r="E43" s="43">
        <v>468863.86</v>
      </c>
      <c r="F43" s="44">
        <v>468863.86</v>
      </c>
      <c r="G43" s="75">
        <v>0</v>
      </c>
      <c r="H43" s="75">
        <v>468863.86</v>
      </c>
      <c r="I43" s="75">
        <v>468863.86</v>
      </c>
      <c r="J43" s="75">
        <v>0</v>
      </c>
      <c r="K43" s="47">
        <f>Tabela_Consulta_de_ERPGDI_1162[[#This Row],[CM]]/Tabela_Consulta_de_ERPGDI_1162[[#This Row],[VALORORIGINAL]]</f>
        <v>0</v>
      </c>
      <c r="L43" s="48">
        <f>Tabela_Consulta_de_ERPGDI_1162[[#This Row],[Area Privativa]]/$D$48</f>
        <v>0</v>
      </c>
      <c r="M43" s="52">
        <f>$M$6*Tabela_Consulta_de_ERPGDI_1162[[#This Row],[%  area Priv]]</f>
        <v>0</v>
      </c>
      <c r="N43" s="76">
        <f>Tabela_Consulta_de_ERPGDI_1162[[#This Row],[Aporte Adicional]]/Tabela_Consulta_de_ERPGDI_1162[[#This Row],[VALORATUAL]]</f>
        <v>0</v>
      </c>
      <c r="O43" s="52">
        <f>Tabela_Consulta_de_ERPGDI_1162[[#This Row],[Aporte Adicional]]/12</f>
        <v>0</v>
      </c>
      <c r="P43" s="52">
        <f>Tabela_Consulta_de_ERPGDI_1162[[#This Row],[Aporte Adicional]]/18</f>
        <v>0</v>
      </c>
      <c r="Q43" s="52"/>
      <c r="R43" s="52"/>
      <c r="S43" s="51"/>
    </row>
    <row r="44" spans="2:22" ht="15.75" x14ac:dyDescent="0.25">
      <c r="B44" s="40" t="s">
        <v>120</v>
      </c>
      <c r="C44" s="41"/>
      <c r="D44" s="42" t="s">
        <v>92</v>
      </c>
      <c r="E44" s="117">
        <v>300136.14</v>
      </c>
      <c r="F44" s="44">
        <v>300136.14</v>
      </c>
      <c r="G44" s="45">
        <v>0</v>
      </c>
      <c r="H44" s="45">
        <v>300136.14</v>
      </c>
      <c r="I44" s="45">
        <v>300136.14</v>
      </c>
      <c r="J44" s="45">
        <v>0</v>
      </c>
      <c r="K44" s="47">
        <f>Tabela_Consulta_de_ERPGDI_1162[[#This Row],[CM]]/Tabela_Consulta_de_ERPGDI_1162[[#This Row],[VALORORIGINAL]]</f>
        <v>0</v>
      </c>
      <c r="L44" s="48">
        <f>Tabela_Consulta_de_ERPGDI_1162[[#This Row],[Area Privativa]]/$D$48</f>
        <v>0</v>
      </c>
      <c r="M44" s="52">
        <f>$M$6*Tabela_Consulta_de_ERPGDI_1162[[#This Row],[%  area Priv]]</f>
        <v>0</v>
      </c>
      <c r="N44" s="76">
        <f>Tabela_Consulta_de_ERPGDI_1162[[#This Row],[Aporte Adicional]]/Tabela_Consulta_de_ERPGDI_1162[[#This Row],[VALORATUAL]]</f>
        <v>0</v>
      </c>
      <c r="O44" s="52">
        <f>Tabela_Consulta_de_ERPGDI_1162[[#This Row],[Aporte Adicional]]/12</f>
        <v>0</v>
      </c>
      <c r="P44" s="52">
        <f>Tabela_Consulta_de_ERPGDI_1162[[#This Row],[Aporte Adicional]]/18</f>
        <v>0</v>
      </c>
      <c r="Q44" s="62"/>
      <c r="R44" s="62"/>
      <c r="S44" s="51"/>
    </row>
    <row r="45" spans="2:22" ht="16.5" thickBot="1" x14ac:dyDescent="0.3">
      <c r="B45" s="91" t="s">
        <v>121</v>
      </c>
      <c r="C45" s="78">
        <v>70.16</v>
      </c>
      <c r="D45" s="92" t="s">
        <v>122</v>
      </c>
      <c r="E45" s="93">
        <v>405150.06</v>
      </c>
      <c r="F45" s="94">
        <v>407864.24</v>
      </c>
      <c r="G45" s="95">
        <v>0</v>
      </c>
      <c r="H45" s="95">
        <v>407864.24</v>
      </c>
      <c r="I45" s="95">
        <v>407864.24</v>
      </c>
      <c r="J45" s="95">
        <v>0</v>
      </c>
      <c r="K45" s="96">
        <f>Tabela_Consulta_de_ERPGDI_1162[[#This Row],[CM]]/Tabela_Consulta_de_ERPGDI_1162[[#This Row],[VALORORIGINAL]]</f>
        <v>0</v>
      </c>
      <c r="L45" s="97">
        <f>Tabela_Consulta_de_ERPGDI_1162[[#This Row],[Area Privativa]]/$D$48</f>
        <v>4.6914075560013369E-2</v>
      </c>
      <c r="M45" s="98">
        <f>$M$6*Tabela_Consulta_de_ERPGDI_1162[[#This Row],[%  area Priv]]</f>
        <v>133553.55733834396</v>
      </c>
      <c r="N45" s="99">
        <f>Tabela_Consulta_de_ERPGDI_1162[[#This Row],[Aporte Adicional]]/Tabela_Consulta_de_ERPGDI_1162[[#This Row],[VALORATUAL]]</f>
        <v>0.32744610642586358</v>
      </c>
      <c r="O45" s="98">
        <f>Tabela_Consulta_de_ERPGDI_1162[[#This Row],[Aporte Adicional]]/12</f>
        <v>11129.463111528663</v>
      </c>
      <c r="P45" s="98">
        <f>Tabela_Consulta_de_ERPGDI_1162[[#This Row],[Aporte Adicional]]/18</f>
        <v>7419.6420743524423</v>
      </c>
      <c r="Q45" s="118">
        <f>$Q$6*Tabela_Consulta_de_ERPGDI_1162[[#This Row],[%  area Priv]]</f>
        <v>4670.5218787027743</v>
      </c>
      <c r="R45" s="118">
        <f>Tabela_Consulta_de_ERPGDI_1162[[#This Row],[Aporte / unidade]]/6</f>
        <v>778.42031311712901</v>
      </c>
      <c r="S45" s="51">
        <f>Tabela_Consulta_de_ERPGDI_1162[[#This Row],[Aporte / unidade]]/Tabela_Consulta_de_ERPGDI_1162[[#This Row],[Area Privativa]]</f>
        <v>66.569582079572044</v>
      </c>
      <c r="U45" s="119"/>
    </row>
    <row r="46" spans="2:22" ht="12.75" customHeight="1" x14ac:dyDescent="0.25">
      <c r="B46" s="120"/>
      <c r="C46" s="121"/>
      <c r="D46" s="122"/>
      <c r="E46" s="117"/>
      <c r="F46" s="123"/>
      <c r="G46" s="124"/>
      <c r="H46" s="124"/>
      <c r="I46" s="124"/>
      <c r="J46" s="124"/>
      <c r="K46" s="125"/>
      <c r="L46" s="126"/>
      <c r="M46" s="127"/>
      <c r="N46" s="128"/>
      <c r="O46" s="129"/>
      <c r="P46" s="129"/>
      <c r="Q46" s="130">
        <f>SUM(Tabela_Consulta_de_ERPGDI_1162[Aporte / unidade])</f>
        <v>99554.809999999983</v>
      </c>
      <c r="R46" s="129"/>
      <c r="S46" s="131"/>
    </row>
    <row r="48" spans="2:22" ht="12.75" customHeight="1" x14ac:dyDescent="0.25">
      <c r="C48" s="5" t="s">
        <v>123</v>
      </c>
      <c r="D48" s="6">
        <f>SUMIFS(Tabela_Consulta_de_ERPGDI_1162[Area Privativa],Tabela_Consulta_de_ERPGDI_1162[NOME],"&gt;&lt;D44",Tabela_Consulta_de_ERPGDI_1162[NOME],"&gt;&lt;D36")</f>
        <v>1495.5</v>
      </c>
    </row>
    <row r="49" spans="3:3" ht="12.75" customHeight="1" x14ac:dyDescent="0.25">
      <c r="C49" s="5" t="s">
        <v>124</v>
      </c>
    </row>
  </sheetData>
  <mergeCells count="3">
    <mergeCell ref="V19:W19"/>
    <mergeCell ref="V8:W8"/>
    <mergeCell ref="V4:W6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E4B3E09EDED004CBB3F6FD235F5FA1F" ma:contentTypeVersion="13" ma:contentTypeDescription="Crie um novo documento." ma:contentTypeScope="" ma:versionID="179e335ce6934d6e38aa74623f692938">
  <xsd:schema xmlns:xsd="http://www.w3.org/2001/XMLSchema" xmlns:xs="http://www.w3.org/2001/XMLSchema" xmlns:p="http://schemas.microsoft.com/office/2006/metadata/properties" xmlns:ns2="5e6f299a-b75c-4035-b9c4-c6ae41d625ba" xmlns:ns3="eb664419-4b15-4f86-b200-2d06461d55f8" targetNamespace="http://schemas.microsoft.com/office/2006/metadata/properties" ma:root="true" ma:fieldsID="e7abc7083b98363f33157abfcda4fbda" ns2:_="" ns3:_="">
    <xsd:import namespace="5e6f299a-b75c-4035-b9c4-c6ae41d625ba"/>
    <xsd:import namespace="eb664419-4b15-4f86-b200-2d06461d55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6f299a-b75c-4035-b9c4-c6ae41d625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64419-4b15-4f86-b200-2d06461d55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C14717-C06F-462D-9BDC-77ED82EB4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6f299a-b75c-4035-b9c4-c6ae41d625ba"/>
    <ds:schemaRef ds:uri="eb664419-4b15-4f86-b200-2d06461d55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A56B41-3FF6-4E27-B760-77B117AE21C1}">
  <ds:schemaRefs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eb664419-4b15-4f86-b200-2d06461d55f8"/>
    <ds:schemaRef ds:uri="5e6f299a-b75c-4035-b9c4-c6ae41d625b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125367-F372-4493-98C2-474B34193C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Completo</vt:lpstr>
      <vt:lpstr>Rateio Unidades</vt:lpstr>
      <vt:lpstr>Completo!Area_de_impressao</vt:lpstr>
      <vt:lpstr>'Rateio Unidades'!Area_de_impressao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Sócios GDI</dc:creator>
  <cp:keywords/>
  <dc:description/>
  <cp:lastModifiedBy>Sócios GDI</cp:lastModifiedBy>
  <cp:revision/>
  <cp:lastPrinted>2025-08-01T21:38:28Z</cp:lastPrinted>
  <dcterms:created xsi:type="dcterms:W3CDTF">2024-06-12T19:48:09Z</dcterms:created>
  <dcterms:modified xsi:type="dcterms:W3CDTF">2025-08-12T22:19:04Z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0x010100DE4B3E09EDED004CBB3F6FD235F5FA1F</vt:lpwstr>
  </property>
</Properties>
</file>