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945" yWindow="3780" windowWidth="8565" windowHeight="4335" activeTab="2"/>
  </bookViews>
  <sheets>
    <sheet name="Implementation_Schedule" sheetId="2" r:id="rId1"/>
    <sheet name="Cash_Flow" sheetId="3" r:id="rId2"/>
    <sheet name="Table_1" sheetId="1" r:id="rId3"/>
    <sheet name="Table_2" sheetId="4" r:id="rId4"/>
    <sheet name="Table_3" sheetId="5" r:id="rId5"/>
    <sheet name="Sheet1" sheetId="6" r:id="rId6"/>
  </sheets>
  <definedNames>
    <definedName name="\B">Table_1!$A$60:$A$60</definedName>
    <definedName name="\L">Table_1!$A$56:$A$56</definedName>
    <definedName name="\S">Table_1!$A$58:$A$58</definedName>
    <definedName name="\T">Table_1!$A$64:$A$64</definedName>
    <definedName name="\Y">Table_1!$D$63:$D$63</definedName>
    <definedName name="_xlnm.Print_Area" localSheetId="2">Table_1!$E$2</definedName>
    <definedName name="_TAB1">Table_1!$A$1:$N$39</definedName>
    <definedName name="_TAB2">Table_2!$A$1:$J$72</definedName>
    <definedName name="_TAB3">Table_1!$AE$54:$AZ$68</definedName>
  </definedNames>
  <calcPr calcId="145621"/>
</workbook>
</file>

<file path=xl/calcChain.xml><?xml version="1.0" encoding="utf-8"?>
<calcChain xmlns="http://schemas.openxmlformats.org/spreadsheetml/2006/main">
  <c r="T35" i="6" l="1"/>
  <c r="G9" i="6"/>
  <c r="E9" i="6"/>
  <c r="I6" i="6"/>
  <c r="G6" i="6"/>
  <c r="E6" i="6"/>
  <c r="G9" i="4"/>
  <c r="F9" i="4"/>
  <c r="F14" i="1"/>
  <c r="F17" i="1"/>
  <c r="F21" i="1"/>
  <c r="G10" i="4"/>
  <c r="F10" i="4"/>
  <c r="G14" i="1"/>
  <c r="G17" i="1"/>
  <c r="G21" i="1"/>
  <c r="F18" i="4"/>
  <c r="G18" i="4"/>
  <c r="G11" i="4"/>
  <c r="F11" i="4"/>
  <c r="F19" i="4"/>
  <c r="G19" i="4"/>
  <c r="H14" i="1"/>
  <c r="H17" i="1"/>
  <c r="H21" i="1"/>
  <c r="H38" i="1"/>
  <c r="F54" i="4"/>
  <c r="F32" i="4"/>
  <c r="F33" i="4"/>
  <c r="F35" i="4"/>
  <c r="F34" i="4"/>
  <c r="F9" i="5"/>
  <c r="G31" i="5"/>
  <c r="E31" i="5"/>
  <c r="F31" i="5"/>
  <c r="H31" i="5"/>
  <c r="I31" i="5"/>
  <c r="J31" i="5"/>
  <c r="L31" i="5"/>
  <c r="M31" i="5"/>
  <c r="N31" i="5"/>
  <c r="O31" i="5"/>
  <c r="P31" i="5"/>
  <c r="Q31" i="5"/>
  <c r="R31" i="5"/>
  <c r="S31" i="5"/>
  <c r="T31" i="5"/>
  <c r="U31" i="5"/>
  <c r="AJ84" i="1"/>
  <c r="AK84" i="1"/>
  <c r="AJ83" i="1"/>
  <c r="F19" i="5"/>
  <c r="E19" i="5"/>
  <c r="N11" i="5"/>
  <c r="G20" i="1"/>
  <c r="G10" i="1"/>
  <c r="G10" i="6"/>
  <c r="F20" i="1"/>
  <c r="F10" i="1"/>
  <c r="E10" i="6"/>
  <c r="G12" i="4"/>
  <c r="G15" i="4"/>
  <c r="G13" i="4"/>
  <c r="F13" i="4"/>
  <c r="I23" i="1"/>
  <c r="I28" i="1"/>
  <c r="I24" i="1"/>
  <c r="I27" i="1"/>
  <c r="G14" i="4"/>
  <c r="F14" i="4"/>
  <c r="G34" i="1"/>
  <c r="F35" i="1"/>
  <c r="G35" i="1"/>
  <c r="G37" i="1"/>
  <c r="H35" i="1"/>
  <c r="F37" i="1"/>
  <c r="H37" i="1"/>
  <c r="AJ85" i="1"/>
  <c r="AJ87" i="1"/>
  <c r="E67" i="4"/>
  <c r="G49" i="4"/>
  <c r="G42" i="4"/>
  <c r="G46" i="4"/>
  <c r="G41" i="4"/>
  <c r="G60" i="4"/>
  <c r="G53" i="4"/>
  <c r="G45" i="4"/>
  <c r="G40" i="4"/>
  <c r="F17" i="4"/>
  <c r="G50" i="4"/>
  <c r="G44" i="4"/>
  <c r="F36" i="1"/>
  <c r="I30" i="1"/>
  <c r="AL84" i="1"/>
  <c r="AK83" i="1"/>
  <c r="G19" i="5"/>
  <c r="F9" i="6"/>
  <c r="F10" i="6"/>
  <c r="H9" i="6"/>
  <c r="H10" i="6"/>
  <c r="G36" i="1"/>
  <c r="K31" i="5"/>
  <c r="F34" i="1"/>
  <c r="F12" i="4"/>
  <c r="F15" i="4"/>
  <c r="F37" i="4"/>
  <c r="E8" i="6"/>
  <c r="F8" i="6"/>
  <c r="F55" i="4"/>
  <c r="G8" i="6"/>
  <c r="H8" i="6"/>
  <c r="G54" i="4"/>
  <c r="F67" i="4"/>
  <c r="F69" i="4"/>
  <c r="H54" i="4"/>
  <c r="H41" i="4"/>
  <c r="H60" i="4"/>
  <c r="H40" i="4"/>
  <c r="H50" i="4"/>
  <c r="H49" i="4"/>
  <c r="H46" i="4"/>
  <c r="H53" i="4"/>
  <c r="H45" i="4"/>
  <c r="H44" i="4"/>
  <c r="H42" i="4"/>
  <c r="G71" i="4"/>
  <c r="AM84" i="1"/>
  <c r="AL83" i="1"/>
  <c r="H19" i="5"/>
  <c r="G67" i="4"/>
  <c r="E69" i="4"/>
  <c r="G38" i="1"/>
  <c r="G7" i="6"/>
  <c r="E7" i="6"/>
  <c r="F38" i="1"/>
  <c r="F56" i="4"/>
  <c r="F57" i="4"/>
  <c r="H37" i="4"/>
  <c r="F7" i="5"/>
  <c r="G37" i="4"/>
  <c r="G17" i="4"/>
  <c r="F20" i="4"/>
  <c r="G70" i="4"/>
  <c r="G69" i="4"/>
  <c r="AM83" i="1"/>
  <c r="I19" i="5"/>
  <c r="AN84" i="1"/>
  <c r="F12" i="5"/>
  <c r="G20" i="4"/>
  <c r="F58" i="4"/>
  <c r="E11" i="6"/>
  <c r="F7" i="6"/>
  <c r="F11" i="6"/>
  <c r="G11" i="6"/>
  <c r="H7" i="6"/>
  <c r="H11" i="6"/>
  <c r="I29" i="5"/>
  <c r="M29" i="5"/>
  <c r="Q29" i="5"/>
  <c r="U29" i="5"/>
  <c r="H29" i="5"/>
  <c r="L29" i="5"/>
  <c r="P29" i="5"/>
  <c r="T29" i="5"/>
  <c r="K29" i="5"/>
  <c r="O29" i="5"/>
  <c r="S29" i="5"/>
  <c r="G29" i="5"/>
  <c r="R29" i="5"/>
  <c r="E29" i="5"/>
  <c r="F29" i="5"/>
  <c r="J29" i="5"/>
  <c r="N29" i="5"/>
  <c r="AN83" i="1"/>
  <c r="J19" i="5"/>
  <c r="AO84" i="1"/>
  <c r="G58" i="4"/>
  <c r="H58" i="4"/>
  <c r="F59" i="4"/>
  <c r="H36" i="5"/>
  <c r="H37" i="5"/>
  <c r="H38" i="5"/>
  <c r="L36" i="5"/>
  <c r="L37" i="5"/>
  <c r="L38" i="5"/>
  <c r="P36" i="5"/>
  <c r="P37" i="5"/>
  <c r="P38" i="5"/>
  <c r="T36" i="5"/>
  <c r="T37" i="5"/>
  <c r="T38" i="5"/>
  <c r="G36" i="5"/>
  <c r="G37" i="5"/>
  <c r="G38" i="5"/>
  <c r="K36" i="5"/>
  <c r="K37" i="5"/>
  <c r="K38" i="5"/>
  <c r="O36" i="5"/>
  <c r="O37" i="5"/>
  <c r="O38" i="5"/>
  <c r="S36" i="5"/>
  <c r="S37" i="5"/>
  <c r="S38" i="5"/>
  <c r="E36" i="5"/>
  <c r="E37" i="5"/>
  <c r="E38" i="5"/>
  <c r="F36" i="5"/>
  <c r="F37" i="5"/>
  <c r="F38" i="5"/>
  <c r="J36" i="5"/>
  <c r="J37" i="5"/>
  <c r="J38" i="5"/>
  <c r="N36" i="5"/>
  <c r="N37" i="5"/>
  <c r="N38" i="5"/>
  <c r="R36" i="5"/>
  <c r="R37" i="5"/>
  <c r="R38" i="5"/>
  <c r="I36" i="5"/>
  <c r="I37" i="5"/>
  <c r="I38" i="5"/>
  <c r="M36" i="5"/>
  <c r="M37" i="5"/>
  <c r="M38" i="5"/>
  <c r="Q36" i="5"/>
  <c r="Q37" i="5"/>
  <c r="Q38" i="5"/>
  <c r="U36" i="5"/>
  <c r="U37" i="5"/>
  <c r="U38" i="5"/>
  <c r="F8" i="5"/>
  <c r="H59" i="4"/>
  <c r="G59" i="4"/>
  <c r="F61" i="4"/>
  <c r="AO83" i="1"/>
  <c r="K19" i="5"/>
  <c r="AP84" i="1"/>
  <c r="F30" i="5"/>
  <c r="F32" i="5"/>
  <c r="J30" i="5"/>
  <c r="J32" i="5"/>
  <c r="N30" i="5"/>
  <c r="N32" i="5"/>
  <c r="R30" i="5"/>
  <c r="R32" i="5"/>
  <c r="E30" i="5"/>
  <c r="E32" i="5"/>
  <c r="I30" i="5"/>
  <c r="I32" i="5"/>
  <c r="M30" i="5"/>
  <c r="M32" i="5"/>
  <c r="Q30" i="5"/>
  <c r="Q32" i="5"/>
  <c r="U30" i="5"/>
  <c r="U32" i="5"/>
  <c r="H30" i="5"/>
  <c r="H32" i="5"/>
  <c r="L30" i="5"/>
  <c r="L32" i="5"/>
  <c r="P30" i="5"/>
  <c r="P32" i="5"/>
  <c r="T30" i="5"/>
  <c r="T32" i="5"/>
  <c r="G30" i="5"/>
  <c r="G32" i="5"/>
  <c r="K30" i="5"/>
  <c r="K32" i="5"/>
  <c r="O30" i="5"/>
  <c r="O32" i="5"/>
  <c r="S30" i="5"/>
  <c r="S32" i="5"/>
  <c r="AP83" i="1"/>
  <c r="L19" i="5"/>
  <c r="AQ84" i="1"/>
  <c r="H61" i="4"/>
  <c r="G61" i="4"/>
  <c r="F62" i="4"/>
  <c r="T33" i="5"/>
  <c r="T34" i="5"/>
  <c r="P33" i="5"/>
  <c r="P34" i="5"/>
  <c r="R33" i="5"/>
  <c r="R34" i="5"/>
  <c r="AQ83" i="1"/>
  <c r="M19" i="5"/>
  <c r="AR84" i="1"/>
  <c r="L33" i="5"/>
  <c r="L34" i="5"/>
  <c r="N33" i="5"/>
  <c r="N34" i="5"/>
  <c r="H34" i="5"/>
  <c r="H33" i="5"/>
  <c r="J33" i="5"/>
  <c r="J34" i="5"/>
  <c r="S33" i="5"/>
  <c r="S34" i="5"/>
  <c r="U33" i="5"/>
  <c r="U34" i="5"/>
  <c r="F33" i="5"/>
  <c r="F34" i="5"/>
  <c r="O33" i="5"/>
  <c r="O34" i="5"/>
  <c r="Q33" i="5"/>
  <c r="Q34" i="5"/>
  <c r="K33" i="5"/>
  <c r="K34" i="5"/>
  <c r="M33" i="5"/>
  <c r="M34" i="5"/>
  <c r="G62" i="4"/>
  <c r="F10" i="5"/>
  <c r="H62" i="4"/>
  <c r="G33" i="5"/>
  <c r="G34" i="5"/>
  <c r="I33" i="5"/>
  <c r="I34" i="5"/>
  <c r="E33" i="5"/>
  <c r="E34" i="5"/>
  <c r="P35" i="6"/>
  <c r="AV77" i="1"/>
  <c r="R40" i="5"/>
  <c r="N35" i="6"/>
  <c r="AT77" i="1"/>
  <c r="P40" i="5"/>
  <c r="D35" i="6"/>
  <c r="AJ77" i="1"/>
  <c r="F40" i="5"/>
  <c r="AX77" i="1"/>
  <c r="R35" i="6"/>
  <c r="T40" i="5"/>
  <c r="K35" i="6"/>
  <c r="AQ77" i="1"/>
  <c r="M40" i="5"/>
  <c r="AP77" i="1"/>
  <c r="J35" i="6"/>
  <c r="L40" i="5"/>
  <c r="F35" i="6"/>
  <c r="AL77" i="1"/>
  <c r="H40" i="5"/>
  <c r="AO77" i="1"/>
  <c r="I35" i="6"/>
  <c r="K40" i="5"/>
  <c r="S35" i="6"/>
  <c r="AY77" i="1"/>
  <c r="U40" i="5"/>
  <c r="L35" i="6"/>
  <c r="AR77" i="1"/>
  <c r="N40" i="5"/>
  <c r="E35" i="6"/>
  <c r="AK77" i="1"/>
  <c r="G40" i="5"/>
  <c r="AU77" i="1"/>
  <c r="O35" i="6"/>
  <c r="Q40" i="5"/>
  <c r="AW77" i="1"/>
  <c r="Q35" i="6"/>
  <c r="S40" i="5"/>
  <c r="AS77" i="1"/>
  <c r="M35" i="6"/>
  <c r="O40" i="5"/>
  <c r="H35" i="6"/>
  <c r="AN77" i="1"/>
  <c r="J40" i="5"/>
  <c r="AR83" i="1"/>
  <c r="N19" i="5"/>
  <c r="AS84" i="1"/>
  <c r="C35" i="6"/>
  <c r="AI77" i="1"/>
  <c r="E40" i="5"/>
  <c r="F46" i="5"/>
  <c r="F47" i="5"/>
  <c r="AM77" i="1"/>
  <c r="G35" i="6"/>
  <c r="I40" i="5"/>
  <c r="AT84" i="1"/>
  <c r="AS83" i="1"/>
  <c r="O19" i="5"/>
  <c r="E41" i="5"/>
  <c r="I41" i="5"/>
  <c r="I42" i="5"/>
  <c r="I51" i="5"/>
  <c r="I52" i="5"/>
  <c r="M41" i="5"/>
  <c r="M42" i="5"/>
  <c r="M51" i="5"/>
  <c r="M52" i="5"/>
  <c r="Q41" i="5"/>
  <c r="Q42" i="5"/>
  <c r="Q51" i="5"/>
  <c r="Q52" i="5"/>
  <c r="U41" i="5"/>
  <c r="U42" i="5"/>
  <c r="U51" i="5"/>
  <c r="U52" i="5"/>
  <c r="H41" i="5"/>
  <c r="H42" i="5"/>
  <c r="H51" i="5"/>
  <c r="H52" i="5"/>
  <c r="L41" i="5"/>
  <c r="L42" i="5"/>
  <c r="L51" i="5"/>
  <c r="L52" i="5"/>
  <c r="P41" i="5"/>
  <c r="P42" i="5"/>
  <c r="P51" i="5"/>
  <c r="P52" i="5"/>
  <c r="T41" i="5"/>
  <c r="T42" i="5"/>
  <c r="T51" i="5"/>
  <c r="T52" i="5"/>
  <c r="G41" i="5"/>
  <c r="G42" i="5"/>
  <c r="G51" i="5"/>
  <c r="G52" i="5"/>
  <c r="K41" i="5"/>
  <c r="K42" i="5"/>
  <c r="K51" i="5"/>
  <c r="K52" i="5"/>
  <c r="O41" i="5"/>
  <c r="O42" i="5"/>
  <c r="O51" i="5"/>
  <c r="O52" i="5"/>
  <c r="S41" i="5"/>
  <c r="S42" i="5"/>
  <c r="S51" i="5"/>
  <c r="S52" i="5"/>
  <c r="F41" i="5"/>
  <c r="F42" i="5"/>
  <c r="F51" i="5"/>
  <c r="F52" i="5"/>
  <c r="J41" i="5"/>
  <c r="J42" i="5"/>
  <c r="J51" i="5"/>
  <c r="J52" i="5"/>
  <c r="N41" i="5"/>
  <c r="N42" i="5"/>
  <c r="N51" i="5"/>
  <c r="N52" i="5"/>
  <c r="R41" i="5"/>
  <c r="R42" i="5"/>
  <c r="R51" i="5"/>
  <c r="R52" i="5"/>
  <c r="E42" i="5"/>
  <c r="F48" i="5"/>
  <c r="AU84" i="1"/>
  <c r="AT83" i="1"/>
  <c r="P19" i="5"/>
  <c r="AU83" i="1"/>
  <c r="Q19" i="5"/>
  <c r="AV84" i="1"/>
  <c r="F49" i="5"/>
  <c r="F50" i="5"/>
  <c r="E51" i="5"/>
  <c r="F44" i="5"/>
  <c r="F45" i="5"/>
  <c r="D51" i="5"/>
  <c r="E52" i="5"/>
  <c r="D52" i="5"/>
  <c r="AV83" i="1"/>
  <c r="R19" i="5"/>
  <c r="AW84" i="1"/>
  <c r="AW83" i="1"/>
  <c r="S19" i="5"/>
  <c r="AX84" i="1"/>
  <c r="AX83" i="1"/>
  <c r="T19" i="5"/>
  <c r="AY84" i="1"/>
  <c r="AY83" i="1"/>
  <c r="U19" i="5"/>
</calcChain>
</file>

<file path=xl/sharedStrings.xml><?xml version="1.0" encoding="utf-8"?>
<sst xmlns="http://schemas.openxmlformats.org/spreadsheetml/2006/main" count="373" uniqueCount="319">
  <si>
    <t>Formulae in Column G29 to G42</t>
  </si>
  <si>
    <t>@SUM(E42..T42)</t>
  </si>
  <si>
    <t>@IF(F21=1,0,(+G21-F21)*$F7)/1000</t>
  </si>
  <si>
    <t>+F44*-1/@SUM(F7..F9)*1000</t>
  </si>
  <si>
    <t>@IF(F22=1,0,(+G22-F22)*$F8)/1000</t>
  </si>
  <si>
    <t>@SUM(E33..T33)</t>
  </si>
  <si>
    <t>@IF(F23=1,0,(+G23-F23)*$F9)/1000</t>
  </si>
  <si>
    <t>ITERATION :</t>
  </si>
  <si>
    <t>+F46/@SUM(F7..F9)*1000</t>
  </si>
  <si>
    <t>@SUM(G29..G31)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</si>
  <si>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</si>
  <si>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</si>
  <si>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</si>
  <si>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</si>
  <si>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</si>
  <si>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</si>
  <si>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</si>
  <si>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</si>
  <si>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</si>
  <si>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U</t>
  </si>
  <si>
    <t>Data Origin:</t>
  </si>
  <si>
    <t>@MIN(E41..T41)*(-1)</t>
  </si>
  <si>
    <t>+G32*((1+$H$16)^(1/4*G$20)-1)</t>
  </si>
  <si>
    <t>ha</t>
  </si>
  <si>
    <t>%</t>
  </si>
  <si>
    <t>+Table_2:U37</t>
  </si>
  <si>
    <t>+F48*1000/@SUM(F7..F9)</t>
  </si>
  <si>
    <t>+G32+G33</t>
  </si>
  <si>
    <t>Total</t>
  </si>
  <si>
    <t>+Table_2:U59</t>
  </si>
  <si>
    <t>+F48/@SUM(F7..F10)*1000</t>
  </si>
  <si>
    <t>@IF(F25=1,0,(+G25-F25)*$F12)/1000</t>
  </si>
  <si>
    <t>Column f</t>
  </si>
  <si>
    <t>+Table_1:F23</t>
  </si>
  <si>
    <t>+Table_2:U60</t>
  </si>
  <si>
    <t>+F42+F40</t>
  </si>
  <si>
    <t>+G36*((1+$H$16)^(1/4*G$20)-1)</t>
  </si>
  <si>
    <t>$</t>
  </si>
  <si>
    <t>+Table_1:G23</t>
  </si>
  <si>
    <t>+Table_2:U62</t>
  </si>
  <si>
    <t>+G37+G36</t>
  </si>
  <si>
    <t>m2</t>
  </si>
  <si>
    <t>+Table_1:H24</t>
  </si>
  <si>
    <t>Formulae in column E51 to e52</t>
  </si>
  <si>
    <t>+G38-G34</t>
  </si>
  <si>
    <t>$/m2</t>
  </si>
  <si>
    <t>+Table_1:I25</t>
  </si>
  <si>
    <t>+Table_2:U20</t>
  </si>
  <si>
    <t>(1+@IRR(0.12,E51..U51))^4-1</t>
  </si>
  <si>
    <t>@SUM($E$40..G40)</t>
  </si>
  <si>
    <t>/</t>
  </si>
  <si>
    <t>+Table_1:I26</t>
  </si>
  <si>
    <t>(1+@IRR(0.12,E52..U52))^4-1</t>
  </si>
  <si>
    <t>@IF(G41&lt;0,+G41*(($F$14+1)^(1/4)-1),0)</t>
  </si>
  <si>
    <t>+F12*F13</t>
  </si>
  <si>
    <t>+Table_1:I27</t>
  </si>
  <si>
    <t>@SUM(U9..U14)</t>
  </si>
  <si>
    <t>@SUM(G9..G14)</t>
  </si>
  <si>
    <t>$/salable m2</t>
  </si>
  <si>
    <t>(1-F15-F16)*F14</t>
  </si>
  <si>
    <t>"</t>
  </si>
  <si>
    <t>+F11/F13/F19</t>
  </si>
  <si>
    <t>+F20/@SUM(F9..F11)/10000</t>
  </si>
  <si>
    <t>(F17-F18)*F19</t>
  </si>
  <si>
    <t>Off Site Infrastructure</t>
  </si>
  <si>
    <t>Column i</t>
  </si>
  <si>
    <t xml:space="preserve">   "</t>
  </si>
  <si>
    <t>(F23*F21+G23*G21+H24*H21)/(F23+G23+H24)</t>
  </si>
  <si>
    <t>@SUM(F23..F31)</t>
  </si>
  <si>
    <t>column f</t>
  </si>
  <si>
    <t>+E33*F32</t>
  </si>
  <si>
    <t>$/du</t>
  </si>
  <si>
    <t>+F16*F10</t>
  </si>
  <si>
    <t>@SUM(F32..F33)*E34</t>
  </si>
  <si>
    <t>+F16*F12</t>
  </si>
  <si>
    <t>+E35*@SUM(F32..F34)</t>
  </si>
  <si>
    <t>+F20*F21</t>
  </si>
  <si>
    <t>+F35*F19</t>
  </si>
  <si>
    <t>@SUM(F32..F35)*E36</t>
  </si>
  <si>
    <t>+F37/@SUM($F$9..$F$11)/10000</t>
  </si>
  <si>
    <t>+F37/$F$15/10000</t>
  </si>
  <si>
    <t>ratio</t>
  </si>
  <si>
    <t>+F36/F10</t>
  </si>
  <si>
    <t>Cumulative Cash Flow</t>
  </si>
  <si>
    <t>million US$</t>
  </si>
  <si>
    <t>@SUM(F40..F53)</t>
  </si>
  <si>
    <t>+F54/@SUM($F$9..$F$11)/10000</t>
  </si>
  <si>
    <t>+F54/$F$15/10000</t>
  </si>
  <si>
    <t>+E55*F54</t>
  </si>
  <si>
    <t>(+F54+F55)*E56</t>
  </si>
  <si>
    <t>@SUM(F54..F56)*E57</t>
  </si>
  <si>
    <t>@SUM(F54..F57)*E58</t>
  </si>
  <si>
    <t>@SUM(F54..F58)</t>
  </si>
  <si>
    <t>+F59+F37+F60</t>
  </si>
  <si>
    <t>+F20-F61</t>
  </si>
  <si>
    <t>+F62/@SUM($F$9..$F$11)/10000</t>
  </si>
  <si>
    <t>+F62/$F$15/10000</t>
  </si>
  <si>
    <t>Column e</t>
  </si>
  <si>
    <t>Column k</t>
  </si>
  <si>
    <t>@ROUND(+F9*10000/Table_1:F20,0)</t>
  </si>
  <si>
    <t>@ROUND(+F10*10000/Table_1:G20,0)</t>
  </si>
  <si>
    <t>+E67+F67</t>
  </si>
  <si>
    <t>people</t>
  </si>
  <si>
    <t>+E67*E68/F9</t>
  </si>
  <si>
    <t>+F67*E68/F10</t>
  </si>
  <si>
    <t>+G67*E68/@SUM(F9..F10)</t>
  </si>
  <si>
    <t>+G67*E68/F15</t>
  </si>
  <si>
    <t>(+F9*Table_1:F19+F10*Table_1:G19+F11*Table_1:H19)/F15</t>
  </si>
  <si>
    <t>Graph</t>
  </si>
  <si>
    <t>Land &amp; Infra</t>
  </si>
  <si>
    <t>CUMULATIVE CASH FLOW, QUARTERLY INCOME &amp; EXPENDITURES</t>
  </si>
  <si>
    <t>Design, Profit &amp; Overheads</t>
  </si>
  <si>
    <t>EXPENDITURE (GRAPH</t>
  </si>
  <si>
    <t>Construction</t>
  </si>
  <si>
    <t>leg1</t>
  </si>
  <si>
    <t>leg2</t>
  </si>
  <si>
    <t>Income</t>
  </si>
  <si>
    <t>leg3</t>
  </si>
  <si>
    <t>Expentitures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</si>
  <si>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</si>
  <si>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</si>
  <si>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</si>
  <si>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</si>
  <si>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</si>
  <si>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</si>
  <si>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</si>
  <si>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</si>
  <si>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</si>
  <si>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</si>
  <si>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</si>
  <si>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</si>
  <si>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</si>
  <si>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</si>
  <si>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</si>
  <si>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</si>
  <si>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ТАБЛИЦА 1 - МАКСИМАЛЬНАЯ      ЦЕНА</t>
  </si>
  <si>
    <t>ПОДГОТОВЛЕННОЙ ТЕРРИТОРИИ ДЛЯ ЗАСТРОЙЩИКОВ ДОМОВ</t>
  </si>
  <si>
    <t>Средняя   цена</t>
  </si>
  <si>
    <t>Полезная площадь</t>
  </si>
  <si>
    <t>Цена     полезной площади</t>
  </si>
  <si>
    <t>Отношение полезной  к общей площади</t>
  </si>
  <si>
    <t>Цена           общей площади</t>
  </si>
  <si>
    <t>Проект.надзор и руководство</t>
  </si>
  <si>
    <t>Прибыль застройщика домов</t>
  </si>
  <si>
    <t>Стоимость общей площапи(вкл.землю)</t>
  </si>
  <si>
    <t>Стоимость стооительства</t>
  </si>
  <si>
    <t>Коэффициент использования</t>
  </si>
  <si>
    <t>Размер участка/жилая ед. или офис</t>
  </si>
  <si>
    <t>Цена    продаваемой земли</t>
  </si>
  <si>
    <t>Землепользование в предлагаемом проекте</t>
  </si>
  <si>
    <t>Жильё</t>
  </si>
  <si>
    <t>Офисы и торговля</t>
  </si>
  <si>
    <t>Коммунальные сооружения</t>
  </si>
  <si>
    <t>Дороги</t>
  </si>
  <si>
    <t>Парки и открытые площадки</t>
  </si>
  <si>
    <t>Всего</t>
  </si>
  <si>
    <t>Средняя   цена   продаваемой территории</t>
  </si>
  <si>
    <t>Итоговая прибыль.стоимость жилой вриницы &amp; m2</t>
  </si>
  <si>
    <t>Прибыль застройщика за жиаединицу</t>
  </si>
  <si>
    <t>Прибыль застройщика за м2 полезной</t>
  </si>
  <si>
    <t>Цена    участка/ цена жилья</t>
  </si>
  <si>
    <t>Цена             участка на жил.единицу t:</t>
  </si>
  <si>
    <t xml:space="preserve">Прибыль застройщика за м2 земли </t>
  </si>
  <si>
    <t xml:space="preserve">Жильё </t>
  </si>
  <si>
    <t>Индивид. дома</t>
  </si>
  <si>
    <t xml:space="preserve"> Квартиры</t>
  </si>
  <si>
    <t>Офисы торговля</t>
  </si>
  <si>
    <t>Общ</t>
  </si>
  <si>
    <t>ИСП'</t>
  </si>
  <si>
    <t>Источники исх. данных</t>
  </si>
  <si>
    <t>Формулы Столбец</t>
  </si>
  <si>
    <t>рынок</t>
  </si>
  <si>
    <t>проектн.нормы</t>
  </si>
  <si>
    <t>гонорар архит.</t>
  </si>
  <si>
    <t>застройщик</t>
  </si>
  <si>
    <t>подрядчик</t>
  </si>
  <si>
    <t>нормы землепол.</t>
  </si>
  <si>
    <t>нормы землепольз. и проект</t>
  </si>
  <si>
    <t>ввод</t>
  </si>
  <si>
    <t>+F12*F11</t>
  </si>
  <si>
    <t>- 4 -</t>
  </si>
  <si>
    <t>ЗАТРАТЫ НА ВНЕШНЮЮ ИНФРАСТРУКТУРУ</t>
  </si>
  <si>
    <t xml:space="preserve">Дороги                                         </t>
  </si>
  <si>
    <t xml:space="preserve">Водоснабжение                          </t>
  </si>
  <si>
    <t xml:space="preserve">Канализация                                      </t>
  </si>
  <si>
    <t xml:space="preserve">Ливневая канализация                             </t>
  </si>
  <si>
    <t xml:space="preserve">Электричество                                </t>
  </si>
  <si>
    <t>Вертикальная планировка</t>
  </si>
  <si>
    <t>Благоустройство и озеленение</t>
  </si>
  <si>
    <t xml:space="preserve"> </t>
  </si>
  <si>
    <t>ПЛАНИРОВОЧНЫЕ ПОКАЗАТЕЛИ</t>
  </si>
  <si>
    <t>Плотность населения брутто чел/га</t>
  </si>
  <si>
    <t xml:space="preserve">ТАБЛИЦА 2           Цена       НЕПОДГОТОВЛЕННОЙ ТЕРРИТОРИИ ДЛЯ ЕЕ РАЗРАБОТЧИКА </t>
  </si>
  <si>
    <t>СВОДНЫЕ ЗАТРАТЫ НА ИНЖЕНЕРНУЮ ПОДГОТОВКУ</t>
  </si>
  <si>
    <t>ЗЕМЛЕПОЛЬЗОВАНИЕ</t>
  </si>
  <si>
    <t xml:space="preserve">Общая территория </t>
  </si>
  <si>
    <t xml:space="preserve">Индивидуальные дома  </t>
  </si>
  <si>
    <t xml:space="preserve">Квартиры     </t>
  </si>
  <si>
    <t xml:space="preserve">Офисы и торговля  </t>
  </si>
  <si>
    <t xml:space="preserve">Коммунальные сооружения </t>
  </si>
  <si>
    <t xml:space="preserve">Дороги       </t>
  </si>
  <si>
    <t xml:space="preserve">Парки и открытые площадки        </t>
  </si>
  <si>
    <t>СТОИМОСТЬ ИНЖЕНЕРНОЙ ПОДГОТОВКИ ТЕРРИТОРИИ</t>
  </si>
  <si>
    <t xml:space="preserve">Всего </t>
  </si>
  <si>
    <t xml:space="preserve">Квартиры  </t>
  </si>
  <si>
    <t xml:space="preserve">Офисы и торговля </t>
  </si>
  <si>
    <t>Общая цена • подготовленной тер</t>
  </si>
  <si>
    <t xml:space="preserve">Газ  </t>
  </si>
  <si>
    <t xml:space="preserve">Теплоснабжение                  </t>
  </si>
  <si>
    <t xml:space="preserve">Другие затраты  </t>
  </si>
  <si>
    <t xml:space="preserve">Общие затраты на внешнюю инфра </t>
  </si>
  <si>
    <t xml:space="preserve">Проект и надзор  </t>
  </si>
  <si>
    <t xml:space="preserve">Непредвиденные затраты </t>
  </si>
  <si>
    <t xml:space="preserve">Плата за кредит во время </t>
  </si>
  <si>
    <t>Процент долевого участия</t>
  </si>
  <si>
    <t xml:space="preserve">Затраты на внешн.инф-ру.покрываем </t>
  </si>
  <si>
    <t xml:space="preserve">продажей участ </t>
  </si>
  <si>
    <t>ЗАТРАТЫ НА ВНУТРЕННЮЮ ИНФРАСТРУКТУРУ</t>
  </si>
  <si>
    <t xml:space="preserve">Очистка от загрязнений  </t>
  </si>
  <si>
    <t xml:space="preserve">Земляные работы      </t>
  </si>
  <si>
    <t>Улицы                                           :      :</t>
  </si>
  <si>
    <t>Водоснабжение                             :</t>
  </si>
  <si>
    <t>Канализация</t>
  </si>
  <si>
    <t xml:space="preserve">Ливневая ка.нализация  </t>
  </si>
  <si>
    <t xml:space="preserve">Газ   </t>
  </si>
  <si>
    <t xml:space="preserve">Теплоснабжение  </t>
  </si>
  <si>
    <t xml:space="preserve">Электричество  </t>
  </si>
  <si>
    <t xml:space="preserve">Упичное_рсвещение </t>
  </si>
  <si>
    <t>Коммунальные сооружения(стр-во)</t>
  </si>
  <si>
    <t xml:space="preserve">Другие затраты </t>
  </si>
  <si>
    <t xml:space="preserve">проект и надзор   </t>
  </si>
  <si>
    <t xml:space="preserve">Непредвиденные затраты  </t>
  </si>
  <si>
    <t xml:space="preserve">Плата за кредит в период </t>
  </si>
  <si>
    <t xml:space="preserve">Прибыль разработчика тер </t>
  </si>
  <si>
    <t xml:space="preserve">Всего затрат на внутр.инф-ру  </t>
  </si>
  <si>
    <t>Затраты на вынос предприятий и др.</t>
  </si>
  <si>
    <t xml:space="preserve">затраты на инф-ру,покр продажей уч </t>
  </si>
  <si>
    <t>Мах!т цена неподготовленной земли</t>
  </si>
  <si>
    <t xml:space="preserve">Количество жилых единиц  </t>
  </si>
  <si>
    <t xml:space="preserve">Средний размер семьи </t>
  </si>
  <si>
    <t xml:space="preserve">Плотность населения нетто чел/га </t>
  </si>
  <si>
    <t>Коэффициент использования территории</t>
  </si>
  <si>
    <t>Формулы расчета</t>
  </si>
  <si>
    <t>column G</t>
  </si>
  <si>
    <t>column F</t>
  </si>
  <si>
    <t>=G10*$F$8</t>
  </si>
  <si>
    <t>=G11*$F$8</t>
  </si>
  <si>
    <t>=G12*$F$8</t>
  </si>
  <si>
    <t>=G13*$F$8</t>
  </si>
  <si>
    <t>=G14*$F$8</t>
  </si>
  <si>
    <t>=G9*$F$8</t>
  </si>
  <si>
    <t>column H</t>
  </si>
  <si>
    <t>+F10*10000*Table_1:G21</t>
  </si>
  <si>
    <t>+F11*10000*Table_1:H21</t>
  </si>
  <si>
    <t>@SFM(F17..F19)</t>
  </si>
  <si>
    <t>+F9*10000*Table_1:F21</t>
  </si>
  <si>
    <t xml:space="preserve">продаваемой    </t>
  </si>
  <si>
    <t>общей</t>
  </si>
  <si>
    <t>=F17/F9/10000</t>
  </si>
  <si>
    <t>=F18/F10/10000</t>
  </si>
  <si>
    <t>=F19/F11/10000</t>
  </si>
  <si>
    <t>title imp_sched</t>
  </si>
  <si>
    <t>Implementation Schedule</t>
  </si>
  <si>
    <t>Cumulative % of expenditure     .</t>
  </si>
  <si>
    <t>on Site Infrastructure</t>
  </si>
  <si>
    <t>Sale of developed land</t>
  </si>
  <si>
    <t>Relocation costs</t>
  </si>
  <si>
    <t>legends</t>
  </si>
  <si>
    <t>Total expenditure</t>
  </si>
  <si>
    <t>Income from developed land sale</t>
  </si>
  <si>
    <t>Cumulative cash flow</t>
  </si>
  <si>
    <t>Income / expenditure</t>
  </si>
  <si>
    <t>ТАБЛИЦА 3 - ГРАФИК РЕАЛИЗАЦИИ ПРОЕКТА</t>
  </si>
  <si>
    <t>РАСХОД</t>
  </si>
  <si>
    <t xml:space="preserve"> Общая СТОИМОСТЬ ВНВШНВЙ ИНф-рЫ</t>
  </si>
  <si>
    <t xml:space="preserve"> Общая стоимость внутренней инф-ры      </t>
  </si>
  <si>
    <t>Стоимость неподготовленной территории</t>
  </si>
  <si>
    <t>Вынос предприятий и др.</t>
  </si>
  <si>
    <t>ПРЙХОД</t>
  </si>
  <si>
    <t xml:space="preserve">Продажа подготовленной территории </t>
  </si>
  <si>
    <t>КРЕДИТ</t>
  </si>
  <si>
    <t xml:space="preserve">Кредитная ставка </t>
  </si>
  <si>
    <t xml:space="preserve">Прогноз инфляции доллара в год </t>
  </si>
  <si>
    <t>ГРАФИК РЕАЛИЗАЦИИ ПРОЕКТА В % ОТ ОБЩИХ РАСХОДОВ</t>
  </si>
  <si>
    <t xml:space="preserve">Внешняя инф-ра </t>
  </si>
  <si>
    <t>Вынос и др.</t>
  </si>
  <si>
    <t>Внутренняя инф-ра</t>
  </si>
  <si>
    <t>Продажа земли</t>
  </si>
  <si>
    <t>ГРАФИК РАСХОДОВ НА РЕАЛИЗАЦИЮ ПРОЕКТА/в тыс.долларов США/</t>
  </si>
  <si>
    <t>Внешняя инф-ра</t>
  </si>
  <si>
    <t xml:space="preserve">Общая сумма расходов </t>
  </si>
  <si>
    <t xml:space="preserve">Рост цен </t>
  </si>
  <si>
    <t>Расходы включая рост цен</t>
  </si>
  <si>
    <t xml:space="preserve">Внутренняя инф-ра </t>
  </si>
  <si>
    <t>ГРАФИК ПРИХОДА ОТ РЕАЛИЗАЦИИ ПРОЕКТА</t>
  </si>
  <si>
    <t>Рост цен</t>
  </si>
  <si>
    <t>Приход включая рост цен</t>
  </si>
  <si>
    <t xml:space="preserve">Приход от продажи земли </t>
  </si>
  <si>
    <t>ПОТОК НАЛИЧНОСТИ</t>
  </si>
  <si>
    <t>Квартальный поток наличности</t>
  </si>
  <si>
    <t>Куммупятивный поток напичност</t>
  </si>
  <si>
    <t>Плата за кредит в период стр-ва</t>
  </si>
  <si>
    <t>Общая сумма выплаты за кредит в период ,</t>
  </si>
  <si>
    <t>Плата в % за кредит в период стр-ва</t>
  </si>
  <si>
    <t>Общая сумма.связанная с ростом цен</t>
  </si>
  <si>
    <t>В % ОТ Общей СуММЫ</t>
  </si>
  <si>
    <t>Потребность в кредитах</t>
  </si>
  <si>
    <t>Кредит как % от общей стоимости инф-ры</t>
  </si>
  <si>
    <t>Кредит как % от общей стоимости проекта</t>
  </si>
  <si>
    <t xml:space="preserve">Финансовая окупаемость   </t>
  </si>
  <si>
    <t>Экономическая окупаемость вкл.</t>
  </si>
  <si>
    <t>землю</t>
  </si>
  <si>
    <t>Formulae in Column F44 to F52</t>
  </si>
  <si>
    <t>ГРАФИК ПРИХОДА И РАСХОДА</t>
  </si>
  <si>
    <t>ТАБЛИЦА  4</t>
  </si>
  <si>
    <t>Янв94      Янв95       Июл95       Янв96      Июл96       Янв97      Июл97       Янв98 Окт94        Апр95       Окт95       Апр96       ОктЭб       Апр97      Окт97       Апр</t>
  </si>
  <si>
    <t>ТАБЛИЦА  5</t>
  </si>
  <si>
    <t>Процент от общей суммы расхода или прихода     .</t>
  </si>
  <si>
    <t>ГРАФИК КУММУЛЯТИВНОГО ПОТОКА НАЛИЧНОСТИ, ПОКВАРТАЛЬНОГО ПРИХОДА И РАСХОДА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</si>
</sst>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#,##0.0"/>
    <numFmt numFmtId="170" formatCode="0.0%"/>
  </numFmts>
  <fonts count="22" x14ac:knownFonts="1">
    <font>
      <sz val="12"/>
      <color indexed="24"/>
      <name val="Arial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8"/>
      <color indexed="8"/>
      <name val="Arial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.5"/>
      <color indexed="8"/>
      <name val="Arial"/>
      <family val="2"/>
    </font>
    <font>
      <sz val="11"/>
      <color indexed="8"/>
      <name val="Arial"/>
      <family val="2"/>
    </font>
    <font>
      <sz val="12"/>
      <color indexed="24"/>
      <name val="Arial"/>
      <family val="2"/>
    </font>
    <font>
      <sz val="7.35"/>
      <color indexed="8"/>
      <name val="Arial"/>
      <family val="2"/>
    </font>
    <font>
      <sz val="7.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13"/>
      </patternFill>
    </fill>
    <fill>
      <patternFill patternType="solid">
        <fgColor indexed="9"/>
        <bgColor indexed="64"/>
      </patternFill>
    </fill>
    <fill>
      <patternFill patternType="gray0625">
        <fgColor indexed="13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9" fillId="0" borderId="0" applyFill="0" applyBorder="0" applyAlignment="0" applyProtection="0"/>
    <xf numFmtId="2" fontId="19" fillId="0" borderId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0" fontId="19" fillId="0" borderId="0" applyFill="0" applyBorder="0" applyAlignment="0" applyProtection="0"/>
    <xf numFmtId="0" fontId="19" fillId="0" borderId="1" applyNumberFormat="0" applyFill="0" applyAlignment="0" applyProtection="0"/>
  </cellStyleXfs>
  <cellXfs count="193">
    <xf numFmtId="0" fontId="0" fillId="0" borderId="0" xfId="0"/>
    <xf numFmtId="0" fontId="4" fillId="0" borderId="0" xfId="0" applyFont="1"/>
    <xf numFmtId="0" fontId="4" fillId="0" borderId="0" xfId="0" quotePrefix="1" applyFont="1" applyAlignment="1">
      <alignment horizontal="left"/>
    </xf>
    <xf numFmtId="15" fontId="4" fillId="0" borderId="0" xfId="0" applyNumberFormat="1" applyFont="1"/>
    <xf numFmtId="0" fontId="4" fillId="0" borderId="0" xfId="0" applyFont="1" applyAlignment="1">
      <alignment horizontal="centerContinuous"/>
    </xf>
    <xf numFmtId="0" fontId="5" fillId="0" borderId="0" xfId="0" applyFont="1"/>
    <xf numFmtId="0" fontId="6" fillId="0" borderId="0" xfId="0" applyFont="1"/>
    <xf numFmtId="0" fontId="5" fillId="0" borderId="0" xfId="0" quotePrefix="1" applyFont="1" applyAlignment="1">
      <alignment horizontal="left"/>
    </xf>
    <xf numFmtId="3" fontId="5" fillId="0" borderId="0" xfId="0" applyNumberFormat="1" applyFont="1"/>
    <xf numFmtId="0" fontId="4" fillId="0" borderId="2" xfId="0" applyFont="1" applyBorder="1"/>
    <xf numFmtId="0" fontId="4" fillId="0" borderId="2" xfId="0" applyFont="1" applyBorder="1" applyAlignment="1">
      <alignment horizontal="centerContinuous"/>
    </xf>
    <xf numFmtId="0" fontId="4" fillId="0" borderId="3" xfId="0" applyFont="1" applyBorder="1"/>
    <xf numFmtId="0" fontId="4" fillId="0" borderId="4" xfId="0" applyFont="1" applyBorder="1"/>
    <xf numFmtId="0" fontId="5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6" xfId="0" applyFont="1" applyBorder="1"/>
    <xf numFmtId="0" fontId="7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2" xfId="0" applyFont="1" applyBorder="1" applyAlignment="1">
      <alignment horizontal="left"/>
    </xf>
    <xf numFmtId="0" fontId="8" fillId="0" borderId="0" xfId="0" applyFont="1"/>
    <xf numFmtId="0" fontId="4" fillId="0" borderId="11" xfId="0" applyFont="1" applyBorder="1"/>
    <xf numFmtId="0" fontId="8" fillId="0" borderId="2" xfId="0" applyFont="1" applyBorder="1"/>
    <xf numFmtId="3" fontId="5" fillId="0" borderId="11" xfId="0" applyNumberFormat="1" applyFont="1" applyBorder="1"/>
    <xf numFmtId="3" fontId="4" fillId="0" borderId="0" xfId="0" applyNumberFormat="1" applyFont="1"/>
    <xf numFmtId="0" fontId="5" fillId="0" borderId="11" xfId="0" quotePrefix="1" applyFont="1" applyBorder="1" applyAlignment="1">
      <alignment horizontal="left"/>
    </xf>
    <xf numFmtId="0" fontId="8" fillId="0" borderId="11" xfId="0" applyFont="1" applyBorder="1"/>
    <xf numFmtId="0" fontId="8" fillId="0" borderId="11" xfId="0" applyFont="1" applyBorder="1" applyAlignment="1">
      <alignment horizontal="centerContinuous"/>
    </xf>
    <xf numFmtId="0" fontId="5" fillId="0" borderId="0" xfId="0" quotePrefix="1" applyNumberFormat="1" applyFont="1" applyAlignment="1">
      <alignment horizontal="left"/>
    </xf>
    <xf numFmtId="170" fontId="5" fillId="0" borderId="0" xfId="0" applyNumberFormat="1" applyFont="1"/>
    <xf numFmtId="3" fontId="4" fillId="0" borderId="4" xfId="0" applyNumberFormat="1" applyFont="1" applyBorder="1"/>
    <xf numFmtId="0" fontId="7" fillId="2" borderId="4" xfId="0" applyFont="1" applyFill="1" applyBorder="1"/>
    <xf numFmtId="0" fontId="9" fillId="0" borderId="11" xfId="0" applyFont="1" applyBorder="1"/>
    <xf numFmtId="3" fontId="4" fillId="0" borderId="2" xfId="0" applyNumberFormat="1" applyFont="1" applyBorder="1"/>
    <xf numFmtId="0" fontId="5" fillId="0" borderId="11" xfId="0" applyFont="1" applyBorder="1"/>
    <xf numFmtId="3" fontId="7" fillId="2" borderId="4" xfId="0" applyNumberFormat="1" applyFont="1" applyFill="1" applyBorder="1"/>
    <xf numFmtId="170" fontId="7" fillId="2" borderId="4" xfId="0" applyNumberFormat="1" applyFont="1" applyFill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10" fontId="7" fillId="2" borderId="15" xfId="0" applyNumberFormat="1" applyFont="1" applyFill="1" applyBorder="1"/>
    <xf numFmtId="3" fontId="5" fillId="0" borderId="0" xfId="0" quotePrefix="1" applyNumberFormat="1" applyFont="1" applyAlignment="1">
      <alignment horizontal="left"/>
    </xf>
    <xf numFmtId="17" fontId="4" fillId="0" borderId="4" xfId="0" applyNumberFormat="1" applyFont="1" applyBorder="1"/>
    <xf numFmtId="17" fontId="4" fillId="0" borderId="16" xfId="0" applyNumberFormat="1" applyFont="1" applyBorder="1"/>
    <xf numFmtId="169" fontId="4" fillId="0" borderId="4" xfId="0" applyNumberFormat="1" applyFont="1" applyBorder="1"/>
    <xf numFmtId="169" fontId="8" fillId="0" borderId="11" xfId="0" applyNumberFormat="1" applyFont="1" applyBorder="1" applyAlignment="1">
      <alignment horizontal="centerContinuous"/>
    </xf>
    <xf numFmtId="3" fontId="4" fillId="0" borderId="13" xfId="0" applyNumberFormat="1" applyFont="1" applyBorder="1"/>
    <xf numFmtId="4" fontId="4" fillId="0" borderId="13" xfId="0" applyNumberFormat="1" applyFont="1" applyBorder="1"/>
    <xf numFmtId="4" fontId="5" fillId="0" borderId="0" xfId="0" applyNumberFormat="1" applyFont="1"/>
    <xf numFmtId="4" fontId="6" fillId="0" borderId="0" xfId="0" applyNumberFormat="1" applyFont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3" fontId="4" fillId="0" borderId="12" xfId="0" applyNumberFormat="1" applyFont="1" applyBorder="1"/>
    <xf numFmtId="4" fontId="8" fillId="0" borderId="11" xfId="0" applyNumberFormat="1" applyFont="1" applyBorder="1" applyAlignment="1">
      <alignment horizontal="centerContinuous"/>
    </xf>
    <xf numFmtId="9" fontId="7" fillId="2" borderId="4" xfId="0" applyNumberFormat="1" applyFont="1" applyFill="1" applyBorder="1"/>
    <xf numFmtId="9" fontId="7" fillId="2" borderId="16" xfId="0" applyNumberFormat="1" applyFont="1" applyFill="1" applyBorder="1"/>
    <xf numFmtId="170" fontId="4" fillId="0" borderId="4" xfId="0" applyNumberFormat="1" applyFont="1" applyBorder="1"/>
    <xf numFmtId="0" fontId="7" fillId="2" borderId="16" xfId="0" applyFont="1" applyFill="1" applyBorder="1"/>
    <xf numFmtId="0" fontId="7" fillId="0" borderId="0" xfId="0" applyFont="1"/>
    <xf numFmtId="169" fontId="8" fillId="0" borderId="2" xfId="0" applyNumberFormat="1" applyFont="1" applyBorder="1" applyAlignment="1">
      <alignment horizontal="centerContinuous"/>
    </xf>
    <xf numFmtId="3" fontId="4" fillId="0" borderId="16" xfId="0" applyNumberFormat="1" applyFont="1" applyBorder="1"/>
    <xf numFmtId="0" fontId="8" fillId="0" borderId="2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3" fontId="4" fillId="0" borderId="19" xfId="0" applyNumberFormat="1" applyFont="1" applyBorder="1"/>
    <xf numFmtId="3" fontId="4" fillId="0" borderId="20" xfId="0" applyNumberFormat="1" applyFont="1" applyBorder="1"/>
    <xf numFmtId="3" fontId="8" fillId="0" borderId="2" xfId="0" applyNumberFormat="1" applyFont="1" applyBorder="1" applyAlignment="1">
      <alignment horizontal="centerContinuous"/>
    </xf>
    <xf numFmtId="4" fontId="4" fillId="0" borderId="2" xfId="0" applyNumberFormat="1" applyFont="1" applyBorder="1"/>
    <xf numFmtId="10" fontId="4" fillId="0" borderId="0" xfId="0" applyNumberFormat="1" applyFont="1"/>
    <xf numFmtId="3" fontId="6" fillId="0" borderId="0" xfId="0" applyNumberFormat="1" applyFont="1"/>
    <xf numFmtId="0" fontId="5" fillId="0" borderId="0" xfId="0" applyFont="1" applyAlignment="1">
      <alignment horizontal="right"/>
    </xf>
    <xf numFmtId="3" fontId="4" fillId="0" borderId="11" xfId="0" applyNumberFormat="1" applyFont="1" applyBorder="1"/>
    <xf numFmtId="3" fontId="5" fillId="0" borderId="0" xfId="0" applyNumberFormat="1" applyFont="1" applyAlignment="1">
      <alignment horizontal="left"/>
    </xf>
    <xf numFmtId="2" fontId="4" fillId="0" borderId="2" xfId="0" applyNumberFormat="1" applyFont="1" applyBorder="1"/>
    <xf numFmtId="2" fontId="5" fillId="0" borderId="0" xfId="0" applyNumberFormat="1" applyFont="1"/>
    <xf numFmtId="0" fontId="4" fillId="0" borderId="0" xfId="0" applyFont="1" applyAlignment="1">
      <alignment horizontal="left"/>
    </xf>
    <xf numFmtId="10" fontId="10" fillId="0" borderId="0" xfId="5" applyFont="1"/>
    <xf numFmtId="10" fontId="4" fillId="0" borderId="0" xfId="0" quotePrefix="1" applyNumberFormat="1" applyFont="1"/>
    <xf numFmtId="0" fontId="11" fillId="0" borderId="15" xfId="0" applyFont="1" applyBorder="1" applyAlignment="1">
      <alignment horizontal="center"/>
    </xf>
    <xf numFmtId="0" fontId="12" fillId="0" borderId="0" xfId="0" applyFont="1"/>
    <xf numFmtId="0" fontId="4" fillId="0" borderId="0" xfId="0" applyFont="1" applyBorder="1"/>
    <xf numFmtId="0" fontId="9" fillId="0" borderId="0" xfId="0" applyFont="1" applyBorder="1"/>
    <xf numFmtId="0" fontId="4" fillId="0" borderId="21" xfId="0" applyFont="1" applyBorder="1"/>
    <xf numFmtId="0" fontId="4" fillId="0" borderId="22" xfId="0" applyFont="1" applyBorder="1"/>
    <xf numFmtId="0" fontId="7" fillId="0" borderId="0" xfId="0" applyFont="1" applyBorder="1"/>
    <xf numFmtId="0" fontId="4" fillId="0" borderId="23" xfId="0" applyFont="1" applyBorder="1"/>
    <xf numFmtId="0" fontId="4" fillId="0" borderId="24" xfId="0" applyFont="1" applyBorder="1"/>
    <xf numFmtId="4" fontId="4" fillId="0" borderId="24" xfId="0" applyNumberFormat="1" applyFont="1" applyBorder="1"/>
    <xf numFmtId="3" fontId="4" fillId="0" borderId="25" xfId="0" applyNumberFormat="1" applyFont="1" applyBorder="1"/>
    <xf numFmtId="0" fontId="9" fillId="0" borderId="2" xfId="0" applyFont="1" applyBorder="1"/>
    <xf numFmtId="169" fontId="8" fillId="0" borderId="0" xfId="0" applyNumberFormat="1" applyFont="1" applyBorder="1"/>
    <xf numFmtId="0" fontId="4" fillId="0" borderId="26" xfId="0" applyFont="1" applyBorder="1"/>
    <xf numFmtId="0" fontId="13" fillId="3" borderId="0" xfId="0" applyFont="1" applyFill="1" applyBorder="1" applyAlignment="1">
      <alignment vertical="top" wrapText="1"/>
    </xf>
    <xf numFmtId="0" fontId="8" fillId="0" borderId="4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11" fillId="0" borderId="31" xfId="0" applyFont="1" applyBorder="1"/>
    <xf numFmtId="0" fontId="11" fillId="0" borderId="26" xfId="0" applyFont="1" applyBorder="1"/>
    <xf numFmtId="0" fontId="11" fillId="0" borderId="32" xfId="0" applyFont="1" applyBorder="1"/>
    <xf numFmtId="169" fontId="11" fillId="0" borderId="33" xfId="0" applyNumberFormat="1" applyFont="1" applyBorder="1"/>
    <xf numFmtId="0" fontId="8" fillId="0" borderId="2" xfId="0" quotePrefix="1" applyFont="1" applyBorder="1" applyAlignment="1">
      <alignment horizontal="centerContinuous"/>
    </xf>
    <xf numFmtId="0" fontId="9" fillId="0" borderId="21" xfId="0" applyFont="1" applyBorder="1"/>
    <xf numFmtId="0" fontId="4" fillId="0" borderId="34" xfId="0" applyFont="1" applyBorder="1" applyAlignment="1">
      <alignment horizontal="center"/>
    </xf>
    <xf numFmtId="0" fontId="9" fillId="0" borderId="34" xfId="0" applyFont="1" applyBorder="1"/>
    <xf numFmtId="0" fontId="4" fillId="0" borderId="22" xfId="0" applyFont="1" applyBorder="1" applyAlignment="1">
      <alignment horizontal="center"/>
    </xf>
    <xf numFmtId="0" fontId="8" fillId="0" borderId="22" xfId="0" applyFont="1" applyBorder="1"/>
    <xf numFmtId="0" fontId="4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0" xfId="0" applyFont="1" applyBorder="1" applyAlignment="1">
      <alignment horizontal="centerContinuous"/>
    </xf>
    <xf numFmtId="0" fontId="8" fillId="0" borderId="7" xfId="0" applyFont="1" applyBorder="1" applyAlignment="1">
      <alignment horizontal="centerContinuous"/>
    </xf>
    <xf numFmtId="0" fontId="4" fillId="0" borderId="34" xfId="0" applyFont="1" applyBorder="1"/>
    <xf numFmtId="0" fontId="9" fillId="0" borderId="15" xfId="0" applyFont="1" applyBorder="1"/>
    <xf numFmtId="0" fontId="12" fillId="3" borderId="22" xfId="0" applyFont="1" applyFill="1" applyBorder="1" applyAlignment="1">
      <alignment vertical="top" wrapText="1"/>
    </xf>
    <xf numFmtId="0" fontId="9" fillId="0" borderId="22" xfId="0" applyFont="1" applyBorder="1"/>
    <xf numFmtId="0" fontId="14" fillId="0" borderId="0" xfId="0" quotePrefix="1" applyFont="1" applyBorder="1" applyAlignment="1" applyProtection="1">
      <alignment horizontal="center"/>
    </xf>
    <xf numFmtId="0" fontId="12" fillId="0" borderId="4" xfId="0" applyFont="1" applyBorder="1"/>
    <xf numFmtId="0" fontId="11" fillId="0" borderId="4" xfId="0" applyFont="1" applyBorder="1"/>
    <xf numFmtId="0" fontId="11" fillId="0" borderId="2" xfId="0" applyFont="1" applyBorder="1"/>
    <xf numFmtId="0" fontId="15" fillId="0" borderId="2" xfId="0" applyFont="1" applyBorder="1"/>
    <xf numFmtId="0" fontId="11" fillId="0" borderId="2" xfId="0" applyFont="1" applyBorder="1" applyAlignment="1">
      <alignment horizontal="centerContinuous"/>
    </xf>
    <xf numFmtId="0" fontId="11" fillId="0" borderId="3" xfId="0" applyFont="1" applyBorder="1"/>
    <xf numFmtId="0" fontId="11" fillId="0" borderId="7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centerContinuous"/>
    </xf>
    <xf numFmtId="0" fontId="11" fillId="0" borderId="6" xfId="0" applyFont="1" applyBorder="1"/>
    <xf numFmtId="0" fontId="11" fillId="0" borderId="35" xfId="0" applyFont="1" applyBorder="1"/>
    <xf numFmtId="0" fontId="11" fillId="0" borderId="0" xfId="0" applyFont="1" applyBorder="1"/>
    <xf numFmtId="0" fontId="4" fillId="0" borderId="8" xfId="0" applyFont="1" applyBorder="1"/>
    <xf numFmtId="0" fontId="8" fillId="0" borderId="0" xfId="0" applyFont="1" applyBorder="1"/>
    <xf numFmtId="3" fontId="8" fillId="0" borderId="0" xfId="0" applyNumberFormat="1" applyFont="1" applyBorder="1" applyAlignment="1">
      <alignment horizontal="centerContinuous"/>
    </xf>
    <xf numFmtId="170" fontId="8" fillId="0" borderId="5" xfId="0" applyNumberFormat="1" applyFont="1" applyBorder="1" applyAlignment="1">
      <alignment horizontal="centerContinuous"/>
    </xf>
    <xf numFmtId="0" fontId="10" fillId="0" borderId="0" xfId="0" applyFont="1"/>
    <xf numFmtId="0" fontId="11" fillId="0" borderId="0" xfId="0" applyFont="1"/>
    <xf numFmtId="0" fontId="17" fillId="0" borderId="0" xfId="0" applyFont="1"/>
    <xf numFmtId="0" fontId="4" fillId="0" borderId="2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6" fillId="0" borderId="23" xfId="0" applyFont="1" applyBorder="1"/>
    <xf numFmtId="0" fontId="10" fillId="0" borderId="8" xfId="0" applyFont="1" applyBorder="1"/>
    <xf numFmtId="3" fontId="7" fillId="2" borderId="10" xfId="0" applyNumberFormat="1" applyFont="1" applyFill="1" applyBorder="1"/>
    <xf numFmtId="0" fontId="5" fillId="0" borderId="0" xfId="0" quotePrefix="1" applyNumberFormat="1" applyFont="1"/>
    <xf numFmtId="3" fontId="4" fillId="0" borderId="0" xfId="0" applyNumberFormat="1" applyFont="1" applyBorder="1"/>
    <xf numFmtId="3" fontId="7" fillId="2" borderId="36" xfId="0" applyNumberFormat="1" applyFont="1" applyFill="1" applyBorder="1"/>
    <xf numFmtId="0" fontId="16" fillId="0" borderId="4" xfId="0" applyFont="1" applyBorder="1"/>
    <xf numFmtId="0" fontId="0" fillId="0" borderId="7" xfId="0" applyBorder="1"/>
    <xf numFmtId="0" fontId="7" fillId="2" borderId="9" xfId="0" applyFont="1" applyFill="1" applyBorder="1"/>
    <xf numFmtId="170" fontId="4" fillId="0" borderId="10" xfId="0" applyNumberFormat="1" applyFont="1" applyBorder="1"/>
    <xf numFmtId="0" fontId="10" fillId="0" borderId="4" xfId="0" applyFont="1" applyBorder="1"/>
    <xf numFmtId="170" fontId="4" fillId="0" borderId="3" xfId="0" applyNumberFormat="1" applyFont="1" applyBorder="1"/>
    <xf numFmtId="0" fontId="10" fillId="0" borderId="7" xfId="0" applyFont="1" applyBorder="1"/>
    <xf numFmtId="170" fontId="4" fillId="0" borderId="6" xfId="0" applyNumberFormat="1" applyFont="1" applyBorder="1"/>
    <xf numFmtId="0" fontId="11" fillId="0" borderId="37" xfId="0" applyFont="1" applyBorder="1"/>
    <xf numFmtId="170" fontId="11" fillId="0" borderId="38" xfId="0" applyNumberFormat="1" applyFont="1" applyBorder="1"/>
    <xf numFmtId="3" fontId="4" fillId="0" borderId="10" xfId="0" applyNumberFormat="1" applyFont="1" applyBorder="1"/>
    <xf numFmtId="3" fontId="4" fillId="0" borderId="6" xfId="0" applyNumberFormat="1" applyFont="1" applyBorder="1"/>
    <xf numFmtId="170" fontId="7" fillId="4" borderId="9" xfId="0" applyNumberFormat="1" applyFont="1" applyFill="1" applyBorder="1"/>
    <xf numFmtId="10" fontId="7" fillId="4" borderId="9" xfId="0" applyNumberFormat="1" applyFont="1" applyFill="1" applyBorder="1"/>
    <xf numFmtId="4" fontId="4" fillId="0" borderId="15" xfId="0" applyNumberFormat="1" applyFont="1" applyBorder="1"/>
    <xf numFmtId="3" fontId="11" fillId="0" borderId="6" xfId="0" applyNumberFormat="1" applyFont="1" applyBorder="1"/>
    <xf numFmtId="0" fontId="4" fillId="0" borderId="36" xfId="0" applyFont="1" applyBorder="1"/>
    <xf numFmtId="0" fontId="12" fillId="0" borderId="8" xfId="0" applyFont="1" applyBorder="1"/>
    <xf numFmtId="0" fontId="7" fillId="2" borderId="10" xfId="0" applyFont="1" applyFill="1" applyBorder="1" applyAlignment="1">
      <alignment horizontal="right"/>
    </xf>
    <xf numFmtId="3" fontId="4" fillId="0" borderId="10" xfId="0" applyNumberFormat="1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3" fontId="4" fillId="0" borderId="10" xfId="0" applyNumberFormat="1" applyFont="1" applyBorder="1" applyAlignment="1">
      <alignment horizontal="right"/>
    </xf>
    <xf numFmtId="3" fontId="4" fillId="0" borderId="21" xfId="0" applyNumberFormat="1" applyFont="1" applyBorder="1"/>
    <xf numFmtId="3" fontId="4" fillId="0" borderId="21" xfId="0" applyNumberFormat="1" applyFont="1" applyBorder="1" applyAlignment="1">
      <alignment horizontal="left"/>
    </xf>
    <xf numFmtId="0" fontId="4" fillId="0" borderId="0" xfId="0" applyFont="1" applyAlignment="1">
      <alignment horizontal="right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5" fillId="0" borderId="0" xfId="0" quotePrefix="1" applyFont="1" applyBorder="1" applyAlignment="1">
      <alignment horizontal="left"/>
    </xf>
    <xf numFmtId="0" fontId="5" fillId="0" borderId="0" xfId="0" applyFont="1" applyBorder="1"/>
    <xf numFmtId="0" fontId="5" fillId="0" borderId="14" xfId="0" applyFont="1" applyBorder="1"/>
    <xf numFmtId="3" fontId="5" fillId="0" borderId="0" xfId="0" applyNumberFormat="1" applyFont="1" applyBorder="1"/>
    <xf numFmtId="10" fontId="5" fillId="0" borderId="0" xfId="0" applyNumberFormat="1" applyFont="1" applyBorder="1"/>
    <xf numFmtId="0" fontId="18" fillId="0" borderId="8" xfId="0" applyFont="1" applyBorder="1"/>
    <xf numFmtId="0" fontId="8" fillId="0" borderId="9" xfId="0" applyFont="1" applyBorder="1"/>
    <xf numFmtId="0" fontId="0" fillId="0" borderId="9" xfId="0" applyBorder="1"/>
    <xf numFmtId="10" fontId="7" fillId="4" borderId="3" xfId="0" applyNumberFormat="1" applyFont="1" applyFill="1" applyBorder="1"/>
    <xf numFmtId="0" fontId="11" fillId="0" borderId="8" xfId="0" applyFont="1" applyBorder="1"/>
    <xf numFmtId="3" fontId="10" fillId="0" borderId="0" xfId="0" applyNumberFormat="1" applyFont="1"/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4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</cellXfs>
  <cellStyles count="7">
    <cellStyle name="Date" xfId="1"/>
    <cellStyle name="Fixed" xfId="2"/>
    <cellStyle name="HEADING1" xfId="3"/>
    <cellStyle name="HEADING2" xfId="4"/>
    <cellStyle name="Normal" xfId="0" builtinId="0"/>
    <cellStyle name="Percent" xfId="5" builtinId="5"/>
    <cellStyle name="Total" xfId="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Sheet1!$F$16</c:f>
          <c:strCache>
            <c:ptCount val="1"/>
            <c:pt idx="0">
              <c:v>ГРАФИК ПРИХОДА И РАСХОДА</c:v>
            </c:pt>
          </c:strCache>
        </c:strRef>
      </c:tx>
      <c:layout>
        <c:manualLayout>
          <c:xMode val="edge"/>
          <c:yMode val="edge"/>
          <c:x val="0.33147942157953281"/>
          <c:y val="8.64600326264274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53170189099005E-2"/>
          <c:y val="0.14845024469820556"/>
          <c:w val="0.90433815350389324"/>
          <c:h val="0.74388254486133765"/>
        </c:manualLayout>
      </c:layout>
      <c:lineChart>
        <c:grouping val="standard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Внутренняя инф-ра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Table_3!$E$19:$U$19</c:f>
              <c:numCache>
                <c:formatCode>mmm\-yy</c:formatCode>
                <c:ptCount val="17"/>
                <c:pt idx="0">
                  <c:v>34516</c:v>
                </c:pt>
                <c:pt idx="1">
                  <c:v>34608</c:v>
                </c:pt>
                <c:pt idx="2">
                  <c:v>34700</c:v>
                </c:pt>
                <c:pt idx="3">
                  <c:v>34790</c:v>
                </c:pt>
                <c:pt idx="4">
                  <c:v>34881</c:v>
                </c:pt>
                <c:pt idx="5">
                  <c:v>34973</c:v>
                </c:pt>
                <c:pt idx="6">
                  <c:v>35065</c:v>
                </c:pt>
                <c:pt idx="7">
                  <c:v>35156</c:v>
                </c:pt>
                <c:pt idx="8">
                  <c:v>35247</c:v>
                </c:pt>
                <c:pt idx="9">
                  <c:v>35339</c:v>
                </c:pt>
                <c:pt idx="10">
                  <c:v>35431</c:v>
                </c:pt>
                <c:pt idx="11">
                  <c:v>35521</c:v>
                </c:pt>
                <c:pt idx="12">
                  <c:v>35612</c:v>
                </c:pt>
                <c:pt idx="13">
                  <c:v>35704</c:v>
                </c:pt>
                <c:pt idx="14">
                  <c:v>35796</c:v>
                </c:pt>
                <c:pt idx="15">
                  <c:v>35886</c:v>
                </c:pt>
                <c:pt idx="16">
                  <c:v>35977</c:v>
                </c:pt>
              </c:numCache>
            </c:numRef>
          </c:cat>
          <c:val>
            <c:numRef>
              <c:f>Table_3!$E$21:$U$21</c:f>
              <c:numCache>
                <c:formatCode>0%</c:formatCode>
                <c:ptCount val="17"/>
                <c:pt idx="0" formatCode="0.0%">
                  <c:v>5.0000000000000001E-3</c:v>
                </c:pt>
                <c:pt idx="1">
                  <c:v>0.03</c:v>
                </c:pt>
                <c:pt idx="2">
                  <c:v>0.06</c:v>
                </c:pt>
                <c:pt idx="3">
                  <c:v>0.12</c:v>
                </c:pt>
                <c:pt idx="4">
                  <c:v>0.18</c:v>
                </c:pt>
                <c:pt idx="5">
                  <c:v>0.27</c:v>
                </c:pt>
                <c:pt idx="6">
                  <c:v>0.38</c:v>
                </c:pt>
                <c:pt idx="7">
                  <c:v>0.52</c:v>
                </c:pt>
                <c:pt idx="8">
                  <c:v>0.65</c:v>
                </c:pt>
                <c:pt idx="9">
                  <c:v>0.74</c:v>
                </c:pt>
                <c:pt idx="10">
                  <c:v>0.8</c:v>
                </c:pt>
                <c:pt idx="11">
                  <c:v>0.87</c:v>
                </c:pt>
                <c:pt idx="12">
                  <c:v>0.91</c:v>
                </c:pt>
                <c:pt idx="13">
                  <c:v>0.95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Sheet1!$F$18</c:f>
              <c:strCache>
                <c:ptCount val="1"/>
                <c:pt idx="0">
                  <c:v>Внешняя инф-ра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4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Table_3!$E$19:$U$19</c:f>
              <c:numCache>
                <c:formatCode>mmm\-yy</c:formatCode>
                <c:ptCount val="17"/>
                <c:pt idx="0">
                  <c:v>34516</c:v>
                </c:pt>
                <c:pt idx="1">
                  <c:v>34608</c:v>
                </c:pt>
                <c:pt idx="2">
                  <c:v>34700</c:v>
                </c:pt>
                <c:pt idx="3">
                  <c:v>34790</c:v>
                </c:pt>
                <c:pt idx="4">
                  <c:v>34881</c:v>
                </c:pt>
                <c:pt idx="5">
                  <c:v>34973</c:v>
                </c:pt>
                <c:pt idx="6">
                  <c:v>35065</c:v>
                </c:pt>
                <c:pt idx="7">
                  <c:v>35156</c:v>
                </c:pt>
                <c:pt idx="8">
                  <c:v>35247</c:v>
                </c:pt>
                <c:pt idx="9">
                  <c:v>35339</c:v>
                </c:pt>
                <c:pt idx="10">
                  <c:v>35431</c:v>
                </c:pt>
                <c:pt idx="11">
                  <c:v>35521</c:v>
                </c:pt>
                <c:pt idx="12">
                  <c:v>35612</c:v>
                </c:pt>
                <c:pt idx="13">
                  <c:v>35704</c:v>
                </c:pt>
                <c:pt idx="14">
                  <c:v>35796</c:v>
                </c:pt>
                <c:pt idx="15">
                  <c:v>35886</c:v>
                </c:pt>
                <c:pt idx="16">
                  <c:v>35977</c:v>
                </c:pt>
              </c:numCache>
            </c:numRef>
          </c:cat>
          <c:val>
            <c:numRef>
              <c:f>Table_3!$E$22:$U$22</c:f>
              <c:numCache>
                <c:formatCode>0%</c:formatCode>
                <c:ptCount val="17"/>
                <c:pt idx="0" formatCode="0.0%">
                  <c:v>0.01</c:v>
                </c:pt>
                <c:pt idx="1">
                  <c:v>0.04</c:v>
                </c:pt>
                <c:pt idx="2">
                  <c:v>0.1</c:v>
                </c:pt>
                <c:pt idx="3">
                  <c:v>0.24</c:v>
                </c:pt>
                <c:pt idx="4">
                  <c:v>0.4</c:v>
                </c:pt>
                <c:pt idx="5">
                  <c:v>0.52</c:v>
                </c:pt>
                <c:pt idx="6">
                  <c:v>0.62</c:v>
                </c:pt>
                <c:pt idx="7">
                  <c:v>0.69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0.92</c:v>
                </c:pt>
                <c:pt idx="13">
                  <c:v>0.95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Sheet1!$F$21</c:f>
              <c:strCache>
                <c:ptCount val="1"/>
                <c:pt idx="0">
                  <c:v>Продажа земли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C0C0C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Table_3!$E$19:$U$19</c:f>
              <c:numCache>
                <c:formatCode>mmm\-yy</c:formatCode>
                <c:ptCount val="17"/>
                <c:pt idx="0">
                  <c:v>34516</c:v>
                </c:pt>
                <c:pt idx="1">
                  <c:v>34608</c:v>
                </c:pt>
                <c:pt idx="2">
                  <c:v>34700</c:v>
                </c:pt>
                <c:pt idx="3">
                  <c:v>34790</c:v>
                </c:pt>
                <c:pt idx="4">
                  <c:v>34881</c:v>
                </c:pt>
                <c:pt idx="5">
                  <c:v>34973</c:v>
                </c:pt>
                <c:pt idx="6">
                  <c:v>35065</c:v>
                </c:pt>
                <c:pt idx="7">
                  <c:v>35156</c:v>
                </c:pt>
                <c:pt idx="8">
                  <c:v>35247</c:v>
                </c:pt>
                <c:pt idx="9">
                  <c:v>35339</c:v>
                </c:pt>
                <c:pt idx="10">
                  <c:v>35431</c:v>
                </c:pt>
                <c:pt idx="11">
                  <c:v>35521</c:v>
                </c:pt>
                <c:pt idx="12">
                  <c:v>35612</c:v>
                </c:pt>
                <c:pt idx="13">
                  <c:v>35704</c:v>
                </c:pt>
                <c:pt idx="14">
                  <c:v>35796</c:v>
                </c:pt>
                <c:pt idx="15">
                  <c:v>35886</c:v>
                </c:pt>
                <c:pt idx="16">
                  <c:v>35977</c:v>
                </c:pt>
              </c:numCache>
            </c:numRef>
          </c:cat>
          <c:val>
            <c:numRef>
              <c:f>Table_3!$E$23:$U$23</c:f>
              <c:numCache>
                <c:formatCode>0%</c:formatCode>
                <c:ptCount val="17"/>
                <c:pt idx="0" formatCode="0.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0.08</c:v>
                </c:pt>
                <c:pt idx="6">
                  <c:v>0.13</c:v>
                </c:pt>
                <c:pt idx="7">
                  <c:v>0.34</c:v>
                </c:pt>
                <c:pt idx="8">
                  <c:v>0.6</c:v>
                </c:pt>
                <c:pt idx="9">
                  <c:v>0.85</c:v>
                </c:pt>
                <c:pt idx="10">
                  <c:v>0.95</c:v>
                </c:pt>
                <c:pt idx="11">
                  <c:v>0.98</c:v>
                </c:pt>
                <c:pt idx="12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Вынос и др.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Table_3!$E$19:$U$19</c:f>
              <c:numCache>
                <c:formatCode>mmm\-yy</c:formatCode>
                <c:ptCount val="17"/>
                <c:pt idx="0">
                  <c:v>34516</c:v>
                </c:pt>
                <c:pt idx="1">
                  <c:v>34608</c:v>
                </c:pt>
                <c:pt idx="2">
                  <c:v>34700</c:v>
                </c:pt>
                <c:pt idx="3">
                  <c:v>34790</c:v>
                </c:pt>
                <c:pt idx="4">
                  <c:v>34881</c:v>
                </c:pt>
                <c:pt idx="5">
                  <c:v>34973</c:v>
                </c:pt>
                <c:pt idx="6">
                  <c:v>35065</c:v>
                </c:pt>
                <c:pt idx="7">
                  <c:v>35156</c:v>
                </c:pt>
                <c:pt idx="8">
                  <c:v>35247</c:v>
                </c:pt>
                <c:pt idx="9">
                  <c:v>35339</c:v>
                </c:pt>
                <c:pt idx="10">
                  <c:v>35431</c:v>
                </c:pt>
                <c:pt idx="11">
                  <c:v>35521</c:v>
                </c:pt>
                <c:pt idx="12">
                  <c:v>35612</c:v>
                </c:pt>
                <c:pt idx="13">
                  <c:v>35704</c:v>
                </c:pt>
                <c:pt idx="14">
                  <c:v>35796</c:v>
                </c:pt>
                <c:pt idx="15">
                  <c:v>35886</c:v>
                </c:pt>
                <c:pt idx="16">
                  <c:v>35977</c:v>
                </c:pt>
              </c:numCache>
            </c:numRef>
          </c:cat>
          <c:val>
            <c:numRef>
              <c:f>Table_3!$E$25:$U$25</c:f>
              <c:numCache>
                <c:formatCode>0%</c:formatCode>
                <c:ptCount val="17"/>
                <c:pt idx="0" formatCode="0.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0.12</c:v>
                </c:pt>
                <c:pt idx="10">
                  <c:v>0.2</c:v>
                </c:pt>
                <c:pt idx="11">
                  <c:v>0.33</c:v>
                </c:pt>
                <c:pt idx="12">
                  <c:v>0.6</c:v>
                </c:pt>
                <c:pt idx="13">
                  <c:v>0.87</c:v>
                </c:pt>
                <c:pt idx="14">
                  <c:v>0.97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8944"/>
        <c:axId val="63287232"/>
      </c:lineChart>
      <c:catAx>
        <c:axId val="64018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287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32872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Sheet1!$F$15</c:f>
              <c:strCache>
                <c:ptCount val="1"/>
                <c:pt idx="0">
                  <c:v>Процент от общей суммы расхода или прихода     .</c:v>
                </c:pt>
              </c:strCache>
            </c:strRef>
          </c:tx>
          <c:layout>
            <c:manualLayout>
              <c:xMode val="edge"/>
              <c:yMode val="edge"/>
              <c:x val="3.3370411568409346E-3"/>
              <c:y val="0.2512234910277324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018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2313681868743049E-2"/>
          <c:y val="0.17944535073409462"/>
          <c:w val="0.23136818687430477"/>
          <c:h val="0.166394779771614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73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Sheet1!$F$28</c:f>
          <c:strCache>
            <c:ptCount val="1"/>
            <c:pt idx="0">
              <c:v>ГРАФИК КУММУЛЯТИВНОГО ПОТОКА НАЛИЧНОСТИ, ПОКВАРТАЛЬНОГО ПРИХОДА И РАСХОДА</c:v>
            </c:pt>
          </c:strCache>
        </c:strRef>
      </c:tx>
      <c:layout>
        <c:manualLayout>
          <c:xMode val="edge"/>
          <c:yMode val="edge"/>
          <c:x val="0.16204217536071033"/>
          <c:y val="8.045977011494252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7077175697865354"/>
          <c:w val="0.90011098779134291"/>
          <c:h val="0.786535303776683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Table_3!$B$32</c:f>
              <c:strCache>
                <c:ptCount val="1"/>
                <c:pt idx="0">
                  <c:v>Общая сумма расходов 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Table_3!$E$19:$U$19</c:f>
              <c:numCache>
                <c:formatCode>mmm\-yy</c:formatCode>
                <c:ptCount val="17"/>
                <c:pt idx="0">
                  <c:v>34516</c:v>
                </c:pt>
                <c:pt idx="1">
                  <c:v>34608</c:v>
                </c:pt>
                <c:pt idx="2">
                  <c:v>34700</c:v>
                </c:pt>
                <c:pt idx="3">
                  <c:v>34790</c:v>
                </c:pt>
                <c:pt idx="4">
                  <c:v>34881</c:v>
                </c:pt>
                <c:pt idx="5">
                  <c:v>34973</c:v>
                </c:pt>
                <c:pt idx="6">
                  <c:v>35065</c:v>
                </c:pt>
                <c:pt idx="7">
                  <c:v>35156</c:v>
                </c:pt>
                <c:pt idx="8">
                  <c:v>35247</c:v>
                </c:pt>
                <c:pt idx="9">
                  <c:v>35339</c:v>
                </c:pt>
                <c:pt idx="10">
                  <c:v>35431</c:v>
                </c:pt>
                <c:pt idx="11">
                  <c:v>35521</c:v>
                </c:pt>
                <c:pt idx="12">
                  <c:v>35612</c:v>
                </c:pt>
                <c:pt idx="13">
                  <c:v>35704</c:v>
                </c:pt>
                <c:pt idx="14">
                  <c:v>35796</c:v>
                </c:pt>
                <c:pt idx="15">
                  <c:v>35886</c:v>
                </c:pt>
                <c:pt idx="16">
                  <c:v>35977</c:v>
                </c:pt>
              </c:numCache>
            </c:numRef>
          </c:cat>
          <c:val>
            <c:numRef>
              <c:f>Sheet1!$C$35:$S$35</c:f>
              <c:numCache>
                <c:formatCode>#,##0</c:formatCode>
                <c:ptCount val="17"/>
                <c:pt idx="0">
                  <c:v>-1723.6773756487662</c:v>
                </c:pt>
                <c:pt idx="1">
                  <c:v>-5794.4309334838881</c:v>
                </c:pt>
                <c:pt idx="2">
                  <c:v>-10546.877488285752</c:v>
                </c:pt>
                <c:pt idx="3">
                  <c:v>-24278.483839999997</c:v>
                </c:pt>
                <c:pt idx="4">
                  <c:v>-27534.428050667691</c:v>
                </c:pt>
                <c:pt idx="5">
                  <c:v>-23551.912139944543</c:v>
                </c:pt>
                <c:pt idx="6">
                  <c:v>-21942.069976000537</c:v>
                </c:pt>
                <c:pt idx="7">
                  <c:v>-19525.019404799998</c:v>
                </c:pt>
                <c:pt idx="8">
                  <c:v>-17601.132345929323</c:v>
                </c:pt>
                <c:pt idx="9">
                  <c:v>-13713.780250181742</c:v>
                </c:pt>
                <c:pt idx="10">
                  <c:v>-11806.047506977306</c:v>
                </c:pt>
                <c:pt idx="11">
                  <c:v>-12475.056721920006</c:v>
                </c:pt>
                <c:pt idx="12">
                  <c:v>-5813.4488483726564</c:v>
                </c:pt>
                <c:pt idx="13">
                  <c:v>-7483.8334889245616</c:v>
                </c:pt>
                <c:pt idx="14">
                  <c:v>-6907.3054054980639</c:v>
                </c:pt>
                <c:pt idx="15">
                  <c:v>-4650.2439292108847</c:v>
                </c:pt>
                <c:pt idx="16">
                  <c:v>0</c:v>
                </c:pt>
              </c:numCache>
            </c:numRef>
          </c:val>
        </c:ser>
        <c:ser>
          <c:idx val="2"/>
          <c:order val="1"/>
          <c:tx>
            <c:strRef>
              <c:f>Table_3!$B$36</c:f>
              <c:strCache>
                <c:ptCount val="1"/>
                <c:pt idx="0">
                  <c:v>Приход от продажи земли 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Table_3!$E$19:$U$19</c:f>
              <c:numCache>
                <c:formatCode>mmm\-yy</c:formatCode>
                <c:ptCount val="17"/>
                <c:pt idx="0">
                  <c:v>34516</c:v>
                </c:pt>
                <c:pt idx="1">
                  <c:v>34608</c:v>
                </c:pt>
                <c:pt idx="2">
                  <c:v>34700</c:v>
                </c:pt>
                <c:pt idx="3">
                  <c:v>34790</c:v>
                </c:pt>
                <c:pt idx="4">
                  <c:v>34881</c:v>
                </c:pt>
                <c:pt idx="5">
                  <c:v>34973</c:v>
                </c:pt>
                <c:pt idx="6">
                  <c:v>35065</c:v>
                </c:pt>
                <c:pt idx="7">
                  <c:v>35156</c:v>
                </c:pt>
                <c:pt idx="8">
                  <c:v>35247</c:v>
                </c:pt>
                <c:pt idx="9">
                  <c:v>35339</c:v>
                </c:pt>
                <c:pt idx="10">
                  <c:v>35431</c:v>
                </c:pt>
                <c:pt idx="11">
                  <c:v>35521</c:v>
                </c:pt>
                <c:pt idx="12">
                  <c:v>35612</c:v>
                </c:pt>
                <c:pt idx="13">
                  <c:v>35704</c:v>
                </c:pt>
                <c:pt idx="14">
                  <c:v>35796</c:v>
                </c:pt>
                <c:pt idx="15">
                  <c:v>35886</c:v>
                </c:pt>
                <c:pt idx="16">
                  <c:v>35977</c:v>
                </c:pt>
              </c:numCache>
            </c:numRef>
          </c:cat>
          <c:val>
            <c:numRef>
              <c:f>Table_3!$E$38:$U$38</c:f>
              <c:numCache>
                <c:formatCode>#,##0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5477.6551620450609</c:v>
                </c:pt>
                <c:pt idx="6">
                  <c:v>5531.6287252917482</c:v>
                </c:pt>
                <c:pt idx="7">
                  <c:v>11172.268224000007</c:v>
                </c:pt>
                <c:pt idx="8">
                  <c:v>16923.529687327809</c:v>
                </c:pt>
                <c:pt idx="9">
                  <c:v>28483.806842634312</c:v>
                </c:pt>
                <c:pt idx="10">
                  <c:v>46023.150994427357</c:v>
                </c:pt>
                <c:pt idx="11">
                  <c:v>75524.533194240037</c:v>
                </c:pt>
                <c:pt idx="12">
                  <c:v>158404.23787338828</c:v>
                </c:pt>
                <c:pt idx="13">
                  <c:v>159965.05922823434</c:v>
                </c:pt>
                <c:pt idx="14">
                  <c:v>59830.096292755545</c:v>
                </c:pt>
                <c:pt idx="15">
                  <c:v>18125.887966617629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493120"/>
        <c:axId val="69171968"/>
      </c:barChart>
      <c:lineChart>
        <c:grouping val="standard"/>
        <c:varyColors val="0"/>
        <c:ser>
          <c:idx val="0"/>
          <c:order val="2"/>
          <c:tx>
            <c:strRef>
              <c:f>Table_3!$B$41</c:f>
              <c:strCache>
                <c:ptCount val="1"/>
                <c:pt idx="0">
                  <c:v>Куммупятивный поток напичност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Table_3!$E$19:$U$19</c:f>
              <c:numCache>
                <c:formatCode>mmm\-yy</c:formatCode>
                <c:ptCount val="17"/>
                <c:pt idx="0">
                  <c:v>34516</c:v>
                </c:pt>
                <c:pt idx="1">
                  <c:v>34608</c:v>
                </c:pt>
                <c:pt idx="2">
                  <c:v>34700</c:v>
                </c:pt>
                <c:pt idx="3">
                  <c:v>34790</c:v>
                </c:pt>
                <c:pt idx="4">
                  <c:v>34881</c:v>
                </c:pt>
                <c:pt idx="5">
                  <c:v>34973</c:v>
                </c:pt>
                <c:pt idx="6">
                  <c:v>35065</c:v>
                </c:pt>
                <c:pt idx="7">
                  <c:v>35156</c:v>
                </c:pt>
                <c:pt idx="8">
                  <c:v>35247</c:v>
                </c:pt>
                <c:pt idx="9">
                  <c:v>35339</c:v>
                </c:pt>
                <c:pt idx="10">
                  <c:v>35431</c:v>
                </c:pt>
                <c:pt idx="11">
                  <c:v>35521</c:v>
                </c:pt>
                <c:pt idx="12">
                  <c:v>35612</c:v>
                </c:pt>
                <c:pt idx="13">
                  <c:v>35704</c:v>
                </c:pt>
                <c:pt idx="14">
                  <c:v>35796</c:v>
                </c:pt>
                <c:pt idx="15">
                  <c:v>35886</c:v>
                </c:pt>
                <c:pt idx="16">
                  <c:v>35977</c:v>
                </c:pt>
              </c:numCache>
            </c:numRef>
          </c:cat>
          <c:val>
            <c:numRef>
              <c:f>Table_3!$E$41:$U$41</c:f>
              <c:numCache>
                <c:formatCode>#,##0</c:formatCode>
                <c:ptCount val="17"/>
                <c:pt idx="0">
                  <c:v>-1723.6773756487662</c:v>
                </c:pt>
                <c:pt idx="1">
                  <c:v>-7518.1083091326545</c:v>
                </c:pt>
                <c:pt idx="2">
                  <c:v>-18064.985797418405</c:v>
                </c:pt>
                <c:pt idx="3">
                  <c:v>-42343.469637418399</c:v>
                </c:pt>
                <c:pt idx="4">
                  <c:v>-69877.897688086086</c:v>
                </c:pt>
                <c:pt idx="5">
                  <c:v>-87952.154665985567</c:v>
                </c:pt>
                <c:pt idx="6">
                  <c:v>-104362.59591669435</c:v>
                </c:pt>
                <c:pt idx="7">
                  <c:v>-112715.34709749435</c:v>
                </c:pt>
                <c:pt idx="8">
                  <c:v>-113392.94975609586</c:v>
                </c:pt>
                <c:pt idx="9">
                  <c:v>-98622.923163643281</c:v>
                </c:pt>
                <c:pt idx="10">
                  <c:v>-64405.819676193234</c:v>
                </c:pt>
                <c:pt idx="11">
                  <c:v>-1356.3432038731989</c:v>
                </c:pt>
                <c:pt idx="12">
                  <c:v>151234.44582114244</c:v>
                </c:pt>
                <c:pt idx="13">
                  <c:v>303715.6715604522</c:v>
                </c:pt>
                <c:pt idx="14">
                  <c:v>356638.46244770969</c:v>
                </c:pt>
                <c:pt idx="15">
                  <c:v>370114.10648511641</c:v>
                </c:pt>
                <c:pt idx="16">
                  <c:v>370114.10648511641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93632"/>
        <c:axId val="69172544"/>
      </c:lineChart>
      <c:catAx>
        <c:axId val="634931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71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917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Table_3!$B$39</c:f>
              <c:strCache>
                <c:ptCount val="1"/>
                <c:pt idx="0">
                  <c:v>ПОТОК НАЛИЧНОСТИ</c:v>
                </c:pt>
              </c:strCache>
            </c:strRef>
          </c:tx>
          <c:layout>
            <c:manualLayout>
              <c:xMode val="edge"/>
              <c:yMode val="edge"/>
              <c:x val="9.9889012208657056E-3"/>
              <c:y val="0.4679802955665024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25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1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93120"/>
        <c:crosses val="autoZero"/>
        <c:crossBetween val="between"/>
      </c:valAx>
      <c:catAx>
        <c:axId val="63493632"/>
        <c:scaling>
          <c:orientation val="minMax"/>
        </c:scaling>
        <c:delete val="0"/>
        <c:axPos val="t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72544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6917254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6349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430632630410655"/>
          <c:y val="0.21018062397372742"/>
          <c:w val="0.35405105438401774"/>
          <c:h val="0.164203612479474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/>
  </sheetViews>
  <pageMargins left="0.75" right="0.75" top="1" bottom="1" header="0.5" footer="0.5"/>
  <headerFooter alignWithMargins="0">
    <oddHeader>&amp;F</oddHeader>
    <oddFooter>Page &amp;P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5" right="0.75" top="1" bottom="1" header="0.5" footer="0.5"/>
  <pageSetup orientation="landscape" horizontalDpi="4294967293" r:id="rId1"/>
  <headerFooter alignWithMargins="0">
    <oddHeader>&amp;F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0.47025</cdr:x>
      <cdr:y>0.017</cdr:y>
    </cdr:from>
    <cdr:to>
      <cdr:x>0.50725</cdr:x>
      <cdr:y>0.057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739" y="99260"/>
          <a:ext cx="316830" cy="2335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-11-</a:t>
          </a:r>
          <a:endParaRPr lang="en-US"/>
        </a:p>
      </cdr:txBody>
    </cdr:sp>
  </cdr:relSizeAnchor>
  <cdr:relSizeAnchor xmlns:cdr="http://schemas.openxmlformats.org/drawingml/2006/chartDrawing">
    <cdr:from>
      <cdr:x>0.77225</cdr:x>
      <cdr:y>0.031</cdr:y>
    </cdr:from>
    <cdr:to>
      <cdr:x>0.87875</cdr:x>
      <cdr:y>0.066</cdr:y>
    </cdr:to>
    <cdr:sp macro="" textlink="Sheet1!$J$16">
      <cdr:nvSpPr>
        <cdr:cNvPr id="20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6612757" y="181004"/>
          <a:ext cx="911957" cy="204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AE07DF8-32E6-4FEA-94C0-CA75682505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ТАБЛИЦА  4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0.4495</cdr:x>
      <cdr:y>0.023</cdr:y>
    </cdr:from>
    <cdr:to>
      <cdr:x>0.509</cdr:x>
      <cdr:y>0.06275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57620" y="133417"/>
          <a:ext cx="510631" cy="230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- 12 -</a:t>
          </a:r>
          <a:endParaRPr lang="en-US"/>
        </a:p>
      </cdr:txBody>
    </cdr:sp>
  </cdr:relSizeAnchor>
  <cdr:relSizeAnchor xmlns:cdr="http://schemas.openxmlformats.org/drawingml/2006/chartDrawing">
    <cdr:from>
      <cdr:x>0.877</cdr:x>
      <cdr:y>0.03775</cdr:y>
    </cdr:from>
    <cdr:to>
      <cdr:x>0.97325</cdr:x>
      <cdr:y>0.0725</cdr:y>
    </cdr:to>
    <cdr:sp macro="" textlink="Sheet1!$J$24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526436" y="218977"/>
          <a:ext cx="826020" cy="2015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0A853F2-7772-4AD7-A3CE-223DB52C5E3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ТАБЛИЦА  5</a:t>
          </a:fld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Y91"/>
  <sheetViews>
    <sheetView showGridLines="0" tabSelected="1" showOutlineSymbols="0" workbookViewId="0">
      <selection activeCell="B28" sqref="B28"/>
    </sheetView>
  </sheetViews>
  <sheetFormatPr defaultColWidth="9.77734375" defaultRowHeight="15" outlineLevelRow="1" outlineLevelCol="1" x14ac:dyDescent="0.2"/>
  <cols>
    <col min="1" max="1" width="3.6640625" style="1" customWidth="1"/>
    <col min="2" max="2" width="23.77734375" style="1" customWidth="1"/>
    <col min="3" max="3" width="9.77734375" style="1" customWidth="1"/>
    <col min="4" max="4" width="7.6640625" style="1" customWidth="1"/>
    <col min="5" max="5" width="6.6640625" style="1" customWidth="1"/>
    <col min="6" max="6" width="8.6640625" style="1" customWidth="1" outlineLevel="1"/>
    <col min="7" max="7" width="9.6640625" style="1" customWidth="1" outlineLevel="1"/>
    <col min="8" max="8" width="8.6640625" style="1" customWidth="1" outlineLevel="1"/>
    <col min="9" max="9" width="9.21875" style="1" customWidth="1"/>
    <col min="10" max="10" width="16.5546875" style="1" customWidth="1"/>
    <col min="11" max="11" width="10.77734375" style="4" customWidth="1"/>
    <col min="12" max="12" width="3.5546875" style="1" customWidth="1"/>
    <col min="13" max="13" width="3.109375" style="1" customWidth="1"/>
    <col min="14" max="14" width="3.6640625" style="1" customWidth="1"/>
    <col min="15" max="15" width="4.6640625" style="1" customWidth="1"/>
    <col min="16" max="16" width="3.88671875" style="1" customWidth="1"/>
    <col min="17" max="17" width="9.77734375" style="1" customWidth="1"/>
    <col min="18" max="18" width="17" style="1" customWidth="1"/>
    <col min="19" max="19" width="10.6640625" style="1" customWidth="1"/>
    <col min="20" max="20" width="6.77734375" style="1" customWidth="1"/>
    <col min="21" max="21" width="11.21875" style="1" customWidth="1"/>
    <col min="22" max="22" width="9.77734375" style="1" customWidth="1"/>
    <col min="23" max="23" width="8" style="1" customWidth="1"/>
    <col min="24" max="24" width="14.6640625" style="1" customWidth="1"/>
    <col min="25" max="26" width="9.77734375" style="1" customWidth="1"/>
    <col min="27" max="27" width="4.6640625" style="1" customWidth="1"/>
    <col min="28" max="30" width="9.77734375" style="1" customWidth="1"/>
    <col min="31" max="31" width="4.88671875" style="1" customWidth="1"/>
    <col min="32" max="35" width="9.77734375" style="1" customWidth="1"/>
    <col min="36" max="36" width="15.21875" style="1" customWidth="1"/>
    <col min="37" max="16384" width="9.77734375" style="1"/>
  </cols>
  <sheetData>
    <row r="1" spans="1:23" ht="18" x14ac:dyDescent="0.25">
      <c r="B1" s="2"/>
      <c r="G1" s="120" t="s">
        <v>180</v>
      </c>
      <c r="J1" s="3"/>
    </row>
    <row r="3" spans="1:23" ht="15.75" x14ac:dyDescent="0.25">
      <c r="B3" s="122" t="s">
        <v>135</v>
      </c>
      <c r="C3" s="123"/>
      <c r="D3" s="123"/>
      <c r="E3" s="124" t="s">
        <v>136</v>
      </c>
      <c r="F3" s="123"/>
      <c r="G3" s="123"/>
      <c r="H3" s="123"/>
      <c r="I3" s="123"/>
      <c r="J3" s="123"/>
      <c r="K3" s="125"/>
      <c r="L3" s="123"/>
      <c r="M3" s="126"/>
    </row>
    <row r="4" spans="1:23" ht="15.75" x14ac:dyDescent="0.25">
      <c r="B4" s="127"/>
      <c r="C4" s="128"/>
      <c r="D4" s="128"/>
      <c r="E4" s="128"/>
      <c r="F4" s="128"/>
      <c r="G4" s="128"/>
      <c r="H4" s="128"/>
      <c r="I4" s="128"/>
      <c r="J4" s="128"/>
      <c r="K4" s="129"/>
      <c r="L4" s="128"/>
      <c r="M4" s="130"/>
    </row>
    <row r="5" spans="1:23" x14ac:dyDescent="0.2">
      <c r="B5" s="9" t="s">
        <v>7</v>
      </c>
      <c r="C5" s="21">
        <v>1</v>
      </c>
      <c r="D5" s="9"/>
      <c r="E5" s="9"/>
      <c r="F5" s="9"/>
      <c r="G5" s="9"/>
      <c r="H5" s="9"/>
      <c r="I5" s="9"/>
    </row>
    <row r="6" spans="1:23" x14ac:dyDescent="0.2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F6" s="12" t="s">
        <v>15</v>
      </c>
      <c r="G6" s="12" t="s">
        <v>16</v>
      </c>
      <c r="H6" s="12" t="s">
        <v>17</v>
      </c>
      <c r="I6" s="12" t="s">
        <v>18</v>
      </c>
      <c r="J6" s="12"/>
      <c r="K6" s="10"/>
      <c r="L6" s="9"/>
      <c r="M6" s="9"/>
      <c r="N6" s="23"/>
      <c r="R6"/>
    </row>
    <row r="7" spans="1:23" x14ac:dyDescent="0.2">
      <c r="A7" s="12"/>
      <c r="B7" s="12"/>
      <c r="C7" s="12"/>
      <c r="D7" s="12"/>
      <c r="E7" s="12"/>
      <c r="F7" s="187" t="s">
        <v>163</v>
      </c>
      <c r="G7" s="188"/>
      <c r="H7" s="12"/>
      <c r="I7" s="85"/>
      <c r="J7" s="83"/>
      <c r="N7" s="23"/>
    </row>
    <row r="8" spans="1:23" ht="30" x14ac:dyDescent="0.2">
      <c r="A8" s="9"/>
      <c r="B8" s="9"/>
      <c r="C8" s="9"/>
      <c r="D8" s="9"/>
      <c r="E8" s="9"/>
      <c r="F8" s="112" t="s">
        <v>164</v>
      </c>
      <c r="G8" s="85" t="s">
        <v>165</v>
      </c>
      <c r="H8" s="96" t="s">
        <v>166</v>
      </c>
      <c r="I8" s="108" t="s">
        <v>167</v>
      </c>
      <c r="J8" s="112" t="s">
        <v>169</v>
      </c>
      <c r="K8" s="12" t="s">
        <v>170</v>
      </c>
      <c r="L8" s="9"/>
      <c r="M8" s="11"/>
      <c r="N8" s="23"/>
      <c r="P8" s="83"/>
      <c r="Q8" s="83"/>
      <c r="S8" s="83"/>
      <c r="T8" s="83"/>
      <c r="U8" s="83"/>
      <c r="V8" s="83"/>
      <c r="W8" s="83"/>
    </row>
    <row r="9" spans="1:23" x14ac:dyDescent="0.2">
      <c r="F9" s="113"/>
      <c r="G9" s="111"/>
      <c r="H9" s="28"/>
      <c r="I9" s="110" t="s">
        <v>168</v>
      </c>
      <c r="J9" s="86"/>
      <c r="K9" s="115"/>
      <c r="L9" s="14"/>
      <c r="M9" s="15"/>
      <c r="N9" s="23"/>
      <c r="P9" s="83"/>
      <c r="T9" s="83"/>
      <c r="U9" s="83"/>
      <c r="V9" s="83"/>
      <c r="W9" s="83"/>
    </row>
    <row r="10" spans="1:23" x14ac:dyDescent="0.2">
      <c r="A10" s="12">
        <v>10</v>
      </c>
      <c r="B10" s="133" t="s">
        <v>137</v>
      </c>
      <c r="C10" s="19"/>
      <c r="D10" s="20"/>
      <c r="E10" s="9" t="s">
        <v>37</v>
      </c>
      <c r="F10" s="32">
        <f>F12*F11</f>
        <v>40000</v>
      </c>
      <c r="G10" s="32">
        <f>G12*G11</f>
        <v>24000</v>
      </c>
      <c r="H10" s="32"/>
      <c r="I10" s="42"/>
      <c r="J10" s="107"/>
      <c r="K10" s="106" t="s">
        <v>179</v>
      </c>
      <c r="L10" s="24"/>
      <c r="M10" s="24"/>
      <c r="N10" s="23"/>
      <c r="P10" s="83"/>
      <c r="Q10" s="83"/>
      <c r="S10" s="83"/>
      <c r="T10" s="83"/>
      <c r="U10" s="83"/>
      <c r="V10" s="83"/>
      <c r="W10" s="83"/>
    </row>
    <row r="11" spans="1:23" ht="15.75" outlineLevel="1" x14ac:dyDescent="0.25">
      <c r="A11" s="12">
        <v>11</v>
      </c>
      <c r="B11" s="133" t="s">
        <v>138</v>
      </c>
      <c r="C11" s="19"/>
      <c r="D11" s="20"/>
      <c r="E11" s="9" t="s">
        <v>41</v>
      </c>
      <c r="F11" s="33">
        <v>100</v>
      </c>
      <c r="G11" s="33">
        <v>60</v>
      </c>
      <c r="H11" s="12"/>
      <c r="I11" s="42"/>
      <c r="J11" s="108" t="s">
        <v>171</v>
      </c>
      <c r="K11" s="97" t="s">
        <v>178</v>
      </c>
      <c r="L11" s="22"/>
      <c r="M11" s="22"/>
      <c r="N11" s="23"/>
      <c r="P11" s="83"/>
      <c r="Q11" s="83"/>
      <c r="R11" s="83"/>
      <c r="S11" s="83"/>
      <c r="T11" s="83"/>
      <c r="U11" s="83"/>
      <c r="V11" s="83"/>
      <c r="W11" s="83"/>
    </row>
    <row r="12" spans="1:23" ht="16.149999999999999" customHeight="1" outlineLevel="1" x14ac:dyDescent="0.25">
      <c r="A12" s="12">
        <v>12</v>
      </c>
      <c r="B12" s="133" t="s">
        <v>139</v>
      </c>
      <c r="C12" s="19"/>
      <c r="D12" s="20"/>
      <c r="E12" s="9" t="s">
        <v>45</v>
      </c>
      <c r="F12" s="37">
        <v>400</v>
      </c>
      <c r="G12" s="37">
        <v>400</v>
      </c>
      <c r="H12" s="33">
        <v>500</v>
      </c>
      <c r="I12" s="42"/>
      <c r="J12" s="109"/>
      <c r="K12" s="97" t="s">
        <v>178</v>
      </c>
      <c r="L12" s="22"/>
      <c r="M12" s="22"/>
      <c r="N12" s="23"/>
      <c r="P12" s="83"/>
      <c r="Q12" s="83"/>
      <c r="R12" s="83"/>
      <c r="S12" s="83"/>
      <c r="T12" s="83"/>
      <c r="U12" s="83"/>
      <c r="V12" s="83"/>
      <c r="W12" s="83"/>
    </row>
    <row r="13" spans="1:23" ht="20.45" customHeight="1" x14ac:dyDescent="0.25">
      <c r="A13" s="12">
        <v>13</v>
      </c>
      <c r="B13" s="133" t="s">
        <v>140</v>
      </c>
      <c r="C13" s="19"/>
      <c r="D13" s="20"/>
      <c r="E13" s="9" t="s">
        <v>50</v>
      </c>
      <c r="F13" s="38">
        <v>1</v>
      </c>
      <c r="G13" s="38">
        <v>0.8</v>
      </c>
      <c r="H13" s="38">
        <v>0.75</v>
      </c>
      <c r="I13" s="42"/>
      <c r="J13" s="86" t="s">
        <v>172</v>
      </c>
      <c r="K13" s="97" t="s">
        <v>178</v>
      </c>
      <c r="L13" s="22"/>
      <c r="M13" s="22"/>
      <c r="N13" s="23"/>
      <c r="P13" s="83"/>
      <c r="Q13" s="83"/>
      <c r="R13" s="83"/>
      <c r="S13" s="83"/>
      <c r="T13" s="83"/>
      <c r="U13" s="83"/>
      <c r="V13" s="83"/>
      <c r="W13" s="83"/>
    </row>
    <row r="14" spans="1:23" x14ac:dyDescent="0.2">
      <c r="A14" s="12">
        <v>14</v>
      </c>
      <c r="B14" s="133" t="s">
        <v>141</v>
      </c>
      <c r="C14" s="19"/>
      <c r="D14" s="20"/>
      <c r="E14" s="9" t="s">
        <v>45</v>
      </c>
      <c r="F14" s="32">
        <f>F12*F13</f>
        <v>400</v>
      </c>
      <c r="G14" s="32">
        <f>G12*G13</f>
        <v>320</v>
      </c>
      <c r="H14" s="12">
        <f>H12*H13</f>
        <v>375</v>
      </c>
      <c r="I14" s="42"/>
      <c r="J14" s="117"/>
      <c r="K14" s="114" t="s">
        <v>54</v>
      </c>
      <c r="L14" s="22"/>
      <c r="M14" s="22"/>
      <c r="N14" s="23"/>
      <c r="P14" s="83"/>
      <c r="Q14" s="83"/>
      <c r="R14" s="83"/>
      <c r="S14" s="83"/>
      <c r="T14" s="83"/>
      <c r="U14" s="83"/>
      <c r="V14" s="83"/>
      <c r="W14" s="83"/>
    </row>
    <row r="15" spans="1:23" ht="16.149999999999999" customHeight="1" x14ac:dyDescent="0.25">
      <c r="A15" s="12">
        <v>15</v>
      </c>
      <c r="B15" s="133" t="s">
        <v>142</v>
      </c>
      <c r="C15" s="19"/>
      <c r="D15" s="20"/>
      <c r="E15" s="9" t="s">
        <v>24</v>
      </c>
      <c r="F15" s="38">
        <v>0.06</v>
      </c>
      <c r="G15" s="38">
        <v>0.06</v>
      </c>
      <c r="H15" s="38">
        <v>0.06</v>
      </c>
      <c r="I15" s="42"/>
      <c r="J15" s="116" t="s">
        <v>173</v>
      </c>
      <c r="K15" s="97" t="s">
        <v>178</v>
      </c>
      <c r="L15" s="22"/>
      <c r="M15" s="22"/>
      <c r="N15" s="23"/>
      <c r="P15" s="83"/>
      <c r="Q15" s="83"/>
      <c r="S15" s="83"/>
      <c r="T15" s="83"/>
      <c r="U15" s="83"/>
      <c r="V15" s="83"/>
      <c r="W15" s="83"/>
    </row>
    <row r="16" spans="1:23" ht="16.149999999999999" customHeight="1" x14ac:dyDescent="0.25">
      <c r="A16" s="12">
        <v>16</v>
      </c>
      <c r="B16" s="133" t="s">
        <v>143</v>
      </c>
      <c r="C16" s="19"/>
      <c r="D16" s="20"/>
      <c r="E16" s="9" t="s">
        <v>24</v>
      </c>
      <c r="F16" s="38">
        <v>0.12</v>
      </c>
      <c r="G16" s="38">
        <v>0.12</v>
      </c>
      <c r="H16" s="38">
        <v>0.12</v>
      </c>
      <c r="I16" s="42"/>
      <c r="J16" s="86" t="s">
        <v>174</v>
      </c>
      <c r="K16" s="97" t="s">
        <v>178</v>
      </c>
      <c r="L16" s="22"/>
      <c r="M16" s="22"/>
      <c r="N16" s="23"/>
      <c r="P16" s="83"/>
      <c r="Q16" s="83"/>
      <c r="R16" s="83"/>
      <c r="S16" s="83"/>
      <c r="T16" s="83"/>
      <c r="U16" s="83"/>
      <c r="V16" s="83"/>
      <c r="W16" s="83"/>
    </row>
    <row r="17" spans="1:23" ht="15.6" customHeight="1" x14ac:dyDescent="0.2">
      <c r="A17" s="12">
        <v>17</v>
      </c>
      <c r="B17" s="133" t="s">
        <v>144</v>
      </c>
      <c r="C17" s="19"/>
      <c r="D17" s="20"/>
      <c r="E17" s="9" t="s">
        <v>45</v>
      </c>
      <c r="F17" s="32">
        <f>(1-F16-F15)*F14</f>
        <v>328</v>
      </c>
      <c r="G17" s="32">
        <f>(1-G16-G15)*G14</f>
        <v>262.40000000000003</v>
      </c>
      <c r="H17" s="32">
        <f>(1-H16-H15)*H14</f>
        <v>307.5</v>
      </c>
      <c r="I17" s="42"/>
      <c r="J17" s="92"/>
      <c r="K17" s="29" t="s">
        <v>59</v>
      </c>
      <c r="L17" s="22"/>
      <c r="M17" s="22"/>
      <c r="N17" s="23"/>
      <c r="P17" s="83"/>
      <c r="Q17" s="83"/>
      <c r="S17" s="83"/>
      <c r="T17" s="83"/>
      <c r="U17" s="83"/>
      <c r="V17" s="83"/>
      <c r="W17" s="83"/>
    </row>
    <row r="18" spans="1:23" ht="20.45" customHeight="1" x14ac:dyDescent="0.25">
      <c r="A18" s="12">
        <v>18</v>
      </c>
      <c r="B18" s="133" t="s">
        <v>145</v>
      </c>
      <c r="C18" s="19"/>
      <c r="D18" s="20"/>
      <c r="E18" s="9" t="s">
        <v>45</v>
      </c>
      <c r="F18" s="33">
        <v>250</v>
      </c>
      <c r="G18" s="33">
        <v>230</v>
      </c>
      <c r="H18" s="33">
        <v>250</v>
      </c>
      <c r="I18" s="42"/>
      <c r="J18" s="85" t="s">
        <v>175</v>
      </c>
      <c r="K18" s="97" t="s">
        <v>178</v>
      </c>
      <c r="L18" s="22"/>
      <c r="M18" s="22"/>
      <c r="N18" s="23"/>
      <c r="P18" s="83"/>
      <c r="Q18" s="83"/>
      <c r="S18" s="83"/>
      <c r="T18" s="83"/>
      <c r="U18" s="83"/>
      <c r="V18" s="83"/>
      <c r="W18" s="83"/>
    </row>
    <row r="19" spans="1:23" ht="16.149999999999999" customHeight="1" x14ac:dyDescent="0.25">
      <c r="A19" s="12">
        <v>19</v>
      </c>
      <c r="B19" s="133" t="s">
        <v>146</v>
      </c>
      <c r="C19" s="19"/>
      <c r="D19" s="20"/>
      <c r="E19" s="9"/>
      <c r="F19" s="33">
        <v>0.2</v>
      </c>
      <c r="G19" s="33">
        <v>2</v>
      </c>
      <c r="H19" s="33">
        <v>5</v>
      </c>
      <c r="I19" s="42"/>
      <c r="J19" s="118" t="s">
        <v>176</v>
      </c>
      <c r="K19" s="97" t="s">
        <v>178</v>
      </c>
      <c r="L19" s="22"/>
      <c r="M19" s="22"/>
      <c r="N19" s="23"/>
      <c r="P19" s="83"/>
      <c r="Q19" s="83"/>
      <c r="R19" s="83"/>
      <c r="S19" s="83"/>
      <c r="T19" s="83"/>
      <c r="U19" s="83"/>
      <c r="V19" s="83"/>
      <c r="W19" s="83"/>
    </row>
    <row r="20" spans="1:23" ht="15.6" customHeight="1" thickBot="1" x14ac:dyDescent="0.25">
      <c r="A20" s="12">
        <v>20</v>
      </c>
      <c r="B20" s="133" t="s">
        <v>147</v>
      </c>
      <c r="C20" s="19"/>
      <c r="D20" s="20"/>
      <c r="E20" s="9" t="s">
        <v>41</v>
      </c>
      <c r="F20" s="47">
        <f>F11/F13/F19</f>
        <v>500</v>
      </c>
      <c r="G20" s="47">
        <f>G11/G13/G19</f>
        <v>37.5</v>
      </c>
      <c r="H20" s="12"/>
      <c r="I20" s="85"/>
      <c r="J20" s="9"/>
      <c r="K20" s="48" t="s">
        <v>61</v>
      </c>
      <c r="L20" s="22"/>
      <c r="M20" s="22"/>
      <c r="N20" s="23"/>
      <c r="P20" s="83"/>
      <c r="Q20" s="83"/>
      <c r="S20" s="83"/>
      <c r="T20" s="83"/>
      <c r="U20" s="83"/>
      <c r="V20" s="83"/>
      <c r="W20" s="83"/>
    </row>
    <row r="21" spans="1:23" ht="20.45" customHeight="1" thickBot="1" x14ac:dyDescent="0.3">
      <c r="A21" s="88">
        <v>21</v>
      </c>
      <c r="B21" s="131" t="s">
        <v>148</v>
      </c>
      <c r="C21" s="94"/>
      <c r="D21" s="94"/>
      <c r="E21" s="89" t="s">
        <v>45</v>
      </c>
      <c r="F21" s="90">
        <f>(F17-F18)*F19</f>
        <v>15.600000000000001</v>
      </c>
      <c r="G21" s="90">
        <f>(G17-G18)*G19</f>
        <v>64.800000000000068</v>
      </c>
      <c r="H21" s="90">
        <f>(H17-H18)*H19</f>
        <v>287.5</v>
      </c>
      <c r="I21" s="91"/>
      <c r="J21" s="84"/>
      <c r="K21" s="57" t="s">
        <v>63</v>
      </c>
      <c r="L21" s="22"/>
      <c r="M21" s="22"/>
      <c r="N21" s="23"/>
      <c r="P21" s="83"/>
      <c r="Q21" s="95"/>
      <c r="S21" s="83"/>
      <c r="T21" s="83"/>
      <c r="U21" s="83"/>
      <c r="V21" s="83"/>
      <c r="W21" s="83"/>
    </row>
    <row r="22" spans="1:23" ht="20.45" customHeight="1" x14ac:dyDescent="0.25">
      <c r="A22" s="23">
        <v>22</v>
      </c>
      <c r="B22" s="116" t="s">
        <v>149</v>
      </c>
      <c r="C22" s="87"/>
      <c r="D22" s="87"/>
      <c r="E22" s="87"/>
      <c r="F22" s="83"/>
      <c r="G22" s="83"/>
      <c r="H22" s="83"/>
      <c r="I22" s="83"/>
      <c r="J22" s="34"/>
      <c r="K22" s="29" t="s">
        <v>65</v>
      </c>
      <c r="L22" s="22"/>
      <c r="M22" s="22"/>
      <c r="N22" s="23"/>
      <c r="P22" s="83"/>
      <c r="R22" s="83"/>
      <c r="S22" s="83"/>
      <c r="T22" s="83"/>
      <c r="U22" s="83"/>
      <c r="V22" s="83"/>
      <c r="W22" s="83"/>
    </row>
    <row r="23" spans="1:23" ht="15.75" x14ac:dyDescent="0.25">
      <c r="A23" s="12">
        <v>23</v>
      </c>
      <c r="B23" s="133" t="s">
        <v>150</v>
      </c>
      <c r="C23" s="19"/>
      <c r="D23" s="20"/>
      <c r="E23" s="9" t="s">
        <v>24</v>
      </c>
      <c r="F23" s="38">
        <v>0.1</v>
      </c>
      <c r="G23" s="38">
        <v>0.5</v>
      </c>
      <c r="H23" s="60"/>
      <c r="I23" s="60">
        <f>F23+G23</f>
        <v>0.6</v>
      </c>
      <c r="J23" s="107"/>
      <c r="K23" s="97" t="s">
        <v>178</v>
      </c>
      <c r="L23" s="22"/>
      <c r="M23" s="22"/>
      <c r="N23" s="23"/>
      <c r="P23" s="83"/>
      <c r="Q23" s="83"/>
      <c r="R23" s="83"/>
      <c r="S23" s="83"/>
      <c r="T23" s="83"/>
      <c r="U23" s="83"/>
      <c r="V23" s="83"/>
      <c r="W23" s="83"/>
    </row>
    <row r="24" spans="1:23" ht="15.75" x14ac:dyDescent="0.25">
      <c r="A24" s="12">
        <v>24</v>
      </c>
      <c r="B24" s="133" t="s">
        <v>151</v>
      </c>
      <c r="C24" s="19"/>
      <c r="D24" s="20"/>
      <c r="E24" s="9" t="s">
        <v>60</v>
      </c>
      <c r="F24" s="12"/>
      <c r="G24" s="12"/>
      <c r="H24" s="38">
        <v>0.15</v>
      </c>
      <c r="I24" s="60">
        <f>H24</f>
        <v>0.15</v>
      </c>
      <c r="J24" s="189" t="s">
        <v>177</v>
      </c>
      <c r="K24" s="114" t="s">
        <v>66</v>
      </c>
      <c r="L24" s="22"/>
      <c r="M24" s="22"/>
      <c r="N24" s="23"/>
      <c r="P24" s="83"/>
      <c r="Q24" s="83"/>
      <c r="R24" s="83"/>
      <c r="S24" s="83"/>
      <c r="T24" s="83"/>
      <c r="U24" s="83"/>
      <c r="V24" s="87"/>
      <c r="W24" s="83"/>
    </row>
    <row r="25" spans="1:23" ht="15.75" x14ac:dyDescent="0.25">
      <c r="A25" s="12">
        <v>25</v>
      </c>
      <c r="B25" s="133" t="s">
        <v>152</v>
      </c>
      <c r="C25" s="19"/>
      <c r="D25" s="20"/>
      <c r="E25" s="9" t="s">
        <v>60</v>
      </c>
      <c r="F25" s="12"/>
      <c r="G25" s="12"/>
      <c r="H25" s="60"/>
      <c r="I25" s="38">
        <v>0.1</v>
      </c>
      <c r="J25" s="189"/>
      <c r="K25" s="114" t="s">
        <v>66</v>
      </c>
      <c r="L25" s="22"/>
      <c r="M25" s="22"/>
      <c r="N25" s="23"/>
      <c r="P25" s="83"/>
      <c r="Q25" s="83"/>
      <c r="R25" s="83"/>
      <c r="S25" s="83"/>
      <c r="T25" s="83"/>
      <c r="U25" s="83"/>
      <c r="V25" s="83"/>
      <c r="W25" s="83"/>
    </row>
    <row r="26" spans="1:23" ht="15.75" x14ac:dyDescent="0.25">
      <c r="A26" s="12">
        <v>26</v>
      </c>
      <c r="B26" s="133" t="s">
        <v>153</v>
      </c>
      <c r="C26" s="19"/>
      <c r="D26" s="20"/>
      <c r="E26" s="9" t="s">
        <v>60</v>
      </c>
      <c r="F26" s="60"/>
      <c r="G26" s="12"/>
      <c r="H26" s="60"/>
      <c r="I26" s="38">
        <v>0.1</v>
      </c>
      <c r="J26" s="189"/>
      <c r="K26" s="114" t="s">
        <v>66</v>
      </c>
      <c r="L26" s="22"/>
      <c r="M26" s="22"/>
      <c r="N26" s="23"/>
      <c r="P26" s="83"/>
      <c r="Q26" s="83"/>
      <c r="R26" s="83"/>
      <c r="S26" s="83"/>
      <c r="T26" s="83"/>
      <c r="U26" s="83"/>
      <c r="V26" s="83"/>
      <c r="W26" s="83"/>
    </row>
    <row r="27" spans="1:23" ht="15.75" x14ac:dyDescent="0.25">
      <c r="A27" s="12">
        <v>27</v>
      </c>
      <c r="B27" s="133" t="s">
        <v>154</v>
      </c>
      <c r="C27" s="19"/>
      <c r="D27" s="20"/>
      <c r="E27" s="9" t="s">
        <v>60</v>
      </c>
      <c r="F27" s="60"/>
      <c r="G27" s="12"/>
      <c r="H27" s="60"/>
      <c r="I27" s="38">
        <f>1-SUM(I23:I26)</f>
        <v>5.0000000000000044E-2</v>
      </c>
      <c r="J27" s="109"/>
      <c r="K27" s="114" t="s">
        <v>66</v>
      </c>
      <c r="L27" s="22"/>
      <c r="M27" s="22"/>
      <c r="N27" s="23"/>
      <c r="P27" s="83"/>
      <c r="Q27" s="83"/>
      <c r="R27" s="83"/>
      <c r="S27" s="83"/>
      <c r="T27" s="83"/>
      <c r="U27" s="83"/>
      <c r="V27" s="83"/>
      <c r="W27" s="83"/>
    </row>
    <row r="28" spans="1:23" ht="15.75" thickBot="1" x14ac:dyDescent="0.25">
      <c r="A28" s="12">
        <v>28</v>
      </c>
      <c r="B28" s="83" t="s">
        <v>155</v>
      </c>
      <c r="C28" s="83"/>
      <c r="D28" s="83"/>
      <c r="E28" s="9" t="s">
        <v>60</v>
      </c>
      <c r="F28" s="60"/>
      <c r="G28" s="12"/>
      <c r="H28" s="60"/>
      <c r="I28" s="60">
        <f>SUM(I23:I27)</f>
        <v>1</v>
      </c>
      <c r="J28" s="119"/>
      <c r="K28" s="114"/>
      <c r="L28" s="22"/>
      <c r="M28" s="22"/>
      <c r="N28" s="23"/>
      <c r="P28" s="83"/>
      <c r="Q28" s="83"/>
      <c r="R28" s="83"/>
      <c r="S28" s="83"/>
      <c r="T28" s="83"/>
      <c r="U28" s="83"/>
      <c r="V28" s="83"/>
      <c r="W28" s="83"/>
    </row>
    <row r="29" spans="1:23" ht="15.75" x14ac:dyDescent="0.25">
      <c r="A29" s="98">
        <v>29</v>
      </c>
      <c r="B29" s="99"/>
      <c r="C29" s="99"/>
      <c r="D29" s="99"/>
      <c r="E29" s="100"/>
      <c r="F29" s="100"/>
      <c r="G29" s="99"/>
      <c r="H29" s="99"/>
      <c r="I29" s="101"/>
      <c r="J29" s="92"/>
      <c r="K29" s="63"/>
      <c r="L29" s="24"/>
      <c r="M29" s="24"/>
      <c r="N29" s="23"/>
      <c r="P29" s="83"/>
      <c r="Q29" s="83"/>
      <c r="R29" s="83"/>
      <c r="S29" s="83"/>
      <c r="T29" s="83"/>
      <c r="U29" s="83"/>
      <c r="V29" s="83"/>
      <c r="W29" s="83"/>
    </row>
    <row r="30" spans="1:23" ht="16.5" thickBot="1" x14ac:dyDescent="0.3">
      <c r="A30" s="102">
        <v>30</v>
      </c>
      <c r="B30" s="103" t="s">
        <v>156</v>
      </c>
      <c r="C30" s="103"/>
      <c r="D30" s="103"/>
      <c r="E30" s="104" t="s">
        <v>45</v>
      </c>
      <c r="F30" s="104"/>
      <c r="G30" s="103"/>
      <c r="H30" s="103"/>
      <c r="I30" s="105">
        <f>(F23*F21+G23*G21+H24*H21)/(F23+G23+H24)</f>
        <v>102.78000000000004</v>
      </c>
      <c r="J30" s="93" t="s">
        <v>67</v>
      </c>
      <c r="L30" s="22"/>
      <c r="M30" s="22"/>
      <c r="N30" s="23"/>
      <c r="P30" s="83"/>
      <c r="Q30" s="83"/>
      <c r="R30" s="83"/>
      <c r="S30" s="83"/>
      <c r="T30" s="83"/>
      <c r="U30" s="83"/>
      <c r="V30" s="83"/>
      <c r="W30" s="83"/>
    </row>
    <row r="31" spans="1:23" x14ac:dyDescent="0.2">
      <c r="A31" s="83">
        <v>31</v>
      </c>
      <c r="B31" s="83"/>
      <c r="C31" s="83"/>
      <c r="D31" s="83"/>
      <c r="E31" s="83"/>
      <c r="F31" s="83"/>
      <c r="G31" s="83"/>
      <c r="H31" s="83"/>
      <c r="I31" s="83"/>
      <c r="J31" s="9"/>
      <c r="K31" s="65"/>
      <c r="L31" s="9"/>
      <c r="M31" s="9"/>
      <c r="P31" s="83"/>
      <c r="Q31" s="83"/>
      <c r="R31" s="83"/>
      <c r="S31" s="83"/>
      <c r="T31" s="83"/>
      <c r="U31" s="83"/>
      <c r="V31" s="83"/>
      <c r="W31" s="83"/>
    </row>
    <row r="32" spans="1:23" ht="16.5" thickBot="1" x14ac:dyDescent="0.3">
      <c r="A32" s="1">
        <v>32</v>
      </c>
      <c r="B32" s="94" t="s">
        <v>157</v>
      </c>
      <c r="C32" s="62"/>
      <c r="D32" s="62"/>
      <c r="E32" s="62"/>
      <c r="K32" s="66"/>
      <c r="P32" s="83"/>
      <c r="Q32" s="83"/>
      <c r="R32" s="83"/>
      <c r="S32" s="83"/>
      <c r="T32" s="83"/>
      <c r="U32" s="83"/>
      <c r="V32" s="83"/>
      <c r="W32" s="83"/>
    </row>
    <row r="33" spans="1:23" x14ac:dyDescent="0.2">
      <c r="A33" s="1">
        <v>33</v>
      </c>
      <c r="K33" s="66" t="s">
        <v>69</v>
      </c>
      <c r="P33" s="83"/>
      <c r="Q33" s="83"/>
      <c r="R33" s="83"/>
      <c r="S33" s="83"/>
      <c r="T33" s="83"/>
      <c r="U33" s="83"/>
      <c r="V33" s="83"/>
      <c r="W33" s="83"/>
    </row>
    <row r="34" spans="1:23" x14ac:dyDescent="0.2">
      <c r="A34" s="12">
        <v>34</v>
      </c>
      <c r="B34" s="9" t="s">
        <v>158</v>
      </c>
      <c r="C34" s="9"/>
      <c r="D34" s="9"/>
      <c r="E34" s="12" t="s">
        <v>71</v>
      </c>
      <c r="F34" s="32">
        <f>F16*F10</f>
        <v>4800</v>
      </c>
      <c r="G34" s="32">
        <f>G16*G10</f>
        <v>2880</v>
      </c>
      <c r="H34" s="12"/>
      <c r="I34" s="12"/>
      <c r="J34" s="9"/>
      <c r="K34" s="69" t="s">
        <v>72</v>
      </c>
      <c r="L34" s="24"/>
      <c r="M34" s="11"/>
      <c r="N34" s="83"/>
      <c r="P34" s="83"/>
      <c r="Q34" s="83"/>
      <c r="R34" s="83"/>
      <c r="S34" s="83"/>
      <c r="T34" s="83"/>
      <c r="U34" s="83"/>
      <c r="V34" s="83"/>
      <c r="W34" s="83"/>
    </row>
    <row r="35" spans="1:23" x14ac:dyDescent="0.2">
      <c r="A35" s="12">
        <v>35</v>
      </c>
      <c r="B35" s="9" t="s">
        <v>159</v>
      </c>
      <c r="C35" s="9"/>
      <c r="D35" s="9"/>
      <c r="E35" s="12" t="s">
        <v>45</v>
      </c>
      <c r="F35" s="12">
        <f>F16*F12</f>
        <v>48</v>
      </c>
      <c r="G35" s="12">
        <f>G16*G12</f>
        <v>48</v>
      </c>
      <c r="H35" s="12">
        <f>H16*H12</f>
        <v>60</v>
      </c>
      <c r="I35" s="23"/>
      <c r="J35" s="83"/>
      <c r="K35" s="114" t="s">
        <v>74</v>
      </c>
      <c r="L35" s="134"/>
      <c r="M35" s="41"/>
      <c r="N35" s="83"/>
      <c r="P35" s="83"/>
      <c r="Q35" s="83"/>
      <c r="R35" s="83"/>
      <c r="S35" s="83"/>
      <c r="T35" s="83"/>
      <c r="U35" s="83"/>
      <c r="V35" s="83"/>
      <c r="W35" s="83"/>
    </row>
    <row r="36" spans="1:23" x14ac:dyDescent="0.2">
      <c r="A36" s="12">
        <v>36</v>
      </c>
      <c r="B36" s="9" t="s">
        <v>161</v>
      </c>
      <c r="C36" s="9"/>
      <c r="D36" s="9"/>
      <c r="E36" s="12" t="s">
        <v>71</v>
      </c>
      <c r="F36" s="32">
        <f>F20*F21</f>
        <v>7800.0000000000009</v>
      </c>
      <c r="G36" s="32">
        <f>G20*G21</f>
        <v>2430.0000000000027</v>
      </c>
      <c r="H36" s="12"/>
      <c r="I36" s="23"/>
      <c r="J36" s="83"/>
      <c r="K36" s="135" t="s">
        <v>76</v>
      </c>
      <c r="L36" s="134"/>
      <c r="M36" s="41"/>
      <c r="N36" s="83"/>
    </row>
    <row r="37" spans="1:23" x14ac:dyDescent="0.2">
      <c r="A37" s="12">
        <v>37</v>
      </c>
      <c r="B37" s="9" t="s">
        <v>162</v>
      </c>
      <c r="C37" s="9"/>
      <c r="D37" s="9"/>
      <c r="E37" s="12" t="s">
        <v>45</v>
      </c>
      <c r="F37" s="12">
        <f>F35*F19</f>
        <v>9.6000000000000014</v>
      </c>
      <c r="G37" s="12">
        <f>G35*G19</f>
        <v>96</v>
      </c>
      <c r="H37" s="12">
        <f>H35*H19</f>
        <v>300</v>
      </c>
      <c r="I37" s="23"/>
      <c r="J37" s="83"/>
      <c r="K37" s="114" t="s">
        <v>77</v>
      </c>
      <c r="L37" s="83"/>
      <c r="M37" s="41"/>
      <c r="N37" s="83"/>
    </row>
    <row r="38" spans="1:23" x14ac:dyDescent="0.2">
      <c r="A38" s="12">
        <v>38</v>
      </c>
      <c r="B38" s="9" t="s">
        <v>160</v>
      </c>
      <c r="C38" s="9"/>
      <c r="D38" s="9"/>
      <c r="E38" s="12" t="s">
        <v>81</v>
      </c>
      <c r="F38" s="60">
        <f>F36/F10</f>
        <v>0.19500000000000003</v>
      </c>
      <c r="G38" s="60">
        <f>G36/G10</f>
        <v>0.10125000000000012</v>
      </c>
      <c r="H38" s="60">
        <f>H21/H19/H12</f>
        <v>0.115</v>
      </c>
      <c r="I38" s="16"/>
      <c r="J38" s="14"/>
      <c r="K38" s="136" t="s">
        <v>82</v>
      </c>
      <c r="L38" s="14"/>
      <c r="M38" s="15"/>
    </row>
    <row r="39" spans="1:23" x14ac:dyDescent="0.2">
      <c r="A39" s="9"/>
      <c r="B39" s="9"/>
      <c r="C39" s="9"/>
      <c r="D39" s="9"/>
      <c r="E39" s="9"/>
      <c r="F39" s="9"/>
      <c r="G39" s="9"/>
      <c r="H39" s="9"/>
    </row>
    <row r="50" spans="13:51" x14ac:dyDescent="0.2">
      <c r="M50" s="22"/>
    </row>
    <row r="51" spans="13:51" x14ac:dyDescent="0.2">
      <c r="M51" s="22"/>
    </row>
    <row r="52" spans="13:51" x14ac:dyDescent="0.2">
      <c r="M52" s="22"/>
    </row>
    <row r="53" spans="13:51" x14ac:dyDescent="0.2">
      <c r="M53" s="22"/>
    </row>
    <row r="54" spans="13:51" x14ac:dyDescent="0.2"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3:51" x14ac:dyDescent="0.2">
      <c r="AN55" s="5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</row>
    <row r="56" spans="13:51" x14ac:dyDescent="0.2">
      <c r="AN56" s="5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</row>
    <row r="57" spans="13:51" x14ac:dyDescent="0.2">
      <c r="AN57" s="5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</row>
    <row r="58" spans="13:51" x14ac:dyDescent="0.2">
      <c r="AN58" s="5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</row>
    <row r="59" spans="13:51" x14ac:dyDescent="0.2">
      <c r="AN59" s="5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</row>
    <row r="60" spans="13:51" x14ac:dyDescent="0.2">
      <c r="AN60" s="5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</row>
    <row r="61" spans="13:51" x14ac:dyDescent="0.2">
      <c r="AN61" s="5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</row>
    <row r="62" spans="13:51" x14ac:dyDescent="0.2">
      <c r="AN62" s="5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</row>
    <row r="63" spans="13:51" x14ac:dyDescent="0.2">
      <c r="AN63" s="5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</row>
    <row r="64" spans="13:51" x14ac:dyDescent="0.2">
      <c r="AN64" s="5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</row>
    <row r="65" spans="31:51" x14ac:dyDescent="0.2">
      <c r="AN65" s="5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</row>
    <row r="66" spans="31:51" x14ac:dyDescent="0.2">
      <c r="AN66" s="5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</row>
    <row r="67" spans="31:51" x14ac:dyDescent="0.2">
      <c r="AN67" s="5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</row>
    <row r="68" spans="31:51" x14ac:dyDescent="0.2"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</row>
    <row r="69" spans="31:51" x14ac:dyDescent="0.2"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</row>
    <row r="76" spans="31:51" x14ac:dyDescent="0.2">
      <c r="AF76" s="1" t="s">
        <v>110</v>
      </c>
    </row>
    <row r="77" spans="31:51" x14ac:dyDescent="0.2">
      <c r="AF77" s="1" t="s">
        <v>112</v>
      </c>
      <c r="AI77" s="26">
        <f>Table_3!E34*(-1)</f>
        <v>-1723.6773756487662</v>
      </c>
      <c r="AJ77" s="26">
        <f>Table_3!F34*(-1)</f>
        <v>-5794.4309334838881</v>
      </c>
      <c r="AK77" s="26">
        <f>Table_3!G34*(-1)</f>
        <v>-10546.877488285752</v>
      </c>
      <c r="AL77" s="26">
        <f>Table_3!H34*(-1)</f>
        <v>-24278.483839999997</v>
      </c>
      <c r="AM77" s="26">
        <f>Table_3!I34*(-1)</f>
        <v>-27534.428050667691</v>
      </c>
      <c r="AN77" s="26">
        <f>Table_3!J34*(-1)</f>
        <v>-23551.912139944543</v>
      </c>
      <c r="AO77" s="26">
        <f>Table_3!K34*(-1)</f>
        <v>-21942.069976000537</v>
      </c>
      <c r="AP77" s="26">
        <f>Table_3!L34*(-1)</f>
        <v>-19525.019404799998</v>
      </c>
      <c r="AQ77" s="26">
        <f>Table_3!M34*(-1)</f>
        <v>-17601.132345929323</v>
      </c>
      <c r="AR77" s="26">
        <f>Table_3!N34*(-1)</f>
        <v>-13713.780250181742</v>
      </c>
      <c r="AS77" s="26">
        <f>Table_3!O34*(-1)</f>
        <v>-11806.047506977306</v>
      </c>
      <c r="AT77" s="26">
        <f>Table_3!P34*(-1)</f>
        <v>-12475.056721920006</v>
      </c>
      <c r="AU77" s="26">
        <f>Table_3!Q34*(-1)</f>
        <v>-5813.4488483726564</v>
      </c>
      <c r="AV77" s="26">
        <f>Table_3!R34*(-1)</f>
        <v>-7483.8334889245616</v>
      </c>
      <c r="AW77" s="26">
        <f>Table_3!S34*(-1)</f>
        <v>-6907.3054054980639</v>
      </c>
      <c r="AX77" s="26">
        <f>Table_3!T34*(-1)</f>
        <v>-4650.2439292108847</v>
      </c>
      <c r="AY77" s="26">
        <f>Table_3!U34*(-1)</f>
        <v>0</v>
      </c>
    </row>
    <row r="78" spans="31:51" x14ac:dyDescent="0.2">
      <c r="AE78" s="1" t="s">
        <v>114</v>
      </c>
      <c r="AF78" s="1" t="s">
        <v>83</v>
      </c>
    </row>
    <row r="79" spans="31:51" x14ac:dyDescent="0.2">
      <c r="AE79" s="1" t="s">
        <v>115</v>
      </c>
      <c r="AF79" s="1" t="s">
        <v>116</v>
      </c>
    </row>
    <row r="80" spans="31:51" x14ac:dyDescent="0.2">
      <c r="AE80" s="1" t="s">
        <v>117</v>
      </c>
      <c r="AF80" s="1" t="s">
        <v>118</v>
      </c>
    </row>
    <row r="82" spans="24:51" x14ac:dyDescent="0.2">
      <c r="X82" s="5"/>
      <c r="Y82" s="5"/>
      <c r="Z82" s="6"/>
    </row>
    <row r="83" spans="24:51" x14ac:dyDescent="0.2">
      <c r="X83" s="5"/>
      <c r="Y83" s="5"/>
      <c r="Z83" s="6"/>
      <c r="AI83" s="1">
        <v>94</v>
      </c>
      <c r="AJ83" s="1">
        <f t="shared" ref="AJ83:AY83" si="0">IF(AJ84&lt;&gt;1,AI83,AI83+1)</f>
        <v>94</v>
      </c>
      <c r="AK83" s="1">
        <f t="shared" si="0"/>
        <v>95</v>
      </c>
      <c r="AL83" s="1">
        <f t="shared" si="0"/>
        <v>95</v>
      </c>
      <c r="AM83" s="1">
        <f t="shared" si="0"/>
        <v>95</v>
      </c>
      <c r="AN83" s="1">
        <f t="shared" si="0"/>
        <v>95</v>
      </c>
      <c r="AO83" s="1">
        <f t="shared" si="0"/>
        <v>96</v>
      </c>
      <c r="AP83" s="1">
        <f t="shared" si="0"/>
        <v>96</v>
      </c>
      <c r="AQ83" s="1">
        <f t="shared" si="0"/>
        <v>96</v>
      </c>
      <c r="AR83" s="1">
        <f t="shared" si="0"/>
        <v>96</v>
      </c>
      <c r="AS83" s="1">
        <f t="shared" si="0"/>
        <v>97</v>
      </c>
      <c r="AT83" s="1">
        <f t="shared" si="0"/>
        <v>97</v>
      </c>
      <c r="AU83" s="1">
        <f t="shared" si="0"/>
        <v>97</v>
      </c>
      <c r="AV83" s="1">
        <f t="shared" si="0"/>
        <v>97</v>
      </c>
      <c r="AW83" s="1">
        <f t="shared" si="0"/>
        <v>98</v>
      </c>
      <c r="AX83" s="1">
        <f t="shared" si="0"/>
        <v>98</v>
      </c>
      <c r="AY83" s="1">
        <f t="shared" si="0"/>
        <v>98</v>
      </c>
    </row>
    <row r="84" spans="24:51" x14ac:dyDescent="0.2">
      <c r="X84" s="5"/>
      <c r="Y84" s="5"/>
      <c r="Z84" s="6"/>
      <c r="AI84" s="1">
        <v>7</v>
      </c>
      <c r="AJ84" s="1">
        <f t="shared" ref="AJ84:AY84" si="1">IF(AI84&lt;&gt;10,AI84+3,1)</f>
        <v>10</v>
      </c>
      <c r="AK84" s="1">
        <f t="shared" si="1"/>
        <v>1</v>
      </c>
      <c r="AL84" s="1">
        <f t="shared" si="1"/>
        <v>4</v>
      </c>
      <c r="AM84" s="1">
        <f t="shared" si="1"/>
        <v>7</v>
      </c>
      <c r="AN84" s="1">
        <f t="shared" si="1"/>
        <v>10</v>
      </c>
      <c r="AO84" s="1">
        <f t="shared" si="1"/>
        <v>1</v>
      </c>
      <c r="AP84" s="1">
        <f t="shared" si="1"/>
        <v>4</v>
      </c>
      <c r="AQ84" s="1">
        <f t="shared" si="1"/>
        <v>7</v>
      </c>
      <c r="AR84" s="1">
        <f t="shared" si="1"/>
        <v>10</v>
      </c>
      <c r="AS84" s="1">
        <f t="shared" si="1"/>
        <v>1</v>
      </c>
      <c r="AT84" s="1">
        <f t="shared" si="1"/>
        <v>4</v>
      </c>
      <c r="AU84" s="1">
        <f t="shared" si="1"/>
        <v>7</v>
      </c>
      <c r="AV84" s="1">
        <f t="shared" si="1"/>
        <v>10</v>
      </c>
      <c r="AW84" s="1">
        <f t="shared" si="1"/>
        <v>1</v>
      </c>
      <c r="AX84" s="1">
        <f t="shared" si="1"/>
        <v>4</v>
      </c>
      <c r="AY84" s="1">
        <f t="shared" si="1"/>
        <v>7</v>
      </c>
    </row>
    <row r="85" spans="24:51" x14ac:dyDescent="0.2">
      <c r="X85" s="5"/>
      <c r="Y85" s="5"/>
      <c r="Z85" s="6"/>
      <c r="AI85" s="22"/>
      <c r="AJ85" s="3">
        <f ca="1">TODAY()</f>
        <v>41454</v>
      </c>
    </row>
    <row r="86" spans="24:51" x14ac:dyDescent="0.2">
      <c r="X86" s="5"/>
      <c r="Y86" s="5"/>
      <c r="Z86" s="6"/>
    </row>
    <row r="87" spans="24:51" x14ac:dyDescent="0.2">
      <c r="X87" s="5"/>
      <c r="Y87" s="5"/>
      <c r="Z87" s="6"/>
      <c r="AJ87" s="26" t="e">
        <f>Table_3!#REF!</f>
        <v>#REF!</v>
      </c>
    </row>
    <row r="88" spans="24:51" x14ac:dyDescent="0.2">
      <c r="X88" s="5"/>
      <c r="Y88" s="5"/>
      <c r="Z88" s="6"/>
    </row>
    <row r="89" spans="24:51" x14ac:dyDescent="0.2">
      <c r="X89" s="5"/>
      <c r="Y89" s="5"/>
      <c r="Z89" s="6"/>
    </row>
    <row r="90" spans="24:51" x14ac:dyDescent="0.2">
      <c r="X90" s="5"/>
      <c r="Y90" s="5"/>
      <c r="Z90" s="6"/>
    </row>
    <row r="91" spans="24:51" x14ac:dyDescent="0.2">
      <c r="X91" s="5"/>
      <c r="Y91" s="5"/>
      <c r="Z91" s="6"/>
    </row>
  </sheetData>
  <mergeCells count="2">
    <mergeCell ref="F7:G7"/>
    <mergeCell ref="J24:J26"/>
  </mergeCells>
  <phoneticPr fontId="3" type="noConversion"/>
  <printOptions gridLinesSet="0"/>
  <pageMargins left="0.75" right="0.75" top="1" bottom="1" header="0.5" footer="0.5"/>
  <pageSetup scale="75" orientation="portrait" horizontalDpi="180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workbookViewId="0">
      <selection activeCell="I6" sqref="I6"/>
    </sheetView>
  </sheetViews>
  <sheetFormatPr defaultRowHeight="15" x14ac:dyDescent="0.2"/>
  <cols>
    <col min="1" max="1" width="4.44140625" customWidth="1"/>
    <col min="3" max="3" width="17.88671875" customWidth="1"/>
    <col min="6" max="6" width="13.5546875" customWidth="1"/>
    <col min="7" max="7" width="12.21875" customWidth="1"/>
    <col min="8" max="8" width="9.77734375" customWidth="1"/>
    <col min="9" max="9" width="24.44140625" customWidth="1"/>
    <col min="10" max="10" width="20.33203125" customWidth="1"/>
    <col min="11" max="11" width="12.33203125" customWidth="1"/>
  </cols>
  <sheetData>
    <row r="1" spans="1:15" x14ac:dyDescent="0.2">
      <c r="A1" s="1"/>
      <c r="B1" s="1"/>
      <c r="C1" s="1"/>
      <c r="D1" s="1"/>
      <c r="E1" s="1"/>
      <c r="F1" s="3"/>
      <c r="G1" s="1"/>
      <c r="H1" s="1"/>
      <c r="I1" s="5"/>
      <c r="J1" s="5"/>
      <c r="K1" s="6"/>
      <c r="L1" s="1"/>
      <c r="M1" s="1"/>
    </row>
    <row r="2" spans="1:15" x14ac:dyDescent="0.2">
      <c r="A2" s="1"/>
      <c r="B2" s="1"/>
      <c r="C2" s="1"/>
      <c r="D2" s="1"/>
      <c r="E2" s="1"/>
      <c r="F2" s="1"/>
      <c r="G2" s="1"/>
      <c r="H2" s="1"/>
      <c r="I2" s="5"/>
      <c r="J2" s="5"/>
      <c r="K2" s="6"/>
      <c r="L2" s="1"/>
      <c r="M2" s="1"/>
    </row>
    <row r="3" spans="1:15" ht="18" customHeight="1" x14ac:dyDescent="0.25">
      <c r="A3" s="1"/>
      <c r="B3" s="148" t="s">
        <v>192</v>
      </c>
      <c r="C3" s="9"/>
      <c r="D3" s="9"/>
      <c r="E3" s="9"/>
      <c r="F3" s="9"/>
      <c r="G3" s="9"/>
      <c r="H3" s="9"/>
      <c r="I3" s="13"/>
      <c r="J3" s="5"/>
      <c r="K3" s="6"/>
      <c r="L3" s="1"/>
      <c r="M3" s="1"/>
    </row>
    <row r="4" spans="1:15" ht="19.899999999999999" customHeight="1" x14ac:dyDescent="0.25">
      <c r="A4" s="1"/>
      <c r="B4" s="149"/>
      <c r="C4" s="14"/>
      <c r="D4" s="128" t="s">
        <v>193</v>
      </c>
      <c r="E4" s="14"/>
      <c r="F4" s="14"/>
      <c r="G4" s="14"/>
      <c r="H4" s="14"/>
      <c r="I4" s="17"/>
      <c r="J4" s="5"/>
      <c r="K4" s="6"/>
      <c r="L4" s="1"/>
      <c r="M4" s="1"/>
    </row>
    <row r="5" spans="1:15" x14ac:dyDescent="0.2">
      <c r="A5" s="1"/>
      <c r="B5" s="9"/>
      <c r="C5" s="9"/>
      <c r="D5" s="9"/>
      <c r="E5" s="9"/>
      <c r="F5" s="9"/>
      <c r="G5" s="21"/>
      <c r="H5" s="9"/>
      <c r="I5" s="5"/>
      <c r="J5" s="5"/>
      <c r="K5" s="6"/>
      <c r="L5" s="1"/>
      <c r="M5" s="1"/>
    </row>
    <row r="6" spans="1:15" x14ac:dyDescent="0.2">
      <c r="A6" s="1"/>
      <c r="B6" s="1"/>
      <c r="C6" s="1"/>
      <c r="D6" s="1"/>
      <c r="E6" s="1"/>
      <c r="F6" s="141" t="s">
        <v>120</v>
      </c>
      <c r="G6" s="141" t="s">
        <v>121</v>
      </c>
      <c r="H6" s="141" t="s">
        <v>122</v>
      </c>
      <c r="I6" s="42" t="s">
        <v>242</v>
      </c>
      <c r="J6" s="5"/>
      <c r="K6" s="6"/>
      <c r="L6" s="1"/>
      <c r="M6" s="1"/>
    </row>
    <row r="7" spans="1:15" x14ac:dyDescent="0.2">
      <c r="A7" s="1"/>
      <c r="B7" s="137" t="s">
        <v>194</v>
      </c>
      <c r="C7" s="1"/>
      <c r="D7" s="1"/>
      <c r="E7" s="1"/>
      <c r="F7" s="12" t="s">
        <v>23</v>
      </c>
      <c r="G7" s="12" t="s">
        <v>24</v>
      </c>
      <c r="H7" s="12"/>
      <c r="I7" s="5"/>
      <c r="J7" s="5"/>
      <c r="K7" s="6"/>
      <c r="L7" s="1"/>
      <c r="M7" s="1"/>
    </row>
    <row r="8" spans="1:15" ht="15.75" x14ac:dyDescent="0.25">
      <c r="A8" s="1">
        <v>8</v>
      </c>
      <c r="B8" s="143" t="s">
        <v>195</v>
      </c>
      <c r="C8" s="19"/>
      <c r="D8" s="19"/>
      <c r="E8" s="19"/>
      <c r="F8" s="150">
        <v>670</v>
      </c>
      <c r="G8" s="20"/>
      <c r="H8" s="12"/>
      <c r="I8" s="2" t="s">
        <v>244</v>
      </c>
      <c r="J8" s="2" t="s">
        <v>243</v>
      </c>
      <c r="K8" s="1" t="s">
        <v>251</v>
      </c>
      <c r="L8" s="1"/>
      <c r="M8" s="1"/>
    </row>
    <row r="9" spans="1:15" x14ac:dyDescent="0.2">
      <c r="A9" s="1">
        <v>9</v>
      </c>
      <c r="B9" s="143" t="s">
        <v>196</v>
      </c>
      <c r="C9" s="19"/>
      <c r="D9" s="19"/>
      <c r="E9" s="19"/>
      <c r="F9" s="19">
        <f t="shared" ref="F9:F14" si="0">G9*$F$8</f>
        <v>67</v>
      </c>
      <c r="G9" s="151">
        <f>Table_1!F23</f>
        <v>0.1</v>
      </c>
      <c r="H9" s="23"/>
      <c r="I9" s="30" t="s">
        <v>250</v>
      </c>
      <c r="J9" s="31" t="s">
        <v>33</v>
      </c>
      <c r="K9" s="6"/>
      <c r="L9" s="1"/>
      <c r="M9" s="1"/>
    </row>
    <row r="10" spans="1:15" x14ac:dyDescent="0.2">
      <c r="A10" s="1">
        <v>10</v>
      </c>
      <c r="B10" s="143" t="s">
        <v>197</v>
      </c>
      <c r="C10" s="19"/>
      <c r="D10" s="19"/>
      <c r="E10" s="19"/>
      <c r="F10" s="19">
        <f t="shared" si="0"/>
        <v>335</v>
      </c>
      <c r="G10" s="151">
        <f>Table_1!G23</f>
        <v>0.5</v>
      </c>
      <c r="H10" s="23"/>
      <c r="I10" s="30" t="s">
        <v>245</v>
      </c>
      <c r="J10" s="31" t="s">
        <v>38</v>
      </c>
      <c r="K10" s="6"/>
      <c r="L10" s="1"/>
      <c r="M10" s="1"/>
    </row>
    <row r="11" spans="1:15" x14ac:dyDescent="0.2">
      <c r="A11" s="1">
        <v>11</v>
      </c>
      <c r="B11" s="154" t="s">
        <v>198</v>
      </c>
      <c r="C11" s="14"/>
      <c r="D11" s="14"/>
      <c r="E11" s="14"/>
      <c r="F11" s="14">
        <f t="shared" si="0"/>
        <v>100.5</v>
      </c>
      <c r="G11" s="155">
        <f>Table_1!H24</f>
        <v>0.15</v>
      </c>
      <c r="H11" s="23"/>
      <c r="I11" s="30" t="s">
        <v>246</v>
      </c>
      <c r="J11" s="31" t="s">
        <v>42</v>
      </c>
      <c r="K11" s="6"/>
      <c r="L11" s="1"/>
      <c r="M11" s="1"/>
    </row>
    <row r="12" spans="1:15" x14ac:dyDescent="0.2">
      <c r="A12" s="1">
        <v>12</v>
      </c>
      <c r="B12" s="143" t="s">
        <v>199</v>
      </c>
      <c r="C12" s="19"/>
      <c r="D12" s="19"/>
      <c r="E12" s="19"/>
      <c r="F12" s="19">
        <f t="shared" si="0"/>
        <v>67</v>
      </c>
      <c r="G12" s="151">
        <f>Table_1!I25</f>
        <v>0.1</v>
      </c>
      <c r="H12" s="23"/>
      <c r="I12" s="30" t="s">
        <v>247</v>
      </c>
      <c r="J12" s="31" t="s">
        <v>46</v>
      </c>
      <c r="K12" s="6"/>
      <c r="L12" s="1"/>
      <c r="M12" s="1"/>
    </row>
    <row r="13" spans="1:15" x14ac:dyDescent="0.2">
      <c r="A13" s="1">
        <v>13</v>
      </c>
      <c r="B13" s="143" t="s">
        <v>200</v>
      </c>
      <c r="C13" s="19"/>
      <c r="D13" s="19"/>
      <c r="E13" s="19"/>
      <c r="F13" s="19">
        <f t="shared" si="0"/>
        <v>67</v>
      </c>
      <c r="G13" s="151">
        <f>Table_1!I26</f>
        <v>0.1</v>
      </c>
      <c r="H13" s="23"/>
      <c r="I13" s="30" t="s">
        <v>248</v>
      </c>
      <c r="J13" s="31" t="s">
        <v>51</v>
      </c>
      <c r="K13" s="6"/>
      <c r="L13" s="1"/>
      <c r="M13" s="1"/>
    </row>
    <row r="14" spans="1:15" ht="15.75" thickBot="1" x14ac:dyDescent="0.25">
      <c r="A14" s="1">
        <v>14</v>
      </c>
      <c r="B14" s="152" t="s">
        <v>201</v>
      </c>
      <c r="C14" s="9"/>
      <c r="D14" s="9"/>
      <c r="E14" s="9"/>
      <c r="F14" s="9">
        <f t="shared" si="0"/>
        <v>33.500000000000028</v>
      </c>
      <c r="G14" s="153">
        <f>Table_1!I27</f>
        <v>5.0000000000000044E-2</v>
      </c>
      <c r="H14" s="23"/>
      <c r="I14" s="30" t="s">
        <v>249</v>
      </c>
      <c r="J14" s="31" t="s">
        <v>55</v>
      </c>
      <c r="K14" s="6"/>
      <c r="L14" s="1"/>
      <c r="M14" s="1"/>
    </row>
    <row r="15" spans="1:15" ht="16.5" thickBot="1" x14ac:dyDescent="0.3">
      <c r="A15" s="1">
        <v>15</v>
      </c>
      <c r="B15" s="142" t="s">
        <v>203</v>
      </c>
      <c r="C15" s="156"/>
      <c r="D15" s="156"/>
      <c r="E15" s="156"/>
      <c r="F15" s="156">
        <f>SUM(F9:F14)</f>
        <v>670</v>
      </c>
      <c r="G15" s="157">
        <f>SUM(G9:G14)</f>
        <v>1</v>
      </c>
      <c r="H15" s="83"/>
      <c r="I15" s="7" t="s">
        <v>56</v>
      </c>
      <c r="J15" s="31" t="s">
        <v>57</v>
      </c>
      <c r="K15" s="6"/>
      <c r="L15" s="1"/>
      <c r="M15" s="1"/>
    </row>
    <row r="16" spans="1:15" x14ac:dyDescent="0.2">
      <c r="A16" s="1">
        <v>16</v>
      </c>
      <c r="B16" s="137" t="s">
        <v>202</v>
      </c>
      <c r="C16" s="1"/>
      <c r="D16" s="1"/>
      <c r="E16" s="1"/>
      <c r="F16" s="1"/>
      <c r="G16" s="1" t="s">
        <v>58</v>
      </c>
      <c r="H16" s="1"/>
      <c r="I16" s="5"/>
      <c r="J16" s="5"/>
      <c r="K16" s="6"/>
      <c r="L16" s="1"/>
      <c r="M16" s="1"/>
      <c r="O16" s="137"/>
    </row>
    <row r="17" spans="1:15" x14ac:dyDescent="0.2">
      <c r="A17" s="1">
        <v>17</v>
      </c>
      <c r="B17" s="137" t="s">
        <v>196</v>
      </c>
      <c r="C17" s="9"/>
      <c r="D17" s="9"/>
      <c r="E17" s="9" t="s">
        <v>37</v>
      </c>
      <c r="F17" s="35">
        <f>F9*10000*Table_1!F21</f>
        <v>10452000.000000002</v>
      </c>
      <c r="G17" s="9">
        <f>F17/F9/10000</f>
        <v>15.600000000000003</v>
      </c>
      <c r="H17" s="23"/>
      <c r="I17" s="44" t="s">
        <v>255</v>
      </c>
      <c r="J17" s="145" t="s">
        <v>258</v>
      </c>
      <c r="K17" s="6"/>
      <c r="L17" s="1"/>
      <c r="M17" s="1"/>
    </row>
    <row r="18" spans="1:15" x14ac:dyDescent="0.2">
      <c r="A18" s="1">
        <v>18</v>
      </c>
      <c r="B18" s="137" t="s">
        <v>204</v>
      </c>
      <c r="C18" s="9"/>
      <c r="D18" s="9"/>
      <c r="E18" s="9" t="s">
        <v>60</v>
      </c>
      <c r="F18" s="35">
        <f>F10*10000*Table_1!G21</f>
        <v>217080000.00000024</v>
      </c>
      <c r="G18" s="9">
        <f>F18/F10/10000</f>
        <v>64.800000000000068</v>
      </c>
      <c r="H18" s="23"/>
      <c r="I18" s="44" t="s">
        <v>252</v>
      </c>
      <c r="J18" s="145" t="s">
        <v>259</v>
      </c>
      <c r="K18" s="6"/>
      <c r="L18" s="1"/>
      <c r="M18" s="1"/>
    </row>
    <row r="19" spans="1:15" ht="15.75" thickBot="1" x14ac:dyDescent="0.25">
      <c r="A19" s="1">
        <v>19</v>
      </c>
      <c r="B19" s="137" t="s">
        <v>205</v>
      </c>
      <c r="C19" s="9"/>
      <c r="D19" s="9"/>
      <c r="E19" s="9" t="s">
        <v>60</v>
      </c>
      <c r="F19" s="35">
        <f>F11*10000*Table_1!H21</f>
        <v>288937500</v>
      </c>
      <c r="G19" s="9">
        <f>F19/F11/10000</f>
        <v>287.5</v>
      </c>
      <c r="H19" s="23"/>
      <c r="I19" s="44" t="s">
        <v>253</v>
      </c>
      <c r="J19" s="145" t="s">
        <v>260</v>
      </c>
      <c r="K19" s="6"/>
      <c r="L19" s="1"/>
      <c r="M19" s="1"/>
    </row>
    <row r="20" spans="1:15" ht="15.75" thickTop="1" x14ac:dyDescent="0.2">
      <c r="A20" s="1">
        <v>20</v>
      </c>
      <c r="B20" s="137" t="s">
        <v>206</v>
      </c>
      <c r="C20" s="9"/>
      <c r="D20" s="9"/>
      <c r="E20" s="9"/>
      <c r="F20" s="49">
        <f>SUM(F17:F19)</f>
        <v>516469500.00000024</v>
      </c>
      <c r="G20" s="50">
        <f>F20/SUM(F9:F11)/10000</f>
        <v>102.78000000000004</v>
      </c>
      <c r="H20" s="23"/>
      <c r="I20" s="44" t="s">
        <v>254</v>
      </c>
      <c r="J20" s="51" t="s">
        <v>62</v>
      </c>
      <c r="K20" s="52"/>
      <c r="L20" s="1"/>
      <c r="M20" s="1"/>
    </row>
    <row r="21" spans="1:15" x14ac:dyDescent="0.2">
      <c r="A21" s="1">
        <v>21</v>
      </c>
      <c r="B21" s="9"/>
      <c r="C21" s="9"/>
      <c r="D21" s="9"/>
      <c r="E21" s="9"/>
      <c r="F21" s="9"/>
      <c r="G21" s="9" t="s">
        <v>45</v>
      </c>
      <c r="H21" s="1" t="s">
        <v>45</v>
      </c>
      <c r="I21" s="5"/>
      <c r="J21" s="5"/>
      <c r="K21" s="6"/>
      <c r="M21" s="1"/>
      <c r="O21" s="137"/>
    </row>
    <row r="22" spans="1:15" x14ac:dyDescent="0.2">
      <c r="A22" s="1">
        <v>22</v>
      </c>
      <c r="B22" s="137" t="s">
        <v>181</v>
      </c>
      <c r="C22" s="1"/>
      <c r="D22" s="1"/>
      <c r="E22" s="1"/>
      <c r="F22" s="1"/>
      <c r="G22" s="42" t="s">
        <v>256</v>
      </c>
      <c r="H22" s="42" t="s">
        <v>257</v>
      </c>
      <c r="I22" s="5"/>
      <c r="J22" s="5"/>
      <c r="K22" s="6"/>
      <c r="M22" s="1"/>
    </row>
    <row r="23" spans="1:15" ht="15.75" x14ac:dyDescent="0.25">
      <c r="A23" s="1">
        <v>23</v>
      </c>
      <c r="B23" s="143" t="s">
        <v>182</v>
      </c>
      <c r="C23" s="19"/>
      <c r="D23" s="19"/>
      <c r="E23" s="19"/>
      <c r="F23" s="144"/>
      <c r="G23" s="9"/>
      <c r="H23" s="9"/>
      <c r="I23" s="5"/>
      <c r="J23" s="5"/>
      <c r="K23" s="6"/>
      <c r="L23" s="1"/>
      <c r="M23" s="1"/>
    </row>
    <row r="24" spans="1:15" ht="15.75" x14ac:dyDescent="0.25">
      <c r="A24" s="1">
        <v>24</v>
      </c>
      <c r="B24" s="143" t="s">
        <v>183</v>
      </c>
      <c r="C24" s="19"/>
      <c r="D24" s="19"/>
      <c r="E24" s="19"/>
      <c r="F24" s="144"/>
      <c r="G24" s="9"/>
      <c r="H24" s="9"/>
      <c r="I24" s="5"/>
      <c r="J24" s="5"/>
      <c r="K24" s="6"/>
      <c r="L24" s="1"/>
      <c r="M24" s="1"/>
    </row>
    <row r="25" spans="1:15" ht="15.75" x14ac:dyDescent="0.25">
      <c r="A25" s="1">
        <v>25</v>
      </c>
      <c r="B25" s="143" t="s">
        <v>184</v>
      </c>
      <c r="C25" s="19"/>
      <c r="D25" s="19"/>
      <c r="E25" s="19"/>
      <c r="F25" s="144"/>
      <c r="G25" s="9"/>
      <c r="H25" s="9"/>
      <c r="I25" s="5"/>
      <c r="J25" s="5"/>
      <c r="K25" s="6"/>
      <c r="L25" s="1"/>
      <c r="M25" s="1"/>
    </row>
    <row r="26" spans="1:15" ht="15.75" x14ac:dyDescent="0.25">
      <c r="A26" s="1">
        <v>26</v>
      </c>
      <c r="B26" s="143" t="s">
        <v>185</v>
      </c>
      <c r="C26" s="19"/>
      <c r="D26" s="19"/>
      <c r="E26" s="19"/>
      <c r="F26" s="144"/>
      <c r="G26" s="9"/>
      <c r="H26" s="9"/>
      <c r="I26" s="5"/>
      <c r="J26" s="5"/>
      <c r="K26" s="6"/>
      <c r="L26" s="1"/>
      <c r="M26" s="1"/>
    </row>
    <row r="27" spans="1:15" ht="15.75" x14ac:dyDescent="0.25">
      <c r="A27" s="1">
        <v>27</v>
      </c>
      <c r="B27" s="143" t="s">
        <v>207</v>
      </c>
      <c r="C27" s="19"/>
      <c r="D27" s="19"/>
      <c r="E27" s="19"/>
      <c r="F27" s="144"/>
      <c r="G27" s="9"/>
      <c r="H27" s="9"/>
      <c r="I27" s="5"/>
      <c r="J27" s="5"/>
      <c r="K27" s="6"/>
      <c r="L27" s="1"/>
      <c r="M27" s="1"/>
    </row>
    <row r="28" spans="1:15" ht="15.75" x14ac:dyDescent="0.25">
      <c r="A28" s="1">
        <v>28</v>
      </c>
      <c r="B28" s="143" t="s">
        <v>208</v>
      </c>
      <c r="C28" s="19"/>
      <c r="D28" s="19"/>
      <c r="E28" s="19"/>
      <c r="F28" s="144"/>
      <c r="G28" s="9"/>
      <c r="H28" s="9"/>
      <c r="I28" s="5"/>
      <c r="J28" s="5"/>
      <c r="K28" s="6"/>
      <c r="L28" s="1"/>
      <c r="M28" s="1"/>
    </row>
    <row r="29" spans="1:15" ht="15.75" x14ac:dyDescent="0.25">
      <c r="A29" s="1">
        <v>29</v>
      </c>
      <c r="B29" s="143" t="s">
        <v>186</v>
      </c>
      <c r="C29" s="19"/>
      <c r="D29" s="19"/>
      <c r="E29" s="19"/>
      <c r="F29" s="144"/>
      <c r="G29" s="9"/>
      <c r="H29" s="9"/>
      <c r="I29" s="5"/>
      <c r="J29" s="5"/>
      <c r="K29" s="6"/>
      <c r="L29" s="1"/>
      <c r="M29" s="1"/>
    </row>
    <row r="30" spans="1:15" ht="15.75" x14ac:dyDescent="0.25">
      <c r="A30" s="1">
        <v>30</v>
      </c>
      <c r="B30" s="143" t="s">
        <v>152</v>
      </c>
      <c r="C30" s="19"/>
      <c r="D30" s="19"/>
      <c r="E30" s="19"/>
      <c r="F30" s="144"/>
      <c r="G30" s="9"/>
      <c r="H30" s="9"/>
      <c r="I30" s="5"/>
      <c r="J30" s="5"/>
      <c r="K30" s="6"/>
      <c r="L30" s="1"/>
      <c r="M30" s="1"/>
    </row>
    <row r="31" spans="1:15" ht="16.5" thickBot="1" x14ac:dyDescent="0.3">
      <c r="A31" s="1">
        <v>31</v>
      </c>
      <c r="B31" s="152" t="s">
        <v>209</v>
      </c>
      <c r="C31" s="9"/>
      <c r="D31" s="9"/>
      <c r="E31" s="9"/>
      <c r="F31" s="147">
        <v>180000000</v>
      </c>
      <c r="G31" s="9"/>
      <c r="H31" s="9"/>
      <c r="I31" s="5"/>
      <c r="J31" s="5"/>
      <c r="K31" s="6"/>
      <c r="L31" s="1"/>
      <c r="M31" s="1"/>
    </row>
    <row r="32" spans="1:15" x14ac:dyDescent="0.2">
      <c r="A32" s="1">
        <v>32</v>
      </c>
      <c r="B32" s="143" t="s">
        <v>210</v>
      </c>
      <c r="C32" s="19"/>
      <c r="D32" s="19"/>
      <c r="E32" s="19"/>
      <c r="F32" s="159">
        <f>SUM(F23:F31)</f>
        <v>180000000</v>
      </c>
      <c r="G32" s="9"/>
      <c r="H32" s="9"/>
      <c r="I32" s="8" t="s">
        <v>68</v>
      </c>
      <c r="J32" s="5"/>
      <c r="K32" s="6"/>
      <c r="L32" s="1"/>
      <c r="M32" s="1"/>
    </row>
    <row r="33" spans="1:15" ht="15.75" x14ac:dyDescent="0.25">
      <c r="A33" s="1">
        <v>33</v>
      </c>
      <c r="B33" s="143" t="s">
        <v>211</v>
      </c>
      <c r="C33" s="19"/>
      <c r="D33" s="19" t="s">
        <v>24</v>
      </c>
      <c r="E33" s="160">
        <v>0.08</v>
      </c>
      <c r="F33" s="158">
        <f>E33*F32</f>
        <v>14400000</v>
      </c>
      <c r="G33" s="9"/>
      <c r="H33" s="9"/>
      <c r="I33" s="8" t="s">
        <v>70</v>
      </c>
      <c r="J33" s="5"/>
      <c r="K33" s="6"/>
      <c r="L33" s="1"/>
      <c r="M33" s="1"/>
    </row>
    <row r="34" spans="1:15" ht="15.75" x14ac:dyDescent="0.25">
      <c r="A34" s="1">
        <v>34</v>
      </c>
      <c r="B34" s="143" t="s">
        <v>212</v>
      </c>
      <c r="C34" s="19"/>
      <c r="D34" s="19"/>
      <c r="E34" s="160">
        <v>0.1</v>
      </c>
      <c r="F34" s="158">
        <f>SUM(F32:F33)*E34</f>
        <v>19440000</v>
      </c>
      <c r="G34" s="9"/>
      <c r="H34" s="9"/>
      <c r="I34" s="8" t="s">
        <v>73</v>
      </c>
      <c r="J34" s="5"/>
      <c r="K34" s="6"/>
      <c r="L34" s="1"/>
      <c r="M34" s="1"/>
    </row>
    <row r="35" spans="1:15" ht="15.75" x14ac:dyDescent="0.25">
      <c r="A35" s="1">
        <v>35</v>
      </c>
      <c r="B35" s="143" t="s">
        <v>213</v>
      </c>
      <c r="C35" s="19"/>
      <c r="D35" s="19"/>
      <c r="E35" s="160">
        <v>0.05</v>
      </c>
      <c r="F35" s="158">
        <f>E35*SUM(F32:F34)</f>
        <v>10692000</v>
      </c>
      <c r="G35" s="9"/>
      <c r="H35" s="9"/>
      <c r="I35" s="8" t="s">
        <v>75</v>
      </c>
      <c r="J35" s="5"/>
      <c r="K35" s="6"/>
      <c r="L35" s="1"/>
      <c r="M35" s="1"/>
    </row>
    <row r="36" spans="1:15" ht="16.5" thickBot="1" x14ac:dyDescent="0.3">
      <c r="A36" s="1">
        <v>36</v>
      </c>
      <c r="B36" s="143" t="s">
        <v>214</v>
      </c>
      <c r="C36" s="19"/>
      <c r="D36" s="19"/>
      <c r="E36" s="161">
        <v>0.25</v>
      </c>
      <c r="F36" s="164"/>
      <c r="G36" s="9"/>
      <c r="H36" s="9"/>
      <c r="I36" s="5"/>
      <c r="J36" s="5"/>
      <c r="K36" s="6"/>
      <c r="L36" s="1"/>
      <c r="M36" s="1"/>
    </row>
    <row r="37" spans="1:15" ht="15.75" x14ac:dyDescent="0.25">
      <c r="A37" s="1">
        <v>37</v>
      </c>
      <c r="B37" s="143" t="s">
        <v>215</v>
      </c>
      <c r="C37" s="19"/>
      <c r="D37" s="19"/>
      <c r="E37" s="19"/>
      <c r="F37" s="163">
        <f>SUM(F32:F35)*E36</f>
        <v>56133000</v>
      </c>
      <c r="G37" s="162">
        <f>F37/SUM($F$9:$F$11)/10000</f>
        <v>11.170746268656716</v>
      </c>
      <c r="H37" s="162">
        <f>F37/$F$15/10000</f>
        <v>8.3780597014925373</v>
      </c>
      <c r="I37" s="8" t="s">
        <v>78</v>
      </c>
      <c r="J37" s="52" t="s">
        <v>79</v>
      </c>
      <c r="K37" s="52" t="s">
        <v>80</v>
      </c>
      <c r="L37" s="1"/>
      <c r="M37" s="1"/>
    </row>
    <row r="38" spans="1:15" x14ac:dyDescent="0.2">
      <c r="A38" s="1">
        <v>38</v>
      </c>
      <c r="B38" s="83"/>
      <c r="C38" s="83"/>
      <c r="D38" s="137" t="s">
        <v>216</v>
      </c>
      <c r="E38" s="83"/>
      <c r="F38" s="83"/>
      <c r="G38" s="9" t="s">
        <v>45</v>
      </c>
      <c r="H38" s="9" t="s">
        <v>45</v>
      </c>
      <c r="I38" s="5"/>
      <c r="J38" s="5"/>
      <c r="K38" s="6"/>
      <c r="L38" s="1"/>
      <c r="M38" s="1"/>
    </row>
    <row r="39" spans="1:15" x14ac:dyDescent="0.2">
      <c r="A39" s="1">
        <v>39</v>
      </c>
      <c r="B39" s="137" t="s">
        <v>217</v>
      </c>
      <c r="C39" s="1"/>
      <c r="D39" s="1"/>
      <c r="E39" s="1"/>
      <c r="F39" s="1" t="s">
        <v>28</v>
      </c>
      <c r="G39" s="42" t="s">
        <v>256</v>
      </c>
      <c r="H39" s="42" t="s">
        <v>257</v>
      </c>
      <c r="I39" s="5"/>
      <c r="J39" s="5"/>
      <c r="K39" s="6"/>
      <c r="L39" s="1"/>
      <c r="M39" s="1"/>
      <c r="O39" s="137"/>
    </row>
    <row r="40" spans="1:15" ht="15.75" x14ac:dyDescent="0.25">
      <c r="A40" s="1">
        <v>40</v>
      </c>
      <c r="B40" s="143" t="s">
        <v>218</v>
      </c>
      <c r="C40" s="19"/>
      <c r="D40" s="19"/>
      <c r="E40" s="19"/>
      <c r="F40" s="144"/>
      <c r="G40" s="70">
        <f>F40/SUM($F$9:$F$11)/10000</f>
        <v>0</v>
      </c>
      <c r="H40" s="70">
        <f>F40/$F$15/10000</f>
        <v>0</v>
      </c>
      <c r="I40" s="5"/>
      <c r="J40" s="5"/>
      <c r="K40" s="6"/>
      <c r="L40" s="1"/>
      <c r="M40" s="1"/>
      <c r="O40" s="137"/>
    </row>
    <row r="41" spans="1:15" ht="15.75" x14ac:dyDescent="0.25">
      <c r="A41" s="1">
        <v>41</v>
      </c>
      <c r="B41" s="143" t="s">
        <v>219</v>
      </c>
      <c r="C41" s="19"/>
      <c r="D41" s="19"/>
      <c r="E41" s="19"/>
      <c r="F41" s="144"/>
      <c r="G41" s="70">
        <f>F41/SUM($F$9:$F$11)/10000</f>
        <v>0</v>
      </c>
      <c r="H41" s="70">
        <f>F41/$F$15/10000</f>
        <v>0</v>
      </c>
      <c r="I41" s="5"/>
      <c r="J41" s="5"/>
      <c r="K41" s="6"/>
      <c r="L41" s="1"/>
      <c r="M41" s="1"/>
      <c r="O41" s="137"/>
    </row>
    <row r="42" spans="1:15" ht="15.75" x14ac:dyDescent="0.25">
      <c r="A42" s="1">
        <v>42</v>
      </c>
      <c r="B42" s="143" t="s">
        <v>187</v>
      </c>
      <c r="C42" s="19"/>
      <c r="D42" s="19"/>
      <c r="E42" s="19"/>
      <c r="F42" s="144"/>
      <c r="G42" s="70">
        <f>F42/SUM($F$9:$F$11)/10000</f>
        <v>0</v>
      </c>
      <c r="H42" s="70">
        <f>F42/$F$15/10000</f>
        <v>0</v>
      </c>
      <c r="I42" s="5"/>
      <c r="J42" s="5"/>
      <c r="K42" s="6"/>
      <c r="L42" s="1"/>
      <c r="M42" s="1"/>
      <c r="O42" s="137"/>
    </row>
    <row r="43" spans="1:15" ht="15.75" x14ac:dyDescent="0.25">
      <c r="A43" s="1">
        <v>43</v>
      </c>
      <c r="B43" s="143" t="s">
        <v>220</v>
      </c>
      <c r="C43" s="19"/>
      <c r="D43" s="19"/>
      <c r="E43" s="19"/>
      <c r="F43" s="144"/>
      <c r="G43" s="70"/>
      <c r="H43" s="70"/>
      <c r="I43" s="5"/>
      <c r="J43" s="5"/>
      <c r="K43" s="6"/>
      <c r="L43" s="1"/>
      <c r="M43" s="1"/>
      <c r="O43" s="137"/>
    </row>
    <row r="44" spans="1:15" ht="15.75" x14ac:dyDescent="0.25">
      <c r="A44" s="1">
        <v>44</v>
      </c>
      <c r="B44" s="143" t="s">
        <v>221</v>
      </c>
      <c r="C44" s="19"/>
      <c r="D44" s="19"/>
      <c r="E44" s="19"/>
      <c r="F44" s="144"/>
      <c r="G44" s="70">
        <f>F44/SUM($F$9:$F$11)/10000</f>
        <v>0</v>
      </c>
      <c r="H44" s="70">
        <f>F44/$F$15/10000</f>
        <v>0</v>
      </c>
      <c r="I44" s="5"/>
      <c r="J44" s="5"/>
      <c r="K44" s="6"/>
      <c r="L44" s="1"/>
      <c r="M44" s="1"/>
      <c r="O44" s="137"/>
    </row>
    <row r="45" spans="1:15" ht="15.75" x14ac:dyDescent="0.25">
      <c r="A45" s="1">
        <v>45</v>
      </c>
      <c r="B45" s="143" t="s">
        <v>222</v>
      </c>
      <c r="C45" s="19"/>
      <c r="D45" s="19"/>
      <c r="E45" s="19"/>
      <c r="F45" s="144"/>
      <c r="G45" s="70">
        <f>F45/SUM($F$9:$F$11)/10000</f>
        <v>0</v>
      </c>
      <c r="H45" s="70">
        <f>F45/$F$15/10000</f>
        <v>0</v>
      </c>
      <c r="I45" s="5"/>
      <c r="J45" s="5"/>
      <c r="K45" s="6"/>
      <c r="L45" s="1"/>
      <c r="M45" s="1"/>
      <c r="O45" s="137"/>
    </row>
    <row r="46" spans="1:15" ht="15.75" x14ac:dyDescent="0.25">
      <c r="A46" s="1">
        <v>46</v>
      </c>
      <c r="B46" s="143" t="s">
        <v>223</v>
      </c>
      <c r="C46" s="19"/>
      <c r="D46" s="19"/>
      <c r="E46" s="19"/>
      <c r="F46" s="144"/>
      <c r="G46" s="70">
        <f>F46/SUM($F$9:$F$11)/10000</f>
        <v>0</v>
      </c>
      <c r="H46" s="70">
        <f>F46/$F$15/10000</f>
        <v>0</v>
      </c>
      <c r="I46" s="5"/>
      <c r="J46" s="5"/>
      <c r="K46" s="6"/>
      <c r="L46" s="1"/>
      <c r="M46" s="1"/>
      <c r="O46" s="137"/>
    </row>
    <row r="47" spans="1:15" ht="15.75" x14ac:dyDescent="0.25">
      <c r="A47" s="1">
        <v>47</v>
      </c>
      <c r="B47" s="143" t="s">
        <v>224</v>
      </c>
      <c r="C47" s="19"/>
      <c r="D47" s="19"/>
      <c r="E47" s="19"/>
      <c r="F47" s="144"/>
      <c r="G47" s="70"/>
      <c r="H47" s="70"/>
      <c r="I47" s="5"/>
      <c r="J47" s="5"/>
      <c r="K47" s="6"/>
      <c r="L47" s="1"/>
      <c r="M47" s="1"/>
      <c r="O47" s="137"/>
    </row>
    <row r="48" spans="1:15" ht="15.75" x14ac:dyDescent="0.25">
      <c r="A48" s="1">
        <v>48</v>
      </c>
      <c r="B48" s="143" t="s">
        <v>225</v>
      </c>
      <c r="C48" s="19"/>
      <c r="D48" s="19"/>
      <c r="E48" s="19"/>
      <c r="F48" s="144"/>
      <c r="G48" s="70"/>
      <c r="H48" s="70"/>
      <c r="I48" s="5"/>
      <c r="J48" s="5"/>
      <c r="K48" s="6"/>
      <c r="L48" s="1"/>
      <c r="M48" s="1"/>
      <c r="O48" s="137"/>
    </row>
    <row r="49" spans="1:15" ht="15.75" x14ac:dyDescent="0.25">
      <c r="A49" s="1">
        <v>49</v>
      </c>
      <c r="B49" s="143" t="s">
        <v>226</v>
      </c>
      <c r="C49" s="19"/>
      <c r="D49" s="19"/>
      <c r="E49" s="19"/>
      <c r="F49" s="144"/>
      <c r="G49" s="70">
        <f>F49/SUM($F$9:$F$11)/10000</f>
        <v>0</v>
      </c>
      <c r="H49" s="70">
        <f>F49/$F$15/10000</f>
        <v>0</v>
      </c>
      <c r="I49" s="5"/>
      <c r="J49" s="5"/>
      <c r="K49" s="6"/>
      <c r="L49" s="1"/>
      <c r="M49" s="1"/>
      <c r="O49" s="137"/>
    </row>
    <row r="50" spans="1:15" ht="15.75" x14ac:dyDescent="0.25">
      <c r="A50" s="1">
        <v>50</v>
      </c>
      <c r="B50" s="143" t="s">
        <v>227</v>
      </c>
      <c r="C50" s="19"/>
      <c r="D50" s="19"/>
      <c r="E50" s="19"/>
      <c r="F50" s="144"/>
      <c r="G50" s="70">
        <f>F50/SUM($F$9:$F$11)/10000</f>
        <v>0</v>
      </c>
      <c r="H50" s="70">
        <f>F50/$F$15/10000</f>
        <v>0</v>
      </c>
      <c r="I50" s="5"/>
      <c r="J50" s="5"/>
      <c r="K50" s="6"/>
      <c r="L50" s="1"/>
      <c r="M50" s="1"/>
      <c r="O50" s="137"/>
    </row>
    <row r="51" spans="1:15" ht="15.75" x14ac:dyDescent="0.25">
      <c r="A51" s="1">
        <v>51</v>
      </c>
      <c r="B51" s="143" t="s">
        <v>228</v>
      </c>
      <c r="C51" s="19"/>
      <c r="D51" s="19"/>
      <c r="E51" s="19"/>
      <c r="F51" s="144"/>
      <c r="G51" s="70"/>
      <c r="H51" s="70"/>
      <c r="I51" s="5"/>
      <c r="J51" s="5"/>
      <c r="K51" s="6"/>
      <c r="L51" s="1"/>
      <c r="M51" s="1"/>
      <c r="O51" s="137"/>
    </row>
    <row r="52" spans="1:15" ht="15.75" x14ac:dyDescent="0.25">
      <c r="A52" s="1">
        <v>52</v>
      </c>
      <c r="B52" s="143" t="s">
        <v>188</v>
      </c>
      <c r="C52" s="19"/>
      <c r="D52" s="19"/>
      <c r="E52" s="19"/>
      <c r="F52" s="144"/>
      <c r="G52" s="70"/>
      <c r="H52" s="70"/>
      <c r="I52" s="5"/>
      <c r="J52" s="5"/>
      <c r="K52" s="6"/>
      <c r="L52" s="22"/>
      <c r="M52" s="1"/>
      <c r="O52" s="137"/>
    </row>
    <row r="53" spans="1:15" ht="16.5" thickBot="1" x14ac:dyDescent="0.3">
      <c r="A53" s="1">
        <v>53</v>
      </c>
      <c r="B53" s="143" t="s">
        <v>229</v>
      </c>
      <c r="C53" s="19"/>
      <c r="D53" s="19"/>
      <c r="E53" s="19"/>
      <c r="F53" s="147">
        <v>105000000</v>
      </c>
      <c r="G53" s="70">
        <f>F53/SUM($F$9:$F$11)/10000</f>
        <v>20.8955223880597</v>
      </c>
      <c r="H53" s="70">
        <f>F53/$F$15/10000</f>
        <v>15.671641791044776</v>
      </c>
      <c r="I53" s="5"/>
      <c r="J53" s="5"/>
      <c r="K53" s="6"/>
      <c r="L53" s="22"/>
      <c r="M53" s="1"/>
      <c r="O53" s="137"/>
    </row>
    <row r="54" spans="1:15" ht="15.75" thickTop="1" x14ac:dyDescent="0.2">
      <c r="A54" s="1">
        <v>54</v>
      </c>
      <c r="B54" s="143" t="s">
        <v>155</v>
      </c>
      <c r="C54" s="19"/>
      <c r="D54" s="19"/>
      <c r="E54" s="19"/>
      <c r="F54" s="159">
        <f>SUM(F40:F53)</f>
        <v>105000000</v>
      </c>
      <c r="G54" s="50">
        <f>F54/SUM($F$9:$F$11)/10000</f>
        <v>20.8955223880597</v>
      </c>
      <c r="H54" s="50">
        <f>F54/$F$15/10000</f>
        <v>15.671641791044776</v>
      </c>
      <c r="I54" s="8" t="s">
        <v>85</v>
      </c>
      <c r="J54" s="52" t="s">
        <v>86</v>
      </c>
      <c r="K54" s="52" t="s">
        <v>87</v>
      </c>
      <c r="L54" s="1"/>
      <c r="M54" s="1"/>
      <c r="O54" s="137"/>
    </row>
    <row r="55" spans="1:15" ht="15.75" x14ac:dyDescent="0.25">
      <c r="A55" s="1">
        <v>55</v>
      </c>
      <c r="B55" s="143" t="s">
        <v>230</v>
      </c>
      <c r="C55" s="19"/>
      <c r="D55" s="19" t="s">
        <v>24</v>
      </c>
      <c r="E55" s="160">
        <v>0.05</v>
      </c>
      <c r="F55" s="158">
        <f>E55*F54</f>
        <v>5250000</v>
      </c>
      <c r="G55" s="70"/>
      <c r="H55" s="70"/>
      <c r="I55" s="8" t="s">
        <v>88</v>
      </c>
      <c r="J55" s="5"/>
      <c r="K55" s="6"/>
      <c r="L55" s="1"/>
      <c r="M55" s="1"/>
      <c r="O55" s="137"/>
    </row>
    <row r="56" spans="1:15" ht="15.75" x14ac:dyDescent="0.25">
      <c r="A56" s="1">
        <v>56</v>
      </c>
      <c r="B56" s="143" t="s">
        <v>231</v>
      </c>
      <c r="C56" s="19"/>
      <c r="D56" s="19"/>
      <c r="E56" s="160">
        <v>0.1</v>
      </c>
      <c r="F56" s="158">
        <f>(+F54+F55)*E56</f>
        <v>11025000</v>
      </c>
      <c r="G56" s="70"/>
      <c r="H56" s="70"/>
      <c r="I56" s="8" t="s">
        <v>89</v>
      </c>
      <c r="J56" s="5"/>
      <c r="K56" s="6"/>
      <c r="L56" s="1"/>
      <c r="M56" s="1"/>
      <c r="O56" s="137"/>
    </row>
    <row r="57" spans="1:15" ht="15.75" x14ac:dyDescent="0.25">
      <c r="A57" s="1">
        <v>57</v>
      </c>
      <c r="B57" s="143" t="s">
        <v>232</v>
      </c>
      <c r="C57" s="19"/>
      <c r="D57" s="19"/>
      <c r="E57" s="160">
        <v>0.05</v>
      </c>
      <c r="F57" s="158">
        <f>SUM(F54:F56)*E57</f>
        <v>6063750</v>
      </c>
      <c r="G57" s="70"/>
      <c r="H57" s="70"/>
      <c r="I57" s="8" t="s">
        <v>90</v>
      </c>
      <c r="J57" s="5"/>
      <c r="K57" s="6"/>
      <c r="L57" s="1"/>
      <c r="M57" s="1"/>
      <c r="O57" s="137"/>
    </row>
    <row r="58" spans="1:15" ht="15.75" x14ac:dyDescent="0.25">
      <c r="A58" s="1">
        <v>58</v>
      </c>
      <c r="B58" s="143" t="s">
        <v>233</v>
      </c>
      <c r="C58" s="19"/>
      <c r="D58" s="19"/>
      <c r="E58" s="161">
        <v>0.12</v>
      </c>
      <c r="F58" s="158">
        <f>SUM(F54:F57)*E58</f>
        <v>15280650</v>
      </c>
      <c r="G58" s="70">
        <f>F58/SUM($F$9:$F$11)/10000</f>
        <v>3.0409253731343284</v>
      </c>
      <c r="H58" s="70">
        <f>F58/$F$15/10000</f>
        <v>2.2806940298507463</v>
      </c>
      <c r="I58" s="8" t="s">
        <v>91</v>
      </c>
      <c r="J58" s="5"/>
      <c r="K58" s="6"/>
      <c r="L58" s="1"/>
      <c r="M58" s="1"/>
      <c r="O58" s="137"/>
    </row>
    <row r="59" spans="1:15" x14ac:dyDescent="0.2">
      <c r="A59" s="1">
        <v>59</v>
      </c>
      <c r="B59" s="143" t="s">
        <v>234</v>
      </c>
      <c r="C59" s="19"/>
      <c r="D59" s="19"/>
      <c r="E59" s="19"/>
      <c r="F59" s="158">
        <f>SUM(F54:F58)</f>
        <v>142619400</v>
      </c>
      <c r="G59" s="70">
        <f>F59/SUM($F$9:$F$11)/10000</f>
        <v>28.381970149253732</v>
      </c>
      <c r="H59" s="70">
        <f>F59/$F$15/10000</f>
        <v>21.286477611940299</v>
      </c>
      <c r="I59" s="8" t="s">
        <v>92</v>
      </c>
      <c r="J59" s="5"/>
      <c r="K59" s="6"/>
      <c r="L59" s="1"/>
      <c r="M59" s="1"/>
      <c r="O59" s="137"/>
    </row>
    <row r="60" spans="1:15" x14ac:dyDescent="0.2">
      <c r="A60" s="1">
        <v>60</v>
      </c>
      <c r="B60" s="143" t="s">
        <v>235</v>
      </c>
      <c r="C60" s="19"/>
      <c r="D60" s="19"/>
      <c r="E60" s="19"/>
      <c r="F60" s="158">
        <v>1000000</v>
      </c>
      <c r="G60" s="70">
        <f>F60/SUM($F$9:$F$11)/10000</f>
        <v>0.19900497512437812</v>
      </c>
      <c r="H60" s="70">
        <f>F60/$F$15/10000</f>
        <v>0.1492537313432836</v>
      </c>
      <c r="I60" s="8"/>
      <c r="J60" s="5"/>
      <c r="K60" s="6"/>
      <c r="L60" s="1"/>
      <c r="M60" s="1"/>
      <c r="O60" s="137"/>
    </row>
    <row r="61" spans="1:15" ht="15.75" thickBot="1" x14ac:dyDescent="0.25">
      <c r="A61" s="1">
        <v>61</v>
      </c>
      <c r="B61" s="143" t="s">
        <v>236</v>
      </c>
      <c r="C61" s="19"/>
      <c r="D61" s="19"/>
      <c r="E61" s="19"/>
      <c r="F61" s="158">
        <f>F59+F37+F60</f>
        <v>199752400</v>
      </c>
      <c r="G61" s="70">
        <f>F61/SUM($F$9:$F$11)/10000</f>
        <v>39.751721393034828</v>
      </c>
      <c r="H61" s="70">
        <f>F61/$F$15/10000</f>
        <v>29.813791044776117</v>
      </c>
      <c r="I61" s="8" t="s">
        <v>93</v>
      </c>
      <c r="J61" s="5"/>
      <c r="K61" s="6"/>
      <c r="L61" s="1"/>
      <c r="M61" s="1"/>
      <c r="O61" s="137"/>
    </row>
    <row r="62" spans="1:15" ht="16.5" thickTop="1" thickBot="1" x14ac:dyDescent="0.25">
      <c r="A62" s="1">
        <v>62</v>
      </c>
      <c r="B62" s="137" t="s">
        <v>237</v>
      </c>
      <c r="C62" s="40"/>
      <c r="D62" s="40"/>
      <c r="E62" s="40"/>
      <c r="F62" s="49">
        <f>F20-F61</f>
        <v>316717100.00000024</v>
      </c>
      <c r="G62" s="50">
        <f>F62/SUM($F$9:$F$11)/10000</f>
        <v>63.028278606965216</v>
      </c>
      <c r="H62" s="50">
        <f>F62/$F$15/10000</f>
        <v>47.271208955223919</v>
      </c>
      <c r="I62" s="8" t="s">
        <v>94</v>
      </c>
      <c r="J62" s="52" t="s">
        <v>95</v>
      </c>
      <c r="K62" s="52" t="s">
        <v>96</v>
      </c>
      <c r="L62" s="1"/>
      <c r="M62" s="1"/>
      <c r="O62" s="137"/>
    </row>
    <row r="63" spans="1:15" ht="15.75" thickTop="1" x14ac:dyDescent="0.2">
      <c r="A63" s="1">
        <v>63</v>
      </c>
      <c r="B63" s="40"/>
      <c r="C63" s="40"/>
      <c r="D63" s="40"/>
      <c r="E63" s="40"/>
      <c r="F63" s="49"/>
      <c r="G63" s="40"/>
      <c r="H63" s="40"/>
      <c r="I63" s="5"/>
      <c r="J63" s="5"/>
      <c r="K63" s="6"/>
      <c r="L63" s="1"/>
      <c r="M63" s="1"/>
    </row>
    <row r="64" spans="1:15" x14ac:dyDescent="0.2">
      <c r="A64" s="1">
        <v>64</v>
      </c>
      <c r="B64" s="82" t="s">
        <v>190</v>
      </c>
      <c r="C64" s="1"/>
      <c r="D64" s="1"/>
      <c r="E64" s="1"/>
      <c r="F64" s="1"/>
      <c r="G64" s="1"/>
      <c r="H64" s="1"/>
      <c r="I64" s="5"/>
      <c r="J64" s="5"/>
      <c r="K64" s="6"/>
      <c r="L64" s="1"/>
      <c r="M64" s="1"/>
    </row>
    <row r="65" spans="1:16" x14ac:dyDescent="0.2">
      <c r="A65" s="1">
        <v>65</v>
      </c>
      <c r="B65" s="1"/>
      <c r="C65" s="1"/>
      <c r="D65" s="1"/>
      <c r="E65" s="190" t="s">
        <v>164</v>
      </c>
      <c r="F65" s="190" t="s">
        <v>165</v>
      </c>
      <c r="G65" s="140"/>
      <c r="H65" s="1"/>
      <c r="I65" s="5" t="s">
        <v>97</v>
      </c>
      <c r="J65" s="5" t="s">
        <v>32</v>
      </c>
      <c r="K65" s="6" t="s">
        <v>98</v>
      </c>
      <c r="L65" s="1"/>
      <c r="M65" s="1"/>
    </row>
    <row r="66" spans="1:16" x14ac:dyDescent="0.2">
      <c r="A66" s="1">
        <v>66</v>
      </c>
      <c r="B66" s="1"/>
      <c r="C66" s="1"/>
      <c r="D66" s="1"/>
      <c r="E66" s="191"/>
      <c r="F66" s="192"/>
      <c r="G66" s="110" t="s">
        <v>155</v>
      </c>
      <c r="H66" s="1"/>
      <c r="I66" s="5"/>
      <c r="J66" s="5"/>
      <c r="K66" s="6"/>
      <c r="L66" s="1"/>
      <c r="M66" s="1"/>
      <c r="O66" s="137"/>
      <c r="P66" s="137"/>
    </row>
    <row r="67" spans="1:16" x14ac:dyDescent="0.2">
      <c r="A67" s="1">
        <v>67</v>
      </c>
      <c r="B67" s="165" t="s">
        <v>238</v>
      </c>
      <c r="C67" s="19"/>
      <c r="D67" s="19"/>
      <c r="E67" s="158">
        <f>ROUND(+F9*10000/Table_1!F20,0)</f>
        <v>1340</v>
      </c>
      <c r="F67" s="170">
        <f>ROUND(+F10*10000/Table_1!G20,0)</f>
        <v>89333</v>
      </c>
      <c r="G67" s="35">
        <f>E67+F67</f>
        <v>90673</v>
      </c>
      <c r="H67" s="23"/>
      <c r="I67" s="8" t="s">
        <v>99</v>
      </c>
      <c r="J67" s="72" t="s">
        <v>100</v>
      </c>
      <c r="K67" s="72" t="s">
        <v>101</v>
      </c>
      <c r="L67" s="1"/>
      <c r="M67" s="1"/>
    </row>
    <row r="68" spans="1:16" ht="16.149999999999999" customHeight="1" x14ac:dyDescent="0.25">
      <c r="A68" s="1">
        <v>68</v>
      </c>
      <c r="B68" s="143" t="s">
        <v>239</v>
      </c>
      <c r="C68" s="19"/>
      <c r="D68" s="19"/>
      <c r="E68" s="166">
        <v>2.8</v>
      </c>
      <c r="F68" s="85" t="s">
        <v>102</v>
      </c>
      <c r="G68" s="9"/>
      <c r="H68" s="23"/>
      <c r="I68" s="5"/>
      <c r="J68" s="73"/>
      <c r="K68" s="6"/>
      <c r="L68" s="1"/>
      <c r="M68" s="1"/>
    </row>
    <row r="69" spans="1:16" x14ac:dyDescent="0.2">
      <c r="A69" s="1">
        <v>69</v>
      </c>
      <c r="B69" s="143" t="s">
        <v>240</v>
      </c>
      <c r="C69" s="19"/>
      <c r="D69" s="19"/>
      <c r="E69" s="169">
        <f>E67*E68/F9</f>
        <v>55.999999999999993</v>
      </c>
      <c r="F69" s="170">
        <f>F67*E68/F10</f>
        <v>746.6638805970149</v>
      </c>
      <c r="G69" s="35">
        <f>G67*E68/SUM(F9:F10)</f>
        <v>631.55323383084578</v>
      </c>
      <c r="H69" s="23"/>
      <c r="I69" s="75" t="s">
        <v>103</v>
      </c>
      <c r="J69" s="8" t="s">
        <v>104</v>
      </c>
      <c r="K69" s="72" t="s">
        <v>105</v>
      </c>
      <c r="L69" s="1"/>
      <c r="M69" s="1"/>
    </row>
    <row r="70" spans="1:16" x14ac:dyDescent="0.2">
      <c r="A70" s="1">
        <v>70</v>
      </c>
      <c r="B70" s="154" t="s">
        <v>191</v>
      </c>
      <c r="C70" s="14"/>
      <c r="D70" s="14"/>
      <c r="E70" s="168"/>
      <c r="F70" s="171"/>
      <c r="G70" s="35">
        <f>G67*E68/F15</f>
        <v>378.93194029850747</v>
      </c>
      <c r="H70" s="74"/>
      <c r="I70" s="75"/>
      <c r="J70" s="75"/>
      <c r="K70" s="72" t="s">
        <v>106</v>
      </c>
      <c r="L70" s="1"/>
      <c r="M70" s="1"/>
    </row>
    <row r="71" spans="1:16" x14ac:dyDescent="0.2">
      <c r="A71" s="1">
        <v>71</v>
      </c>
      <c r="B71" s="143" t="s">
        <v>241</v>
      </c>
      <c r="C71" s="19"/>
      <c r="D71" s="19"/>
      <c r="E71" s="167"/>
      <c r="F71" s="42"/>
      <c r="G71" s="76">
        <f>(+F9*Table_1!F19+F10*Table_1!G19+F11*Table_1!H19)/F15</f>
        <v>1.7700000000000002</v>
      </c>
      <c r="H71" s="23"/>
      <c r="I71" s="77" t="s">
        <v>107</v>
      </c>
      <c r="J71" s="5"/>
      <c r="K71" s="6"/>
      <c r="L71" s="1"/>
      <c r="M71" s="1"/>
    </row>
    <row r="72" spans="1:16" x14ac:dyDescent="0.2">
      <c r="A72" s="1"/>
      <c r="B72" s="9"/>
      <c r="C72" s="9"/>
      <c r="D72" s="9"/>
      <c r="E72" s="9"/>
      <c r="F72" s="9"/>
      <c r="G72" s="9"/>
      <c r="H72" s="1"/>
      <c r="I72" s="5"/>
      <c r="J72" s="5"/>
      <c r="K72" s="6"/>
      <c r="L72" s="1"/>
      <c r="M72" s="1"/>
    </row>
    <row r="73" spans="1:16" x14ac:dyDescent="0.2">
      <c r="J73" s="5"/>
      <c r="K73" s="6"/>
      <c r="L73" s="1"/>
      <c r="M73" s="1"/>
    </row>
    <row r="74" spans="1:16" x14ac:dyDescent="0.2">
      <c r="J74" s="5"/>
      <c r="K74" s="6"/>
      <c r="L74" s="1"/>
      <c r="M74" s="1"/>
    </row>
    <row r="75" spans="1:16" x14ac:dyDescent="0.2">
      <c r="J75" s="5"/>
      <c r="K75" s="6"/>
      <c r="L75" s="1"/>
      <c r="M75" s="1"/>
    </row>
    <row r="76" spans="1:16" x14ac:dyDescent="0.2">
      <c r="J76" s="5"/>
      <c r="K76" s="6"/>
      <c r="L76" s="1"/>
      <c r="M76" s="1"/>
    </row>
    <row r="77" spans="1:16" x14ac:dyDescent="0.2">
      <c r="J77" s="5"/>
      <c r="K77" s="6"/>
      <c r="L77" s="1"/>
      <c r="M77" s="1"/>
    </row>
    <row r="78" spans="1:16" x14ac:dyDescent="0.2">
      <c r="J78" s="5"/>
      <c r="K78" s="6"/>
      <c r="L78" s="1"/>
      <c r="M78" s="1"/>
    </row>
    <row r="79" spans="1:16" x14ac:dyDescent="0.2">
      <c r="J79" s="5"/>
      <c r="K79" s="6"/>
      <c r="L79" s="1"/>
      <c r="M79" s="1"/>
    </row>
    <row r="80" spans="1:16" x14ac:dyDescent="0.2">
      <c r="J80" s="5"/>
      <c r="K80" s="6"/>
      <c r="L80" s="1"/>
      <c r="M80" s="1"/>
    </row>
    <row r="81" spans="10:13" x14ac:dyDescent="0.2">
      <c r="J81" s="5"/>
      <c r="K81" s="6"/>
      <c r="L81" s="1"/>
      <c r="M81" s="1"/>
    </row>
  </sheetData>
  <mergeCells count="2">
    <mergeCell ref="E65:E66"/>
    <mergeCell ref="F65:F66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showGridLines="0" topLeftCell="A14" zoomScale="85" workbookViewId="0">
      <selection activeCell="E34" sqref="E34"/>
    </sheetView>
  </sheetViews>
  <sheetFormatPr defaultRowHeight="15" x14ac:dyDescent="0.2"/>
  <cols>
    <col min="1" max="1" width="3.44140625" customWidth="1"/>
    <col min="3" max="3" width="22" customWidth="1"/>
    <col min="4" max="4" width="7" customWidth="1"/>
    <col min="6" max="6" width="12.109375" customWidth="1"/>
    <col min="13" max="13" width="7.77734375" customWidth="1"/>
    <col min="21" max="21" width="11.21875" customWidth="1"/>
  </cols>
  <sheetData>
    <row r="1" spans="1:22" x14ac:dyDescent="0.2">
      <c r="A1" s="1"/>
      <c r="C1" s="3"/>
      <c r="E1" s="139"/>
      <c r="F1" s="1"/>
      <c r="G1" s="1"/>
      <c r="H1" s="1"/>
      <c r="K1" s="1"/>
      <c r="L1" s="1"/>
      <c r="M1" s="173"/>
      <c r="N1" s="42" t="s">
        <v>242</v>
      </c>
      <c r="O1" s="174"/>
      <c r="P1" s="174"/>
      <c r="Q1" s="174"/>
      <c r="R1" s="174"/>
      <c r="S1" s="174"/>
      <c r="T1" s="174"/>
      <c r="U1" s="175"/>
    </row>
    <row r="2" spans="1:22" ht="15.75" x14ac:dyDescent="0.25">
      <c r="A2" s="1"/>
      <c r="B2" s="185" t="s">
        <v>272</v>
      </c>
      <c r="C2" s="19"/>
      <c r="D2" s="19"/>
      <c r="E2" s="19"/>
      <c r="F2" s="19"/>
      <c r="G2" s="19"/>
      <c r="H2" s="19"/>
      <c r="I2" s="20"/>
      <c r="J2" s="1"/>
      <c r="K2" s="1"/>
      <c r="L2" s="1"/>
      <c r="M2" s="36"/>
      <c r="N2" s="176" t="s">
        <v>312</v>
      </c>
      <c r="O2" s="177"/>
      <c r="P2" s="177"/>
      <c r="Q2" s="177"/>
      <c r="R2" s="177" t="s">
        <v>0</v>
      </c>
      <c r="S2" s="177"/>
      <c r="T2" s="177"/>
      <c r="U2" s="178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36">
        <v>44</v>
      </c>
      <c r="N3" s="179" t="s">
        <v>1</v>
      </c>
      <c r="O3" s="177"/>
      <c r="P3" s="177"/>
      <c r="Q3" s="177"/>
      <c r="R3" s="177">
        <v>29</v>
      </c>
      <c r="S3" s="179" t="s">
        <v>2</v>
      </c>
      <c r="T3" s="177"/>
      <c r="U3" s="178"/>
      <c r="V3" s="1"/>
    </row>
    <row r="4" spans="1:22" x14ac:dyDescent="0.2">
      <c r="A4" s="1"/>
      <c r="J4" s="1"/>
      <c r="K4" s="1"/>
      <c r="L4" s="1"/>
      <c r="M4" s="36">
        <v>45</v>
      </c>
      <c r="N4" s="180" t="s">
        <v>3</v>
      </c>
      <c r="O4" s="177"/>
      <c r="P4" s="177"/>
      <c r="Q4" s="177"/>
      <c r="R4" s="177">
        <v>30</v>
      </c>
      <c r="S4" s="179" t="s">
        <v>4</v>
      </c>
      <c r="T4" s="177"/>
      <c r="U4" s="178"/>
      <c r="V4" s="1"/>
    </row>
    <row r="5" spans="1:22" x14ac:dyDescent="0.2">
      <c r="A5" s="1">
        <v>5</v>
      </c>
      <c r="B5" s="22"/>
      <c r="C5" s="22"/>
      <c r="D5" s="22"/>
      <c r="E5" s="1"/>
      <c r="F5" s="1"/>
      <c r="G5" s="1"/>
      <c r="H5" s="1"/>
      <c r="I5" s="1"/>
      <c r="J5" s="1"/>
      <c r="K5" s="1"/>
      <c r="L5" s="1"/>
      <c r="M5" s="36">
        <v>46</v>
      </c>
      <c r="N5" s="179" t="s">
        <v>5</v>
      </c>
      <c r="O5" s="177"/>
      <c r="P5" s="177"/>
      <c r="Q5" s="177"/>
      <c r="R5" s="177">
        <v>31</v>
      </c>
      <c r="S5" s="179" t="s">
        <v>6</v>
      </c>
      <c r="T5" s="177"/>
      <c r="U5" s="178"/>
      <c r="V5" s="1"/>
    </row>
    <row r="6" spans="1:22" ht="15.75" x14ac:dyDescent="0.25">
      <c r="A6" s="1">
        <v>6</v>
      </c>
      <c r="B6" s="18" t="s">
        <v>273</v>
      </c>
      <c r="C6" s="182"/>
      <c r="D6" s="183"/>
      <c r="E6" s="182"/>
      <c r="F6" s="20"/>
      <c r="G6" s="25" t="s">
        <v>20</v>
      </c>
      <c r="H6" s="1"/>
      <c r="I6" s="1"/>
      <c r="J6" s="1"/>
      <c r="K6" s="1"/>
      <c r="L6" s="1"/>
      <c r="M6" s="36">
        <v>47</v>
      </c>
      <c r="N6" s="180" t="s">
        <v>8</v>
      </c>
      <c r="O6" s="177"/>
      <c r="P6" s="177"/>
      <c r="Q6" s="177"/>
      <c r="R6" s="177">
        <v>32</v>
      </c>
      <c r="S6" s="179" t="s">
        <v>9</v>
      </c>
      <c r="T6" s="177"/>
      <c r="U6" s="178"/>
      <c r="V6" s="1"/>
    </row>
    <row r="7" spans="1:22" x14ac:dyDescent="0.2">
      <c r="A7" s="1">
        <v>7</v>
      </c>
      <c r="B7" s="181" t="s">
        <v>274</v>
      </c>
      <c r="C7" s="19"/>
      <c r="D7" s="19"/>
      <c r="E7" s="19"/>
      <c r="F7" s="158">
        <f>Table_2!F37</f>
        <v>56133000</v>
      </c>
      <c r="G7" s="27" t="s">
        <v>25</v>
      </c>
      <c r="H7" s="1"/>
      <c r="I7" s="1"/>
      <c r="J7" s="1"/>
      <c r="K7" s="1"/>
      <c r="L7" s="1"/>
      <c r="M7" s="36">
        <v>48</v>
      </c>
      <c r="N7" s="179" t="s">
        <v>21</v>
      </c>
      <c r="O7" s="177"/>
      <c r="P7" s="177"/>
      <c r="Q7" s="177"/>
      <c r="R7" s="177">
        <v>33</v>
      </c>
      <c r="S7" s="179" t="s">
        <v>22</v>
      </c>
      <c r="T7" s="177"/>
      <c r="U7" s="178"/>
      <c r="V7" s="1"/>
    </row>
    <row r="8" spans="1:22" x14ac:dyDescent="0.2">
      <c r="A8" s="1">
        <v>8</v>
      </c>
      <c r="B8" s="133" t="s">
        <v>275</v>
      </c>
      <c r="C8" s="19"/>
      <c r="D8" s="19"/>
      <c r="E8" s="19"/>
      <c r="F8" s="158">
        <f>Table_2!F59</f>
        <v>142619400</v>
      </c>
      <c r="G8" s="27" t="s">
        <v>29</v>
      </c>
      <c r="H8" s="1"/>
      <c r="I8" s="1"/>
      <c r="J8" s="1"/>
      <c r="K8" s="1"/>
      <c r="L8" s="1"/>
      <c r="M8" s="36">
        <v>49</v>
      </c>
      <c r="N8" s="180" t="s">
        <v>26</v>
      </c>
      <c r="O8" s="177"/>
      <c r="P8" s="177"/>
      <c r="Q8" s="177"/>
      <c r="R8" s="177">
        <v>34</v>
      </c>
      <c r="S8" s="179" t="s">
        <v>27</v>
      </c>
      <c r="T8" s="177"/>
      <c r="U8" s="178"/>
      <c r="V8" s="1"/>
    </row>
    <row r="9" spans="1:22" x14ac:dyDescent="0.2">
      <c r="A9" s="1">
        <v>9</v>
      </c>
      <c r="B9" s="133" t="s">
        <v>277</v>
      </c>
      <c r="C9" s="19"/>
      <c r="D9" s="19"/>
      <c r="E9" s="19"/>
      <c r="F9" s="158">
        <f>Table_2!F60</f>
        <v>1000000</v>
      </c>
      <c r="G9" s="27" t="s">
        <v>34</v>
      </c>
      <c r="H9" s="1"/>
      <c r="I9" s="1"/>
      <c r="J9" s="1"/>
      <c r="K9" s="1"/>
      <c r="L9" s="1"/>
      <c r="M9" s="36">
        <v>50</v>
      </c>
      <c r="N9" s="180" t="s">
        <v>30</v>
      </c>
      <c r="O9" s="177"/>
      <c r="P9" s="177"/>
      <c r="Q9" s="177"/>
      <c r="R9" s="177">
        <v>36</v>
      </c>
      <c r="S9" s="179" t="s">
        <v>31</v>
      </c>
      <c r="T9" s="177"/>
      <c r="U9" s="178"/>
      <c r="V9" s="1"/>
    </row>
    <row r="10" spans="1:22" x14ac:dyDescent="0.2">
      <c r="A10" s="1">
        <v>10</v>
      </c>
      <c r="B10" s="133" t="s">
        <v>276</v>
      </c>
      <c r="C10" s="19"/>
      <c r="D10" s="19"/>
      <c r="E10" s="19"/>
      <c r="F10" s="158">
        <f>Table_2!F62</f>
        <v>316717100.00000024</v>
      </c>
      <c r="G10" s="27" t="s">
        <v>39</v>
      </c>
      <c r="H10" s="1"/>
      <c r="I10" s="1"/>
      <c r="J10" s="1"/>
      <c r="K10" s="1"/>
      <c r="L10" s="1"/>
      <c r="M10" s="36">
        <v>51</v>
      </c>
      <c r="N10" s="179" t="s">
        <v>35</v>
      </c>
      <c r="O10" s="177"/>
      <c r="P10" s="177"/>
      <c r="Q10" s="177"/>
      <c r="R10" s="177">
        <v>37</v>
      </c>
      <c r="S10" s="179" t="s">
        <v>36</v>
      </c>
      <c r="T10" s="177"/>
      <c r="U10" s="178"/>
      <c r="V10" s="1"/>
    </row>
    <row r="11" spans="1:22" ht="15.75" x14ac:dyDescent="0.25">
      <c r="A11" s="1">
        <v>11</v>
      </c>
      <c r="B11" s="132" t="s">
        <v>278</v>
      </c>
      <c r="C11" s="134"/>
      <c r="E11" s="83"/>
      <c r="F11" s="146"/>
      <c r="G11" s="36"/>
      <c r="H11" s="1"/>
      <c r="I11" s="1"/>
      <c r="J11" s="1"/>
      <c r="K11" s="1"/>
      <c r="L11" s="1"/>
      <c r="M11" s="36">
        <v>52</v>
      </c>
      <c r="N11" s="179" t="str">
        <f>N10</f>
        <v>+F42+F40</v>
      </c>
      <c r="O11" s="177"/>
      <c r="P11" s="177"/>
      <c r="Q11" s="177"/>
      <c r="R11" s="177">
        <v>38</v>
      </c>
      <c r="S11" s="179" t="s">
        <v>40</v>
      </c>
      <c r="T11" s="177"/>
      <c r="U11" s="178"/>
      <c r="V11" s="1"/>
    </row>
    <row r="12" spans="1:22" x14ac:dyDescent="0.2">
      <c r="A12" s="1">
        <v>12</v>
      </c>
      <c r="B12" s="165" t="s">
        <v>279</v>
      </c>
      <c r="C12" s="19"/>
      <c r="D12" s="19"/>
      <c r="E12" s="19"/>
      <c r="F12" s="158">
        <f>Table_2!F20</f>
        <v>516469500.00000024</v>
      </c>
      <c r="G12" s="27" t="s">
        <v>47</v>
      </c>
      <c r="H12" s="1"/>
      <c r="I12" s="1"/>
      <c r="J12" s="1"/>
      <c r="K12" s="1"/>
      <c r="L12" s="1"/>
      <c r="M12" s="36"/>
      <c r="N12" s="177" t="s">
        <v>43</v>
      </c>
      <c r="O12" s="177"/>
      <c r="P12" s="177"/>
      <c r="Q12" s="177"/>
      <c r="R12" s="177">
        <v>40</v>
      </c>
      <c r="S12" s="179" t="s">
        <v>44</v>
      </c>
      <c r="T12" s="177"/>
      <c r="U12" s="178"/>
      <c r="V12" s="1"/>
    </row>
    <row r="13" spans="1:22" ht="15.75" x14ac:dyDescent="0.25">
      <c r="A13" s="1">
        <v>13</v>
      </c>
      <c r="B13" s="122" t="s">
        <v>280</v>
      </c>
      <c r="C13" s="9"/>
      <c r="D13" s="9"/>
      <c r="E13" s="9"/>
      <c r="F13" s="11"/>
      <c r="G13" s="36"/>
      <c r="H13" s="1"/>
      <c r="I13" s="1"/>
      <c r="J13" s="1"/>
      <c r="K13" s="1"/>
      <c r="L13" s="1"/>
      <c r="M13" s="36">
        <v>51</v>
      </c>
      <c r="N13" s="180" t="s">
        <v>48</v>
      </c>
      <c r="O13" s="177"/>
      <c r="P13" s="177"/>
      <c r="Q13" s="177"/>
      <c r="R13" s="177">
        <v>41</v>
      </c>
      <c r="S13" s="179" t="s">
        <v>49</v>
      </c>
      <c r="T13" s="177"/>
      <c r="U13" s="178"/>
      <c r="V13" s="1"/>
    </row>
    <row r="14" spans="1:22" ht="15.75" x14ac:dyDescent="0.25">
      <c r="A14" s="1">
        <v>14</v>
      </c>
      <c r="B14" s="121" t="s">
        <v>281</v>
      </c>
      <c r="C14" s="9"/>
      <c r="D14" s="9"/>
      <c r="E14" s="9"/>
      <c r="F14" s="184">
        <v>0.08</v>
      </c>
      <c r="G14" s="1"/>
      <c r="H14" s="85">
        <v>1994</v>
      </c>
      <c r="I14" s="85">
        <v>1995</v>
      </c>
      <c r="J14" s="85">
        <v>1996</v>
      </c>
      <c r="K14" s="85">
        <v>1997</v>
      </c>
      <c r="L14" s="12">
        <v>1998</v>
      </c>
      <c r="M14" s="36">
        <v>52</v>
      </c>
      <c r="N14" s="180" t="s">
        <v>52</v>
      </c>
      <c r="O14" s="177"/>
      <c r="P14" s="177"/>
      <c r="Q14" s="177"/>
      <c r="R14" s="177">
        <v>42</v>
      </c>
      <c r="S14" s="179" t="s">
        <v>53</v>
      </c>
      <c r="T14" s="177"/>
      <c r="U14" s="178"/>
      <c r="V14" s="1"/>
    </row>
    <row r="15" spans="1:22" ht="15.75" x14ac:dyDescent="0.25">
      <c r="A15" s="1">
        <v>15</v>
      </c>
      <c r="B15" s="165" t="s">
        <v>282</v>
      </c>
      <c r="C15" s="19"/>
      <c r="D15" s="19"/>
      <c r="E15" s="19"/>
      <c r="F15" s="20"/>
      <c r="G15" s="183"/>
      <c r="H15" s="43">
        <v>0.04</v>
      </c>
      <c r="I15" s="43">
        <v>0.04</v>
      </c>
      <c r="J15" s="43">
        <v>0.04</v>
      </c>
      <c r="K15" s="43">
        <v>0.04</v>
      </c>
      <c r="L15" s="43">
        <v>0.04</v>
      </c>
      <c r="M15" s="16"/>
      <c r="N15" s="14"/>
      <c r="O15" s="14"/>
      <c r="P15" s="14"/>
      <c r="Q15" s="14"/>
      <c r="R15" s="14"/>
      <c r="S15" s="14"/>
      <c r="T15" s="14"/>
      <c r="U15" s="15"/>
      <c r="V15" s="1"/>
    </row>
    <row r="16" spans="1:22" x14ac:dyDescent="0.2">
      <c r="A16" s="1">
        <v>16</v>
      </c>
      <c r="B16" s="16"/>
      <c r="C16" s="14"/>
      <c r="D16" s="14"/>
      <c r="E16" s="14"/>
      <c r="F16" s="1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9.899999999999999" customHeight="1" x14ac:dyDescent="0.25">
      <c r="A17" s="1">
        <v>17</v>
      </c>
      <c r="B17" s="138" t="s">
        <v>283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x14ac:dyDescent="0.25">
      <c r="A18" s="1">
        <v>18</v>
      </c>
      <c r="B18" s="1"/>
      <c r="C18" s="1"/>
      <c r="D18" s="1"/>
      <c r="E18" s="81" t="s">
        <v>119</v>
      </c>
      <c r="F18" s="81" t="s">
        <v>120</v>
      </c>
      <c r="G18" s="81" t="s">
        <v>121</v>
      </c>
      <c r="H18" s="81" t="s">
        <v>122</v>
      </c>
      <c r="I18" s="81" t="s">
        <v>123</v>
      </c>
      <c r="J18" s="81" t="s">
        <v>124</v>
      </c>
      <c r="K18" s="81" t="s">
        <v>125</v>
      </c>
      <c r="L18" s="81" t="s">
        <v>126</v>
      </c>
      <c r="M18" s="81" t="s">
        <v>127</v>
      </c>
      <c r="N18" s="81" t="s">
        <v>128</v>
      </c>
      <c r="O18" s="81" t="s">
        <v>129</v>
      </c>
      <c r="P18" s="81" t="s">
        <v>130</v>
      </c>
      <c r="Q18" s="81" t="s">
        <v>131</v>
      </c>
      <c r="R18" s="81" t="s">
        <v>132</v>
      </c>
      <c r="S18" s="81" t="s">
        <v>133</v>
      </c>
      <c r="T18" s="81" t="s">
        <v>134</v>
      </c>
      <c r="U18" s="81" t="s">
        <v>19</v>
      </c>
      <c r="V18" s="1"/>
    </row>
    <row r="19" spans="1:22" x14ac:dyDescent="0.2">
      <c r="A19" s="1">
        <v>19</v>
      </c>
      <c r="B19" s="22"/>
      <c r="C19" s="22"/>
      <c r="D19" s="22"/>
      <c r="E19" s="45">
        <f>DATE(Table_1!AI83,Table_1!AI84,1)</f>
        <v>34516</v>
      </c>
      <c r="F19" s="45">
        <f>DATE(Table_1!AJ83,Table_1!AJ84,1)</f>
        <v>34608</v>
      </c>
      <c r="G19" s="45">
        <f>DATE(Table_1!AK83,Table_1!AK84,1)</f>
        <v>34700</v>
      </c>
      <c r="H19" s="45">
        <f>DATE(Table_1!AL83,Table_1!AL84,1)</f>
        <v>34790</v>
      </c>
      <c r="I19" s="46">
        <f>DATE(Table_1!AM83,Table_1!AM84,1)</f>
        <v>34881</v>
      </c>
      <c r="J19" s="45">
        <f>DATE(Table_1!AN83,Table_1!AN84,1)</f>
        <v>34973</v>
      </c>
      <c r="K19" s="45">
        <f>DATE(Table_1!AO83,Table_1!AO84,1)</f>
        <v>35065</v>
      </c>
      <c r="L19" s="45">
        <f>DATE(Table_1!AP83,Table_1!AP84,1)</f>
        <v>35156</v>
      </c>
      <c r="M19" s="46">
        <f>DATE(Table_1!AQ83,Table_1!AQ84,1)</f>
        <v>35247</v>
      </c>
      <c r="N19" s="45">
        <f>DATE(Table_1!AR83,Table_1!AR84,1)</f>
        <v>35339</v>
      </c>
      <c r="O19" s="45">
        <f>DATE(Table_1!AS83,Table_1!AS84,1)</f>
        <v>35431</v>
      </c>
      <c r="P19" s="45">
        <f>DATE(Table_1!AT83,Table_1!AT84,1)</f>
        <v>35521</v>
      </c>
      <c r="Q19" s="46">
        <f>DATE(Table_1!AU83,Table_1!AU84,1)</f>
        <v>35612</v>
      </c>
      <c r="R19" s="45">
        <f>DATE(Table_1!AV83,Table_1!AV84,1)</f>
        <v>35704</v>
      </c>
      <c r="S19" s="45">
        <f>DATE(Table_1!AW83,Table_1!AW84,1)</f>
        <v>35796</v>
      </c>
      <c r="T19" s="45">
        <f>DATE(Table_1!AX83,Table_1!AX84,1)</f>
        <v>35886</v>
      </c>
      <c r="U19" s="46">
        <f>DATE(Table_1!AY83,Table_1!AY84,1)</f>
        <v>35977</v>
      </c>
      <c r="V19" s="23"/>
    </row>
    <row r="20" spans="1:22" x14ac:dyDescent="0.2">
      <c r="A20" s="1">
        <v>20</v>
      </c>
      <c r="B20" s="22"/>
      <c r="C20" s="22"/>
      <c r="D20" s="22"/>
      <c r="E20" s="53">
        <v>1</v>
      </c>
      <c r="F20" s="53">
        <v>2</v>
      </c>
      <c r="G20" s="53">
        <v>3</v>
      </c>
      <c r="H20" s="54">
        <v>4</v>
      </c>
      <c r="I20" s="53">
        <v>5</v>
      </c>
      <c r="J20" s="53">
        <v>6</v>
      </c>
      <c r="K20" s="53">
        <v>7</v>
      </c>
      <c r="L20" s="53">
        <v>8</v>
      </c>
      <c r="M20" s="55">
        <v>9</v>
      </c>
      <c r="N20" s="53">
        <v>10</v>
      </c>
      <c r="O20" s="53">
        <v>11</v>
      </c>
      <c r="P20" s="54">
        <v>12</v>
      </c>
      <c r="Q20" s="53">
        <v>13</v>
      </c>
      <c r="R20" s="53">
        <v>14</v>
      </c>
      <c r="S20" s="53">
        <v>15</v>
      </c>
      <c r="T20" s="54">
        <v>16</v>
      </c>
      <c r="U20" s="53">
        <v>17</v>
      </c>
      <c r="V20" s="23"/>
    </row>
    <row r="21" spans="1:22" ht="15.75" x14ac:dyDescent="0.25">
      <c r="A21" s="1">
        <v>21</v>
      </c>
      <c r="B21" s="1" t="s">
        <v>284</v>
      </c>
      <c r="C21" s="1"/>
      <c r="D21" s="1"/>
      <c r="E21" s="38">
        <v>5.0000000000000001E-3</v>
      </c>
      <c r="F21" s="58">
        <v>0.03</v>
      </c>
      <c r="G21" s="58">
        <v>0.06</v>
      </c>
      <c r="H21" s="58">
        <v>0.12</v>
      </c>
      <c r="I21" s="59">
        <v>0.18</v>
      </c>
      <c r="J21" s="58">
        <v>0.27</v>
      </c>
      <c r="K21" s="58">
        <v>0.38</v>
      </c>
      <c r="L21" s="58">
        <v>0.52</v>
      </c>
      <c r="M21" s="59">
        <v>0.65</v>
      </c>
      <c r="N21" s="58">
        <v>0.74</v>
      </c>
      <c r="O21" s="58">
        <v>0.8</v>
      </c>
      <c r="P21" s="58">
        <v>0.87</v>
      </c>
      <c r="Q21" s="59">
        <v>0.91</v>
      </c>
      <c r="R21" s="58">
        <v>0.95</v>
      </c>
      <c r="S21" s="58">
        <v>0.98</v>
      </c>
      <c r="T21" s="58">
        <v>1</v>
      </c>
      <c r="U21" s="59">
        <v>1</v>
      </c>
      <c r="V21" s="23"/>
    </row>
    <row r="22" spans="1:22" ht="15.75" x14ac:dyDescent="0.25">
      <c r="A22" s="1">
        <v>22</v>
      </c>
      <c r="B22" s="1" t="s">
        <v>286</v>
      </c>
      <c r="C22" s="1"/>
      <c r="D22" s="1"/>
      <c r="E22" s="38">
        <v>0.01</v>
      </c>
      <c r="F22" s="58">
        <v>0.04</v>
      </c>
      <c r="G22" s="58">
        <v>0.1</v>
      </c>
      <c r="H22" s="58">
        <v>0.24</v>
      </c>
      <c r="I22" s="59">
        <v>0.4</v>
      </c>
      <c r="J22" s="58">
        <v>0.52</v>
      </c>
      <c r="K22" s="58">
        <v>0.62</v>
      </c>
      <c r="L22" s="58">
        <v>0.69</v>
      </c>
      <c r="M22" s="59">
        <v>0.75</v>
      </c>
      <c r="N22" s="58">
        <v>0.8</v>
      </c>
      <c r="O22" s="58">
        <v>0.85</v>
      </c>
      <c r="P22" s="58">
        <v>0.9</v>
      </c>
      <c r="Q22" s="59">
        <v>0.92</v>
      </c>
      <c r="R22" s="58">
        <v>0.95</v>
      </c>
      <c r="S22" s="58">
        <v>0.98</v>
      </c>
      <c r="T22" s="58">
        <v>1</v>
      </c>
      <c r="U22" s="59">
        <v>1</v>
      </c>
      <c r="V22" s="23"/>
    </row>
    <row r="23" spans="1:22" ht="15.75" x14ac:dyDescent="0.25">
      <c r="A23" s="1">
        <v>23</v>
      </c>
      <c r="B23" s="1" t="s">
        <v>285</v>
      </c>
      <c r="C23" s="1"/>
      <c r="D23" s="1"/>
      <c r="E23" s="38">
        <v>0</v>
      </c>
      <c r="F23" s="58">
        <v>0</v>
      </c>
      <c r="G23" s="58">
        <v>0</v>
      </c>
      <c r="H23" s="58">
        <v>0.01</v>
      </c>
      <c r="I23" s="59">
        <v>0.04</v>
      </c>
      <c r="J23" s="58">
        <v>0.08</v>
      </c>
      <c r="K23" s="58">
        <v>0.13</v>
      </c>
      <c r="L23" s="58">
        <v>0.34</v>
      </c>
      <c r="M23" s="59">
        <v>0.6</v>
      </c>
      <c r="N23" s="58">
        <v>0.85</v>
      </c>
      <c r="O23" s="58">
        <v>0.95</v>
      </c>
      <c r="P23" s="58">
        <v>0.98</v>
      </c>
      <c r="Q23" s="59">
        <v>1</v>
      </c>
      <c r="R23" s="58"/>
      <c r="S23" s="58"/>
      <c r="T23" s="58"/>
      <c r="U23" s="59"/>
      <c r="V23" s="23"/>
    </row>
    <row r="24" spans="1:22" ht="15.75" x14ac:dyDescent="0.25">
      <c r="A24" s="1">
        <v>24</v>
      </c>
      <c r="B24" s="1"/>
      <c r="C24" s="1"/>
      <c r="D24" s="1"/>
      <c r="E24" s="38"/>
      <c r="F24" s="33"/>
      <c r="G24" s="33"/>
      <c r="H24" s="33"/>
      <c r="I24" s="61"/>
      <c r="J24" s="33"/>
      <c r="K24" s="33"/>
      <c r="L24" s="33"/>
      <c r="M24" s="61"/>
      <c r="N24" s="33"/>
      <c r="O24" s="33"/>
      <c r="P24" s="33"/>
      <c r="Q24" s="61"/>
      <c r="R24" s="33"/>
      <c r="S24" s="33"/>
      <c r="T24" s="33"/>
      <c r="U24" s="61"/>
      <c r="V24" s="23"/>
    </row>
    <row r="25" spans="1:22" ht="15.75" x14ac:dyDescent="0.25">
      <c r="A25" s="1">
        <v>25</v>
      </c>
      <c r="B25" s="1" t="s">
        <v>287</v>
      </c>
      <c r="C25" s="1"/>
      <c r="D25" s="1"/>
      <c r="E25" s="38">
        <v>0</v>
      </c>
      <c r="F25" s="58">
        <v>0</v>
      </c>
      <c r="G25" s="58">
        <v>0</v>
      </c>
      <c r="H25" s="58">
        <v>0</v>
      </c>
      <c r="I25" s="59">
        <v>0</v>
      </c>
      <c r="J25" s="58">
        <v>0.01</v>
      </c>
      <c r="K25" s="58">
        <v>0.02</v>
      </c>
      <c r="L25" s="58">
        <v>0.04</v>
      </c>
      <c r="M25" s="59">
        <v>7.0000000000000007E-2</v>
      </c>
      <c r="N25" s="58">
        <v>0.12</v>
      </c>
      <c r="O25" s="58">
        <v>0.2</v>
      </c>
      <c r="P25" s="58">
        <v>0.33</v>
      </c>
      <c r="Q25" s="59">
        <v>0.6</v>
      </c>
      <c r="R25" s="58">
        <v>0.87</v>
      </c>
      <c r="S25" s="58">
        <v>0.97</v>
      </c>
      <c r="T25" s="58">
        <v>1</v>
      </c>
      <c r="U25" s="59">
        <v>1</v>
      </c>
      <c r="V25" s="23"/>
    </row>
    <row r="26" spans="1:22" x14ac:dyDescent="0.2">
      <c r="A26" s="1">
        <v>26</v>
      </c>
      <c r="B26" s="1"/>
      <c r="C26" s="1"/>
      <c r="D26" s="1"/>
      <c r="E26" s="9"/>
      <c r="F26" s="9"/>
      <c r="G26" s="3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"/>
    </row>
    <row r="27" spans="1:22" ht="15.75" x14ac:dyDescent="0.25">
      <c r="A27" s="1">
        <v>27</v>
      </c>
      <c r="B27" s="62"/>
      <c r="C27" s="62"/>
      <c r="D27" s="6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1.6" customHeight="1" x14ac:dyDescent="0.25">
      <c r="A28" s="1">
        <v>28</v>
      </c>
      <c r="B28" s="138" t="s">
        <v>288</v>
      </c>
      <c r="C28" s="62"/>
      <c r="D28" s="6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>
        <v>29</v>
      </c>
      <c r="B29" s="1" t="s">
        <v>289</v>
      </c>
      <c r="C29" s="1"/>
      <c r="D29" s="1"/>
      <c r="E29" s="32">
        <f>IF(E21=1,0,(+E21-D21)*$F7)/1000</f>
        <v>280.66500000000002</v>
      </c>
      <c r="F29" s="32">
        <f t="shared" ref="F29:U29" si="0">IF(E21=1,0,(+F21-E21)*$F7)/1000</f>
        <v>1403.3249999999998</v>
      </c>
      <c r="G29" s="32">
        <f t="shared" si="0"/>
        <v>1683.99</v>
      </c>
      <c r="H29" s="32">
        <f t="shared" si="0"/>
        <v>3367.98</v>
      </c>
      <c r="I29" s="64">
        <f t="shared" si="0"/>
        <v>3367.98</v>
      </c>
      <c r="J29" s="32">
        <f t="shared" si="0"/>
        <v>5051.9700000000012</v>
      </c>
      <c r="K29" s="32">
        <f t="shared" si="0"/>
        <v>6174.6299999999992</v>
      </c>
      <c r="L29" s="32">
        <f t="shared" si="0"/>
        <v>7858.6200000000008</v>
      </c>
      <c r="M29" s="64">
        <f t="shared" si="0"/>
        <v>7297.29</v>
      </c>
      <c r="N29" s="32">
        <f t="shared" si="0"/>
        <v>5051.9699999999984</v>
      </c>
      <c r="O29" s="32">
        <f t="shared" si="0"/>
        <v>3367.9800000000027</v>
      </c>
      <c r="P29" s="32">
        <f t="shared" si="0"/>
        <v>3929.3099999999972</v>
      </c>
      <c r="Q29" s="64">
        <f t="shared" si="0"/>
        <v>2245.320000000002</v>
      </c>
      <c r="R29" s="32">
        <f t="shared" si="0"/>
        <v>2245.3199999999956</v>
      </c>
      <c r="S29" s="32">
        <f t="shared" si="0"/>
        <v>1683.9900000000014</v>
      </c>
      <c r="T29" s="32">
        <f t="shared" si="0"/>
        <v>1122.660000000001</v>
      </c>
      <c r="U29" s="64">
        <f t="shared" si="0"/>
        <v>0</v>
      </c>
      <c r="V29" s="23"/>
    </row>
    <row r="30" spans="1:22" x14ac:dyDescent="0.2">
      <c r="A30" s="1">
        <v>30</v>
      </c>
      <c r="B30" s="1" t="s">
        <v>293</v>
      </c>
      <c r="C30" s="1"/>
      <c r="D30" s="1"/>
      <c r="E30" s="32">
        <f>IF(E22=1,0,(+E22-D22)*$F8)/1000</f>
        <v>1426.194</v>
      </c>
      <c r="F30" s="32">
        <f t="shared" ref="F30:U30" si="1">IF(E22=1,0,(+F22-E22)*$F8)/1000</f>
        <v>4278.5820000000003</v>
      </c>
      <c r="G30" s="32">
        <f t="shared" si="1"/>
        <v>8557.1640000000007</v>
      </c>
      <c r="H30" s="32">
        <f t="shared" si="1"/>
        <v>19966.715999999997</v>
      </c>
      <c r="I30" s="64">
        <f t="shared" si="1"/>
        <v>22819.104000000003</v>
      </c>
      <c r="J30" s="32">
        <f t="shared" si="1"/>
        <v>17114.328000000001</v>
      </c>
      <c r="K30" s="32">
        <f t="shared" si="1"/>
        <v>14261.939999999997</v>
      </c>
      <c r="L30" s="32">
        <f t="shared" si="1"/>
        <v>9983.3579999999929</v>
      </c>
      <c r="M30" s="64">
        <f t="shared" si="1"/>
        <v>8557.1640000000079</v>
      </c>
      <c r="N30" s="32">
        <f t="shared" si="1"/>
        <v>7130.9700000000066</v>
      </c>
      <c r="O30" s="32">
        <f t="shared" si="1"/>
        <v>7130.9699999999903</v>
      </c>
      <c r="P30" s="32">
        <f t="shared" si="1"/>
        <v>7130.9700000000066</v>
      </c>
      <c r="Q30" s="64">
        <f t="shared" si="1"/>
        <v>2852.3880000000022</v>
      </c>
      <c r="R30" s="32">
        <f t="shared" si="1"/>
        <v>4278.5819999999876</v>
      </c>
      <c r="S30" s="32">
        <f t="shared" si="1"/>
        <v>4278.582000000004</v>
      </c>
      <c r="T30" s="32">
        <f t="shared" si="1"/>
        <v>2852.3880000000022</v>
      </c>
      <c r="U30" s="64">
        <f t="shared" si="1"/>
        <v>0</v>
      </c>
      <c r="V30" s="23"/>
    </row>
    <row r="31" spans="1:22" ht="15.6" customHeight="1" thickBot="1" x14ac:dyDescent="0.25">
      <c r="A31" s="1">
        <v>31</v>
      </c>
      <c r="B31" s="137" t="s">
        <v>285</v>
      </c>
      <c r="D31" s="1"/>
      <c r="E31" s="32">
        <f>IF(E23=1,0,(+E23-D23)*$F9)/1000</f>
        <v>0</v>
      </c>
      <c r="F31" s="32">
        <f t="shared" ref="F31:U31" si="2">IF(E23=1,0,(+F23-E23)*$F9)/1000</f>
        <v>0</v>
      </c>
      <c r="G31" s="32">
        <f t="shared" si="2"/>
        <v>0</v>
      </c>
      <c r="H31" s="32">
        <f t="shared" si="2"/>
        <v>10</v>
      </c>
      <c r="I31" s="64">
        <f t="shared" si="2"/>
        <v>30</v>
      </c>
      <c r="J31" s="32">
        <f t="shared" si="2"/>
        <v>40</v>
      </c>
      <c r="K31" s="32">
        <f t="shared" si="2"/>
        <v>50</v>
      </c>
      <c r="L31" s="32">
        <f t="shared" si="2"/>
        <v>210.00000000000003</v>
      </c>
      <c r="M31" s="64">
        <f t="shared" si="2"/>
        <v>259.99999999999994</v>
      </c>
      <c r="N31" s="32">
        <f t="shared" si="2"/>
        <v>250</v>
      </c>
      <c r="O31" s="32">
        <f t="shared" si="2"/>
        <v>99.999999999999972</v>
      </c>
      <c r="P31" s="32">
        <f t="shared" si="2"/>
        <v>30.000000000000025</v>
      </c>
      <c r="Q31" s="64">
        <f t="shared" si="2"/>
        <v>20.000000000000018</v>
      </c>
      <c r="R31" s="32">
        <f t="shared" si="2"/>
        <v>0</v>
      </c>
      <c r="S31" s="32">
        <f t="shared" si="2"/>
        <v>0</v>
      </c>
      <c r="T31" s="32">
        <f t="shared" si="2"/>
        <v>0</v>
      </c>
      <c r="U31" s="64">
        <f t="shared" si="2"/>
        <v>0</v>
      </c>
      <c r="V31" s="23"/>
    </row>
    <row r="32" spans="1:22" ht="15.75" thickTop="1" x14ac:dyDescent="0.2">
      <c r="A32" s="1">
        <v>32</v>
      </c>
      <c r="B32" s="1" t="s">
        <v>290</v>
      </c>
      <c r="C32" s="1"/>
      <c r="D32" s="1"/>
      <c r="E32" s="56">
        <f t="shared" ref="E32:U32" si="3">SUM(E29:E31)</f>
        <v>1706.8589999999999</v>
      </c>
      <c r="F32" s="56">
        <f t="shared" si="3"/>
        <v>5681.9070000000002</v>
      </c>
      <c r="G32" s="56">
        <f t="shared" si="3"/>
        <v>10241.154</v>
      </c>
      <c r="H32" s="56">
        <f t="shared" si="3"/>
        <v>23344.695999999996</v>
      </c>
      <c r="I32" s="67">
        <f t="shared" si="3"/>
        <v>26217.084000000003</v>
      </c>
      <c r="J32" s="56">
        <f t="shared" si="3"/>
        <v>22206.298000000003</v>
      </c>
      <c r="K32" s="56">
        <f t="shared" si="3"/>
        <v>20486.569999999996</v>
      </c>
      <c r="L32" s="56">
        <f t="shared" si="3"/>
        <v>18051.977999999996</v>
      </c>
      <c r="M32" s="67">
        <f t="shared" si="3"/>
        <v>16114.454000000009</v>
      </c>
      <c r="N32" s="56">
        <f t="shared" si="3"/>
        <v>12432.940000000006</v>
      </c>
      <c r="O32" s="56">
        <f t="shared" si="3"/>
        <v>10598.949999999993</v>
      </c>
      <c r="P32" s="56">
        <f t="shared" si="3"/>
        <v>11090.280000000004</v>
      </c>
      <c r="Q32" s="67">
        <f t="shared" si="3"/>
        <v>5117.7080000000042</v>
      </c>
      <c r="R32" s="56">
        <f t="shared" si="3"/>
        <v>6523.9019999999837</v>
      </c>
      <c r="S32" s="56">
        <f t="shared" si="3"/>
        <v>5962.5720000000056</v>
      </c>
      <c r="T32" s="56">
        <f t="shared" si="3"/>
        <v>3975.0480000000034</v>
      </c>
      <c r="U32" s="67">
        <f t="shared" si="3"/>
        <v>0</v>
      </c>
      <c r="V32" s="23"/>
    </row>
    <row r="33" spans="1:22" ht="15.75" thickBot="1" x14ac:dyDescent="0.25">
      <c r="A33" s="1">
        <v>33</v>
      </c>
      <c r="B33" s="1" t="s">
        <v>291</v>
      </c>
      <c r="C33" s="1"/>
      <c r="D33" s="1"/>
      <c r="E33" s="32">
        <f>E32*((1+$H$15)^(1/4*E$20)-1)</f>
        <v>16.818375648766377</v>
      </c>
      <c r="F33" s="32">
        <f>F32*((1+$H$15)^(1/4*F$20)-1)</f>
        <v>112.52393348388823</v>
      </c>
      <c r="G33" s="32">
        <f>G32*((1+$I$15)^(1/4*G$20)-1)</f>
        <v>305.72348828575241</v>
      </c>
      <c r="H33" s="68">
        <f>H32*((1+$I$15)^(1/4*H$20)-1)</f>
        <v>933.78784000000064</v>
      </c>
      <c r="I33" s="32">
        <f>I32*((1+$I$15)^(1/4*I$20)-1)</f>
        <v>1317.3440506676875</v>
      </c>
      <c r="J33" s="32">
        <f>J32*((1+$I$15)^(1/4*J$20)-1)</f>
        <v>1345.6141399445401</v>
      </c>
      <c r="K33" s="32">
        <f>K32*((1+$J$15)^(1/4*K$20)-1)</f>
        <v>1455.4999760005428</v>
      </c>
      <c r="L33" s="68">
        <f>L32*((1+$J$15)^(1/4*L$20)-1)</f>
        <v>1473.0414048000018</v>
      </c>
      <c r="M33" s="32">
        <f>M32*((1+$J$15)^(1/4*M$20)-1)</f>
        <v>1486.6783459293151</v>
      </c>
      <c r="N33" s="32">
        <f>N32*((1+$J$15)^(1/4*N$20)-1)</f>
        <v>1280.8402501817359</v>
      </c>
      <c r="O33" s="32">
        <f>O32*((1+$K$15)^(1/4*O$20)-1)</f>
        <v>1207.0975069773117</v>
      </c>
      <c r="P33" s="68">
        <f>P32*((1+$K$15)^(1/4*P$20)-1)</f>
        <v>1384.7767219200016</v>
      </c>
      <c r="Q33" s="32">
        <f>Q32*((1+$K$15)^(1/4*Q$20)-1)</f>
        <v>695.74084837265207</v>
      </c>
      <c r="R33" s="32">
        <f>R32*((1+$K$15)^(1/4*R$20)-1)</f>
        <v>959.93148892457759</v>
      </c>
      <c r="S33" s="32">
        <f>S32*((1+$L$15)^(1/4*S$20)-1)</f>
        <v>944.7334054980588</v>
      </c>
      <c r="T33" s="68">
        <f>T32*((1+$L$15)^(1/4*T$20)-1)</f>
        <v>675.19592921088145</v>
      </c>
      <c r="U33" s="32">
        <f>U32*((1+$L$15)^(1/4*U$20)-1)</f>
        <v>0</v>
      </c>
      <c r="V33" s="23"/>
    </row>
    <row r="34" spans="1:22" ht="15.75" thickTop="1" x14ac:dyDescent="0.2">
      <c r="A34" s="1">
        <v>34</v>
      </c>
      <c r="B34" s="1" t="s">
        <v>292</v>
      </c>
      <c r="C34" s="1"/>
      <c r="D34" s="1"/>
      <c r="E34" s="56">
        <f t="shared" ref="E34:U34" si="4">E32+E33</f>
        <v>1723.6773756487662</v>
      </c>
      <c r="F34" s="56">
        <f t="shared" si="4"/>
        <v>5794.4309334838881</v>
      </c>
      <c r="G34" s="56">
        <f t="shared" si="4"/>
        <v>10546.877488285752</v>
      </c>
      <c r="H34" s="56">
        <f t="shared" si="4"/>
        <v>24278.483839999997</v>
      </c>
      <c r="I34" s="67">
        <f t="shared" si="4"/>
        <v>27534.428050667691</v>
      </c>
      <c r="J34" s="56">
        <f t="shared" si="4"/>
        <v>23551.912139944543</v>
      </c>
      <c r="K34" s="56">
        <f t="shared" si="4"/>
        <v>21942.069976000537</v>
      </c>
      <c r="L34" s="56">
        <f t="shared" si="4"/>
        <v>19525.019404799998</v>
      </c>
      <c r="M34" s="67">
        <f t="shared" si="4"/>
        <v>17601.132345929323</v>
      </c>
      <c r="N34" s="56">
        <f t="shared" si="4"/>
        <v>13713.780250181742</v>
      </c>
      <c r="O34" s="56">
        <f t="shared" si="4"/>
        <v>11806.047506977306</v>
      </c>
      <c r="P34" s="56">
        <f t="shared" si="4"/>
        <v>12475.056721920006</v>
      </c>
      <c r="Q34" s="67">
        <f t="shared" si="4"/>
        <v>5813.4488483726564</v>
      </c>
      <c r="R34" s="56">
        <f t="shared" si="4"/>
        <v>7483.8334889245616</v>
      </c>
      <c r="S34" s="56">
        <f t="shared" si="4"/>
        <v>6907.3054054980639</v>
      </c>
      <c r="T34" s="56">
        <f t="shared" si="4"/>
        <v>4650.2439292108847</v>
      </c>
      <c r="U34" s="67">
        <f t="shared" si="4"/>
        <v>0</v>
      </c>
      <c r="V34" s="23"/>
    </row>
    <row r="35" spans="1:22" ht="22.15" customHeight="1" x14ac:dyDescent="0.25">
      <c r="A35" s="1">
        <v>35</v>
      </c>
      <c r="B35" s="62" t="s">
        <v>294</v>
      </c>
      <c r="C35" s="1"/>
      <c r="D35" s="1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"/>
    </row>
    <row r="36" spans="1:22" x14ac:dyDescent="0.2">
      <c r="A36" s="1">
        <v>36</v>
      </c>
      <c r="B36" s="1" t="s">
        <v>297</v>
      </c>
      <c r="C36" s="1"/>
      <c r="D36" s="1"/>
      <c r="E36" s="32">
        <f>IF(E25=1,0,(+E25-D25)*$F12)/1000</f>
        <v>0</v>
      </c>
      <c r="F36" s="32">
        <f t="shared" ref="F36:U36" si="5">IF(E25=1,0,(+F25-E25)*$F12)/1000</f>
        <v>0</v>
      </c>
      <c r="G36" s="32">
        <f t="shared" si="5"/>
        <v>0</v>
      </c>
      <c r="H36" s="32">
        <f t="shared" si="5"/>
        <v>0</v>
      </c>
      <c r="I36" s="64">
        <f t="shared" si="5"/>
        <v>0</v>
      </c>
      <c r="J36" s="32">
        <f t="shared" si="5"/>
        <v>5164.6950000000024</v>
      </c>
      <c r="K36" s="32">
        <f t="shared" si="5"/>
        <v>5164.6950000000024</v>
      </c>
      <c r="L36" s="32">
        <f t="shared" si="5"/>
        <v>10329.390000000005</v>
      </c>
      <c r="M36" s="64">
        <f t="shared" si="5"/>
        <v>15494.08500000001</v>
      </c>
      <c r="N36" s="32">
        <f t="shared" si="5"/>
        <v>25823.475000000006</v>
      </c>
      <c r="O36" s="32">
        <f t="shared" si="5"/>
        <v>41317.560000000027</v>
      </c>
      <c r="P36" s="32">
        <f t="shared" si="5"/>
        <v>67141.035000000033</v>
      </c>
      <c r="Q36" s="64">
        <f t="shared" si="5"/>
        <v>139446.76500000007</v>
      </c>
      <c r="R36" s="32">
        <f t="shared" si="5"/>
        <v>139446.76500000007</v>
      </c>
      <c r="S36" s="32">
        <f t="shared" si="5"/>
        <v>51646.950000000012</v>
      </c>
      <c r="T36" s="32">
        <f t="shared" si="5"/>
        <v>15494.085000000021</v>
      </c>
      <c r="U36" s="64">
        <f t="shared" si="5"/>
        <v>0</v>
      </c>
      <c r="V36" s="23"/>
    </row>
    <row r="37" spans="1:22" ht="15.75" thickBot="1" x14ac:dyDescent="0.25">
      <c r="A37" s="1">
        <v>37</v>
      </c>
      <c r="B37" s="1" t="s">
        <v>295</v>
      </c>
      <c r="C37" s="1"/>
      <c r="D37" s="1"/>
      <c r="E37" s="32">
        <f>E36*((1+$H$15)^(1/4*E$20)-1)</f>
        <v>0</v>
      </c>
      <c r="F37" s="32">
        <f>F36*((1+$H$15)^(1/4*F$20)-1)</f>
        <v>0</v>
      </c>
      <c r="G37" s="32">
        <f>G36*((1+$I$15)^(1/4*G$20)-1)</f>
        <v>0</v>
      </c>
      <c r="H37" s="68">
        <f>H36*((1+$I$15)^(1/4*H$20)-1)</f>
        <v>0</v>
      </c>
      <c r="I37" s="32">
        <f>I36*((1+$I$15)^(1/4*I$20)-1)</f>
        <v>0</v>
      </c>
      <c r="J37" s="32">
        <f>J36*((1+$I$15)^(1/4*J$20)-1)</f>
        <v>312.96016204505895</v>
      </c>
      <c r="K37" s="32">
        <f>K36*((1+$J$15)^(1/4*K$20)-1)</f>
        <v>366.93372529174616</v>
      </c>
      <c r="L37" s="68">
        <f>L36*((1+$J$15)^(1/4*L$20)-1)</f>
        <v>842.87822400000164</v>
      </c>
      <c r="M37" s="32">
        <f>M36*((1+$J$15)^(1/4*M$20)-1)</f>
        <v>1429.4446873278</v>
      </c>
      <c r="N37" s="32">
        <f>N36*((1+$J$15)^(1/4*N$20)-1)</f>
        <v>2660.331842634308</v>
      </c>
      <c r="O37" s="32">
        <f>O36*((1+$K$15)^(1/4*O$20)-1)</f>
        <v>4705.5909944273308</v>
      </c>
      <c r="P37" s="68">
        <f>P36*((1+$K$15)^(1/4*P$20)-1)</f>
        <v>8383.49819424001</v>
      </c>
      <c r="Q37" s="32">
        <f>Q36*((1+$K$15)^(1/4*Q$20)-1)</f>
        <v>18957.472873388208</v>
      </c>
      <c r="R37" s="32">
        <f>R36*((1+$K$15)^(1/4*R$20)-1)</f>
        <v>20518.294228234281</v>
      </c>
      <c r="S37" s="32">
        <f>S36*((1+$L$15)^(1/4*S$20)-1)</f>
        <v>8183.1462927555312</v>
      </c>
      <c r="T37" s="68">
        <f>T36*((1+$L$15)^(1/4*T$20)-1)</f>
        <v>2631.8029666176067</v>
      </c>
      <c r="U37" s="32">
        <f>U36*((1+$L$15)^(1/4*U$20)-1)</f>
        <v>0</v>
      </c>
      <c r="V37" s="23"/>
    </row>
    <row r="38" spans="1:22" ht="15.75" thickTop="1" x14ac:dyDescent="0.2">
      <c r="A38" s="1">
        <v>38</v>
      </c>
      <c r="B38" s="1" t="s">
        <v>296</v>
      </c>
      <c r="C38" s="1"/>
      <c r="D38" s="1"/>
      <c r="E38" s="39">
        <f t="shared" ref="E38:U38" si="6">E37+E36</f>
        <v>0</v>
      </c>
      <c r="F38" s="56">
        <f t="shared" si="6"/>
        <v>0</v>
      </c>
      <c r="G38" s="56">
        <f t="shared" si="6"/>
        <v>0</v>
      </c>
      <c r="H38" s="56">
        <f t="shared" si="6"/>
        <v>0</v>
      </c>
      <c r="I38" s="67">
        <f t="shared" si="6"/>
        <v>0</v>
      </c>
      <c r="J38" s="56">
        <f t="shared" si="6"/>
        <v>5477.6551620450609</v>
      </c>
      <c r="K38" s="56">
        <f t="shared" si="6"/>
        <v>5531.6287252917482</v>
      </c>
      <c r="L38" s="56">
        <f t="shared" si="6"/>
        <v>11172.268224000007</v>
      </c>
      <c r="M38" s="67">
        <f t="shared" si="6"/>
        <v>16923.529687327809</v>
      </c>
      <c r="N38" s="56">
        <f t="shared" si="6"/>
        <v>28483.806842634312</v>
      </c>
      <c r="O38" s="56">
        <f t="shared" si="6"/>
        <v>46023.150994427357</v>
      </c>
      <c r="P38" s="56">
        <f t="shared" si="6"/>
        <v>75524.533194240037</v>
      </c>
      <c r="Q38" s="67">
        <f t="shared" si="6"/>
        <v>158404.23787338828</v>
      </c>
      <c r="R38" s="56">
        <f t="shared" si="6"/>
        <v>159965.05922823434</v>
      </c>
      <c r="S38" s="56">
        <f t="shared" si="6"/>
        <v>59830.096292755545</v>
      </c>
      <c r="T38" s="56">
        <f t="shared" si="6"/>
        <v>18125.887966617629</v>
      </c>
      <c r="U38" s="67">
        <f t="shared" si="6"/>
        <v>0</v>
      </c>
      <c r="V38" s="23"/>
    </row>
    <row r="39" spans="1:22" ht="19.899999999999999" customHeight="1" x14ac:dyDescent="0.25">
      <c r="A39" s="1">
        <v>39</v>
      </c>
      <c r="B39" s="62" t="s">
        <v>298</v>
      </c>
      <c r="C39" s="62"/>
      <c r="D39" s="1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"/>
    </row>
    <row r="40" spans="1:22" x14ac:dyDescent="0.2">
      <c r="A40" s="1">
        <v>40</v>
      </c>
      <c r="B40" s="1" t="s">
        <v>299</v>
      </c>
      <c r="C40" s="1"/>
      <c r="D40" s="1"/>
      <c r="E40" s="32">
        <f t="shared" ref="E40:U40" si="7">E38-E34</f>
        <v>-1723.6773756487662</v>
      </c>
      <c r="F40" s="32">
        <f t="shared" si="7"/>
        <v>-5794.4309334838881</v>
      </c>
      <c r="G40" s="32">
        <f t="shared" si="7"/>
        <v>-10546.877488285752</v>
      </c>
      <c r="H40" s="32">
        <f t="shared" si="7"/>
        <v>-24278.483839999997</v>
      </c>
      <c r="I40" s="64">
        <f t="shared" si="7"/>
        <v>-27534.428050667691</v>
      </c>
      <c r="J40" s="32">
        <f t="shared" si="7"/>
        <v>-18074.25697789948</v>
      </c>
      <c r="K40" s="32">
        <f t="shared" si="7"/>
        <v>-16410.441250708791</v>
      </c>
      <c r="L40" s="32">
        <f t="shared" si="7"/>
        <v>-8352.7511807999908</v>
      </c>
      <c r="M40" s="64">
        <f t="shared" si="7"/>
        <v>-677.60265860151412</v>
      </c>
      <c r="N40" s="32">
        <f t="shared" si="7"/>
        <v>14770.02659245257</v>
      </c>
      <c r="O40" s="32">
        <f t="shared" si="7"/>
        <v>34217.103487450047</v>
      </c>
      <c r="P40" s="32">
        <f t="shared" si="7"/>
        <v>63049.476472320035</v>
      </c>
      <c r="Q40" s="64">
        <f t="shared" si="7"/>
        <v>152590.78902501563</v>
      </c>
      <c r="R40" s="32">
        <f t="shared" si="7"/>
        <v>152481.22573930977</v>
      </c>
      <c r="S40" s="32">
        <f t="shared" si="7"/>
        <v>52922.790887257477</v>
      </c>
      <c r="T40" s="32">
        <f t="shared" si="7"/>
        <v>13475.644037406744</v>
      </c>
      <c r="U40" s="64">
        <f t="shared" si="7"/>
        <v>0</v>
      </c>
      <c r="V40" s="23"/>
    </row>
    <row r="41" spans="1:22" x14ac:dyDescent="0.2">
      <c r="A41" s="1">
        <v>41</v>
      </c>
      <c r="B41" s="1" t="s">
        <v>300</v>
      </c>
      <c r="C41" s="1"/>
      <c r="D41" s="1"/>
      <c r="E41" s="32">
        <f>SUM($E$40:E40)</f>
        <v>-1723.6773756487662</v>
      </c>
      <c r="F41" s="32">
        <f>SUM($E$40:F40)</f>
        <v>-7518.1083091326545</v>
      </c>
      <c r="G41" s="32">
        <f>SUM($E$40:G40)</f>
        <v>-18064.985797418405</v>
      </c>
      <c r="H41" s="68">
        <f>SUM($E$40:H40)</f>
        <v>-42343.469637418399</v>
      </c>
      <c r="I41" s="32">
        <f>SUM($E$40:I40)</f>
        <v>-69877.897688086086</v>
      </c>
      <c r="J41" s="32">
        <f>SUM($E$40:J40)</f>
        <v>-87952.154665985567</v>
      </c>
      <c r="K41" s="32">
        <f>SUM($E$40:K40)</f>
        <v>-104362.59591669435</v>
      </c>
      <c r="L41" s="68">
        <f>SUM($E$40:L40)</f>
        <v>-112715.34709749435</v>
      </c>
      <c r="M41" s="32">
        <f>SUM($E$40:M40)</f>
        <v>-113392.94975609586</v>
      </c>
      <c r="N41" s="32">
        <f>SUM($E$40:N40)</f>
        <v>-98622.923163643281</v>
      </c>
      <c r="O41" s="32">
        <f>SUM($E$40:O40)</f>
        <v>-64405.819676193234</v>
      </c>
      <c r="P41" s="68">
        <f>SUM($E$40:P40)</f>
        <v>-1356.3432038731989</v>
      </c>
      <c r="Q41" s="32">
        <f>SUM($E$40:Q40)</f>
        <v>151234.44582114244</v>
      </c>
      <c r="R41" s="32">
        <f>SUM($E$40:R40)</f>
        <v>303715.6715604522</v>
      </c>
      <c r="S41" s="32">
        <f>SUM($E$40:S40)</f>
        <v>356638.46244770969</v>
      </c>
      <c r="T41" s="68">
        <f>SUM($E$40:T40)</f>
        <v>370114.10648511641</v>
      </c>
      <c r="U41" s="32">
        <f>SUM($E$40:U40)</f>
        <v>370114.10648511641</v>
      </c>
      <c r="V41" s="23"/>
    </row>
    <row r="42" spans="1:22" x14ac:dyDescent="0.2">
      <c r="A42" s="1">
        <v>42</v>
      </c>
      <c r="B42" s="1" t="s">
        <v>301</v>
      </c>
      <c r="C42" s="1"/>
      <c r="D42" s="1"/>
      <c r="E42" s="32">
        <f t="shared" ref="E42:U42" si="8">IF(E41&lt;0,+E41*(($F$14+1)^(1/4)-1),0)</f>
        <v>-33.485099392770522</v>
      </c>
      <c r="F42" s="32">
        <f t="shared" si="8"/>
        <v>-146.05088372884629</v>
      </c>
      <c r="G42" s="32">
        <f t="shared" si="8"/>
        <v>-350.9402939908432</v>
      </c>
      <c r="H42" s="68">
        <f t="shared" si="8"/>
        <v>-822.58739917036326</v>
      </c>
      <c r="I42" s="32">
        <f t="shared" si="8"/>
        <v>-1357.4862572891409</v>
      </c>
      <c r="J42" s="32">
        <f t="shared" si="8"/>
        <v>-1708.6066583024947</v>
      </c>
      <c r="K42" s="32">
        <f t="shared" si="8"/>
        <v>-2027.4048650448553</v>
      </c>
      <c r="L42" s="68">
        <f t="shared" si="8"/>
        <v>-2189.6699776718033</v>
      </c>
      <c r="M42" s="32">
        <f t="shared" si="8"/>
        <v>-2202.8334575042963</v>
      </c>
      <c r="N42" s="32">
        <f t="shared" si="8"/>
        <v>-1915.9028430695694</v>
      </c>
      <c r="O42" s="32">
        <f t="shared" si="8"/>
        <v>-1251.1826771053722</v>
      </c>
      <c r="P42" s="68">
        <f t="shared" si="8"/>
        <v>-26.349064873760668</v>
      </c>
      <c r="Q42" s="32">
        <f t="shared" si="8"/>
        <v>0</v>
      </c>
      <c r="R42" s="32">
        <f t="shared" si="8"/>
        <v>0</v>
      </c>
      <c r="S42" s="32">
        <f t="shared" si="8"/>
        <v>0</v>
      </c>
      <c r="T42" s="68">
        <f t="shared" si="8"/>
        <v>0</v>
      </c>
      <c r="U42" s="32">
        <f t="shared" si="8"/>
        <v>0</v>
      </c>
      <c r="V42" s="23"/>
    </row>
    <row r="43" spans="1:22" x14ac:dyDescent="0.2">
      <c r="A43" s="1">
        <v>43</v>
      </c>
      <c r="B43" s="1"/>
      <c r="C43" s="1"/>
      <c r="D43" s="1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"/>
    </row>
    <row r="44" spans="1:22" x14ac:dyDescent="0.2">
      <c r="A44" s="1">
        <v>44</v>
      </c>
      <c r="B44" s="1" t="s">
        <v>302</v>
      </c>
      <c r="D44" s="1"/>
      <c r="E44" s="1"/>
      <c r="F44" s="26">
        <f>SUM(E42:T42)</f>
        <v>-14032.499477144118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">
      <c r="A45" s="1">
        <v>45</v>
      </c>
      <c r="B45" s="1" t="s">
        <v>303</v>
      </c>
      <c r="D45" s="1"/>
      <c r="E45" s="1"/>
      <c r="F45" s="71">
        <f>F44*-1/SUM(F7:F9)*1000</f>
        <v>7.024946622490702E-2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">
      <c r="A46" s="1">
        <v>46</v>
      </c>
      <c r="B46" s="1" t="s">
        <v>304</v>
      </c>
      <c r="D46" s="1"/>
      <c r="E46" s="1"/>
      <c r="F46" s="26">
        <f>SUM(E33:T33)</f>
        <v>15595.347705845716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1">
        <v>47</v>
      </c>
      <c r="B47" s="1" t="s">
        <v>305</v>
      </c>
      <c r="D47" s="1"/>
      <c r="E47" s="1"/>
      <c r="F47" s="71">
        <f>F46/SUM(F7:F9)*1000</f>
        <v>7.8073393390245702E-2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">
      <c r="A48" s="1">
        <v>48</v>
      </c>
      <c r="B48" s="1" t="s">
        <v>306</v>
      </c>
      <c r="C48" s="1"/>
      <c r="D48" s="1"/>
      <c r="E48" s="1"/>
      <c r="F48" s="26">
        <f>MIN(E41:T41)*(-1)</f>
        <v>113392.94975609586</v>
      </c>
      <c r="G48" s="1" t="s">
        <v>84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">
      <c r="A49" s="1">
        <v>49</v>
      </c>
      <c r="B49" s="1" t="s">
        <v>307</v>
      </c>
      <c r="C49" s="1"/>
      <c r="D49" s="1"/>
      <c r="E49" s="1"/>
      <c r="F49" s="71">
        <f>F48*1000/SUM(F7:F9)</f>
        <v>0.56766752117168984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">
      <c r="A50" s="1">
        <v>50</v>
      </c>
      <c r="B50" s="1" t="s">
        <v>308</v>
      </c>
      <c r="C50" s="1"/>
      <c r="D50" s="1"/>
      <c r="E50" s="1"/>
      <c r="F50" s="71">
        <f>F48/SUM(F7:F10)*1000</f>
        <v>0.21955400997754138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">
      <c r="A51" s="1">
        <v>51</v>
      </c>
      <c r="B51" s="1" t="s">
        <v>309</v>
      </c>
      <c r="C51" s="1"/>
      <c r="D51" s="80">
        <f>(1+IRR($E$51:$U$51,0.1))^4-1</f>
        <v>0.93967671038370271</v>
      </c>
      <c r="E51" s="32">
        <f t="shared" ref="E51:U51" si="9">E42+E40</f>
        <v>-1757.1624750415367</v>
      </c>
      <c r="F51" s="32">
        <f t="shared" si="9"/>
        <v>-5940.4818172127343</v>
      </c>
      <c r="G51" s="32">
        <f t="shared" si="9"/>
        <v>-10897.817782276596</v>
      </c>
      <c r="H51" s="68">
        <f t="shared" si="9"/>
        <v>-25101.07123917036</v>
      </c>
      <c r="I51" s="32">
        <f t="shared" si="9"/>
        <v>-28891.914307956831</v>
      </c>
      <c r="J51" s="32">
        <f t="shared" si="9"/>
        <v>-19782.863636201975</v>
      </c>
      <c r="K51" s="32">
        <f t="shared" si="9"/>
        <v>-18437.846115753648</v>
      </c>
      <c r="L51" s="68">
        <f t="shared" si="9"/>
        <v>-10542.421158471794</v>
      </c>
      <c r="M51" s="32">
        <f t="shared" si="9"/>
        <v>-2880.4361161058105</v>
      </c>
      <c r="N51" s="32">
        <f t="shared" si="9"/>
        <v>12854.123749383001</v>
      </c>
      <c r="O51" s="32">
        <f t="shared" si="9"/>
        <v>32965.920810344673</v>
      </c>
      <c r="P51" s="68">
        <f t="shared" si="9"/>
        <v>63023.127407446271</v>
      </c>
      <c r="Q51" s="32">
        <f t="shared" si="9"/>
        <v>152590.78902501563</v>
      </c>
      <c r="R51" s="32">
        <f t="shared" si="9"/>
        <v>152481.22573930977</v>
      </c>
      <c r="S51" s="32">
        <f t="shared" si="9"/>
        <v>52922.790887257477</v>
      </c>
      <c r="T51" s="68">
        <f t="shared" si="9"/>
        <v>13475.644037406744</v>
      </c>
      <c r="U51" s="32">
        <f t="shared" si="9"/>
        <v>0</v>
      </c>
      <c r="V51" s="23"/>
    </row>
    <row r="52" spans="1:22" x14ac:dyDescent="0.2">
      <c r="A52" s="1">
        <v>52</v>
      </c>
      <c r="B52" s="137" t="s">
        <v>310</v>
      </c>
      <c r="C52" s="1"/>
      <c r="D52" s="71">
        <f>(1+IRR(E52:U52,0.1))^4-1</f>
        <v>3.1312268003224064E-2</v>
      </c>
      <c r="E52" s="32">
        <f>F10*(-1)/1000+E51</f>
        <v>-318474.26247504173</v>
      </c>
      <c r="F52" s="32">
        <f t="shared" ref="F52:U52" si="10">F51</f>
        <v>-5940.4818172127343</v>
      </c>
      <c r="G52" s="32">
        <f t="shared" si="10"/>
        <v>-10897.817782276596</v>
      </c>
      <c r="H52" s="68">
        <f t="shared" si="10"/>
        <v>-25101.07123917036</v>
      </c>
      <c r="I52" s="32">
        <f t="shared" si="10"/>
        <v>-28891.914307956831</v>
      </c>
      <c r="J52" s="32">
        <f t="shared" si="10"/>
        <v>-19782.863636201975</v>
      </c>
      <c r="K52" s="32">
        <f t="shared" si="10"/>
        <v>-18437.846115753648</v>
      </c>
      <c r="L52" s="68">
        <f t="shared" si="10"/>
        <v>-10542.421158471794</v>
      </c>
      <c r="M52" s="32">
        <f t="shared" si="10"/>
        <v>-2880.4361161058105</v>
      </c>
      <c r="N52" s="32">
        <f t="shared" si="10"/>
        <v>12854.123749383001</v>
      </c>
      <c r="O52" s="32">
        <f t="shared" si="10"/>
        <v>32965.920810344673</v>
      </c>
      <c r="P52" s="68">
        <f t="shared" si="10"/>
        <v>63023.127407446271</v>
      </c>
      <c r="Q52" s="32">
        <f t="shared" si="10"/>
        <v>152590.78902501563</v>
      </c>
      <c r="R52" s="32">
        <f t="shared" si="10"/>
        <v>152481.22573930977</v>
      </c>
      <c r="S52" s="32">
        <f t="shared" si="10"/>
        <v>52922.790887257477</v>
      </c>
      <c r="T52" s="68">
        <f t="shared" si="10"/>
        <v>13475.644037406744</v>
      </c>
      <c r="U52" s="32">
        <f t="shared" si="10"/>
        <v>0</v>
      </c>
      <c r="V52" s="23"/>
    </row>
    <row r="53" spans="1:22" x14ac:dyDescent="0.2">
      <c r="A53" s="1"/>
      <c r="C53" s="172" t="s">
        <v>311</v>
      </c>
      <c r="D53" s="7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35"/>
  <sheetViews>
    <sheetView workbookViewId="0">
      <selection activeCell="J33" sqref="J33"/>
    </sheetView>
  </sheetViews>
  <sheetFormatPr defaultRowHeight="15" x14ac:dyDescent="0.2"/>
  <cols>
    <col min="10" max="10" width="12.77734375" customWidth="1"/>
  </cols>
  <sheetData>
    <row r="4" spans="1:10" x14ac:dyDescent="0.2">
      <c r="A4" s="1"/>
      <c r="B4" s="1"/>
      <c r="C4" s="1"/>
      <c r="D4" s="1"/>
      <c r="E4" s="78"/>
      <c r="F4" s="1"/>
      <c r="G4" s="1"/>
      <c r="H4" s="1"/>
      <c r="I4" s="5"/>
    </row>
    <row r="5" spans="1:10" x14ac:dyDescent="0.2">
      <c r="A5" s="1"/>
      <c r="B5" s="1"/>
      <c r="C5" s="1"/>
      <c r="D5" s="1"/>
      <c r="E5" s="1"/>
      <c r="F5" s="1"/>
      <c r="G5" s="1"/>
      <c r="H5" s="1"/>
      <c r="I5" s="5"/>
    </row>
    <row r="6" spans="1:10" x14ac:dyDescent="0.2">
      <c r="A6" s="1"/>
      <c r="B6" s="1" t="s">
        <v>108</v>
      </c>
      <c r="C6" s="1"/>
      <c r="D6" s="1"/>
      <c r="E6" s="1" t="e">
        <f>Table_1!#REF!&amp;Table_1!F9</f>
        <v>#REF!</v>
      </c>
      <c r="F6" s="1"/>
      <c r="G6" s="1" t="e">
        <f>Table_1!#REF!</f>
        <v>#REF!</v>
      </c>
      <c r="H6" s="1"/>
      <c r="I6" s="1" t="str">
        <f>Table_1!H8&amp;Table_1!H9</f>
        <v>Офисы торговля</v>
      </c>
    </row>
    <row r="7" spans="1:10" x14ac:dyDescent="0.2">
      <c r="A7" s="1"/>
      <c r="B7" s="1" t="s">
        <v>109</v>
      </c>
      <c r="C7" s="1"/>
      <c r="D7" s="1"/>
      <c r="E7" s="1">
        <f>Table_1!F36</f>
        <v>7800.0000000000009</v>
      </c>
      <c r="F7" s="71">
        <f>E7/E$10</f>
        <v>0.19500000000000003</v>
      </c>
      <c r="G7" s="1">
        <f>Table_1!G36</f>
        <v>2430.0000000000027</v>
      </c>
      <c r="H7" s="71">
        <f>G7/G$10</f>
        <v>0.10125000000000012</v>
      </c>
      <c r="I7" s="5"/>
    </row>
    <row r="8" spans="1:10" x14ac:dyDescent="0.2">
      <c r="A8" s="1"/>
      <c r="B8" s="9" t="s">
        <v>111</v>
      </c>
      <c r="C8" s="9"/>
      <c r="D8" s="9"/>
      <c r="E8" s="9">
        <f>(+Table_1!F15+Table_1!F16)*Table_1!F10</f>
        <v>7200</v>
      </c>
      <c r="F8" s="71">
        <f>E8/$E$10</f>
        <v>0.18</v>
      </c>
      <c r="G8" s="9">
        <f>(+Table_1!G15+Table_1!G16)*Table_1!G10</f>
        <v>4320</v>
      </c>
      <c r="H8" s="71">
        <f>G8/G$10</f>
        <v>0.18</v>
      </c>
      <c r="I8" s="5"/>
    </row>
    <row r="9" spans="1:10" x14ac:dyDescent="0.2">
      <c r="A9" s="1"/>
      <c r="B9" s="1" t="s">
        <v>113</v>
      </c>
      <c r="C9" s="1"/>
      <c r="D9" s="1"/>
      <c r="E9" s="26">
        <f>Table_1!F18*Table_1!F11/Table_1!F13</f>
        <v>25000</v>
      </c>
      <c r="F9" s="71">
        <f>E9/$E$10</f>
        <v>0.625</v>
      </c>
      <c r="G9" s="26">
        <f>Table_1!G18*Table_1!G11/Table_1!G13</f>
        <v>17250</v>
      </c>
      <c r="H9" s="71">
        <f>G9/G$10</f>
        <v>0.71875</v>
      </c>
      <c r="I9" s="5"/>
    </row>
    <row r="10" spans="1:10" x14ac:dyDescent="0.2">
      <c r="A10" s="1"/>
      <c r="B10" s="1" t="s">
        <v>28</v>
      </c>
      <c r="C10" s="1"/>
      <c r="D10" s="1"/>
      <c r="E10" s="26">
        <f>Table_1!F10</f>
        <v>40000</v>
      </c>
      <c r="F10" s="71">
        <f>E10/$E$10</f>
        <v>1</v>
      </c>
      <c r="G10" s="26">
        <f>Table_1!G10</f>
        <v>24000</v>
      </c>
      <c r="H10" s="71">
        <f>G10/G$10</f>
        <v>1</v>
      </c>
      <c r="I10" s="5"/>
    </row>
    <row r="11" spans="1:10" x14ac:dyDescent="0.2">
      <c r="A11" s="1"/>
      <c r="B11" s="1"/>
      <c r="C11" s="1"/>
      <c r="D11" s="1"/>
      <c r="E11" s="1">
        <f>SUM(E7:E9)</f>
        <v>40000</v>
      </c>
      <c r="F11" s="1">
        <f>SUM(F7:F9)</f>
        <v>1</v>
      </c>
      <c r="G11" s="1">
        <f>SUM(G7:G9)</f>
        <v>24000.000000000004</v>
      </c>
      <c r="H11" s="1">
        <f>SUM(H7:H9)</f>
        <v>1</v>
      </c>
      <c r="I11" s="5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5"/>
    </row>
    <row r="14" spans="1:10" x14ac:dyDescent="0.2">
      <c r="A14" s="137" t="s">
        <v>261</v>
      </c>
    </row>
    <row r="15" spans="1:10" x14ac:dyDescent="0.2">
      <c r="B15" s="137" t="s">
        <v>263</v>
      </c>
      <c r="F15" s="137" t="s">
        <v>317</v>
      </c>
    </row>
    <row r="16" spans="1:10" x14ac:dyDescent="0.2">
      <c r="B16" s="137" t="s">
        <v>262</v>
      </c>
      <c r="F16" s="137" t="s">
        <v>313</v>
      </c>
      <c r="J16" s="137" t="s">
        <v>314</v>
      </c>
    </row>
    <row r="17" spans="1:15" x14ac:dyDescent="0.2">
      <c r="A17" s="137" t="s">
        <v>267</v>
      </c>
    </row>
    <row r="18" spans="1:15" x14ac:dyDescent="0.2">
      <c r="B18" s="137" t="s">
        <v>264</v>
      </c>
      <c r="F18" s="137" t="s">
        <v>284</v>
      </c>
      <c r="J18" s="137" t="s">
        <v>315</v>
      </c>
    </row>
    <row r="19" spans="1:15" x14ac:dyDescent="0.2">
      <c r="B19" s="137" t="s">
        <v>64</v>
      </c>
      <c r="F19" s="137" t="s">
        <v>286</v>
      </c>
    </row>
    <row r="20" spans="1:15" x14ac:dyDescent="0.2">
      <c r="B20" s="137" t="s">
        <v>265</v>
      </c>
      <c r="F20" s="137" t="s">
        <v>285</v>
      </c>
    </row>
    <row r="21" spans="1:15" x14ac:dyDescent="0.2">
      <c r="B21" s="137" t="s">
        <v>266</v>
      </c>
      <c r="F21" s="137" t="s">
        <v>287</v>
      </c>
    </row>
    <row r="24" spans="1:15" x14ac:dyDescent="0.2">
      <c r="B24" s="137" t="s">
        <v>189</v>
      </c>
      <c r="J24" s="137" t="s">
        <v>316</v>
      </c>
    </row>
    <row r="28" spans="1:15" x14ac:dyDescent="0.2">
      <c r="B28" s="137" t="s">
        <v>83</v>
      </c>
      <c r="F28" s="137" t="s">
        <v>318</v>
      </c>
      <c r="G28" s="137"/>
    </row>
    <row r="29" spans="1:15" x14ac:dyDescent="0.2">
      <c r="B29" s="137" t="s">
        <v>271</v>
      </c>
      <c r="F29" s="137"/>
    </row>
    <row r="32" spans="1:15" x14ac:dyDescent="0.2">
      <c r="B32" s="137" t="s">
        <v>268</v>
      </c>
      <c r="O32" s="137"/>
    </row>
    <row r="33" spans="2:20" x14ac:dyDescent="0.2">
      <c r="B33" s="137" t="s">
        <v>270</v>
      </c>
    </row>
    <row r="34" spans="2:20" x14ac:dyDescent="0.2">
      <c r="B34" s="137" t="s">
        <v>269</v>
      </c>
    </row>
    <row r="35" spans="2:20" x14ac:dyDescent="0.2">
      <c r="C35" s="186">
        <f>-Table_3!E34</f>
        <v>-1723.6773756487662</v>
      </c>
      <c r="D35" s="186">
        <f>-Table_3!F34</f>
        <v>-5794.4309334838881</v>
      </c>
      <c r="E35" s="186">
        <f>-Table_3!G34</f>
        <v>-10546.877488285752</v>
      </c>
      <c r="F35" s="186">
        <f>-Table_3!H34</f>
        <v>-24278.483839999997</v>
      </c>
      <c r="G35" s="186">
        <f>-Table_3!I34</f>
        <v>-27534.428050667691</v>
      </c>
      <c r="H35" s="186">
        <f>-Table_3!J34</f>
        <v>-23551.912139944543</v>
      </c>
      <c r="I35" s="186">
        <f>-Table_3!K34</f>
        <v>-21942.069976000537</v>
      </c>
      <c r="J35" s="186">
        <f>-Table_3!L34</f>
        <v>-19525.019404799998</v>
      </c>
      <c r="K35" s="186">
        <f>-Table_3!M34</f>
        <v>-17601.132345929323</v>
      </c>
      <c r="L35" s="186">
        <f>-Table_3!N34</f>
        <v>-13713.780250181742</v>
      </c>
      <c r="M35" s="186">
        <f>-Table_3!O34</f>
        <v>-11806.047506977306</v>
      </c>
      <c r="N35" s="186">
        <f>-Table_3!P34</f>
        <v>-12475.056721920006</v>
      </c>
      <c r="O35" s="186">
        <f>-Table_3!Q34</f>
        <v>-5813.4488483726564</v>
      </c>
      <c r="P35" s="186">
        <f>-Table_3!R34</f>
        <v>-7483.8334889245616</v>
      </c>
      <c r="Q35" s="186">
        <f>-Table_3!S34</f>
        <v>-6907.3054054980639</v>
      </c>
      <c r="R35" s="186">
        <f>-Table_3!T34</f>
        <v>-4650.2439292108847</v>
      </c>
      <c r="S35" s="186">
        <f>-Table_3!U34</f>
        <v>0</v>
      </c>
      <c r="T35" s="186">
        <f>-Table_3!V34</f>
        <v>0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Table_1</vt:lpstr>
      <vt:lpstr>Table_2</vt:lpstr>
      <vt:lpstr>Table_3</vt:lpstr>
      <vt:lpstr>Sheet1</vt:lpstr>
      <vt:lpstr>Implementation_Schedule</vt:lpstr>
      <vt:lpstr>Cash_Flow</vt:lpstr>
      <vt:lpstr>\B</vt:lpstr>
      <vt:lpstr>\L</vt:lpstr>
      <vt:lpstr>\S</vt:lpstr>
      <vt:lpstr>\T</vt:lpstr>
      <vt:lpstr>\Y</vt:lpstr>
      <vt:lpstr>Table_1!Print_Area</vt:lpstr>
      <vt:lpstr>TAB1</vt:lpstr>
      <vt:lpstr>TAB2</vt:lpstr>
      <vt:lpstr>TAB3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AlainB</dc:creator>
  <cp:lastModifiedBy>Alain Bertaud</cp:lastModifiedBy>
  <dcterms:created xsi:type="dcterms:W3CDTF">2006-09-23T19:43:27Z</dcterms:created>
  <dcterms:modified xsi:type="dcterms:W3CDTF">2013-06-29T15:52:16Z</dcterms:modified>
</cp:coreProperties>
</file>