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package.relationships+xml" PartName="/xl/drawings/_rels/drawing4.xml.rels"/>
  <Override ContentType="application/vnd.openxmlformats-package.relationships+xml" PartName="/xl/drawings/_rels/drawing5.xml.rels"/>
  <Override ContentType="application/vnd.openxmlformats-package.relationships+xml" PartName="/xl/drawings/_rels/drawing6.xml.rels"/>
  <Override ContentType="application/vnd.openxmlformats-package.relationships+xml" PartName="/xl/drawings/_rels/drawing7.xml.rels"/>
  <Override ContentType="application/vnd.openxmlformats-package.relationships+xml" PartName="/xl/drawings/_rels/drawing8.xml.rels"/>
  <Override ContentType="application/vnd.openxmlformats-package.relationships+xml" PartName="/xl/drawings/_rels/drawing9.xml.rels"/>
  <Override ContentType="application/vnd.openxmlformats-package.relationships+xml" PartName="/xl/drawings/_rels/drawing10.xml.rels"/>
  <Override ContentType="application/vnd.openxmlformats-package.relationships+xml" PartName="/xl/drawings/_rels/drawing11.xml.rels"/>
  <Override ContentType="application/vnd.openxmlformats-package.relationships+xml" PartName="/xl/drawings/_rels/drawing12.xml.rels"/>
  <Override ContentType="application/vnd.openxmlformats-package.relationships+xml" PartName="/xl/drawings/_rels/drawing13.xml.rels"/>
  <Override ContentType="application/vnd.openxmlformats-package.relationships+xml" PartName="/xl/drawings/_rels/drawing14.xml.rels"/>
  <Override ContentType="application/vnd.openxmlformats-package.relationships+xml" PartName="/xl/drawings/_rels/drawing15.xml.rels"/>
  <Override ContentType="application/vnd.openxmlformats-package.relationships+xml" PartName="/xl/drawings/_rels/drawing16.xml.rels"/>
  <Override ContentType="application/vnd.openxmlformats-package.relationships+xml" PartName="/xl/drawings/_rels/drawing17.xml.rels"/>
  <Override ContentType="application/vnd.openxmlformats-package.relationships+xml" PartName="/xl/drawings/_rels/drawing18.xml.rels"/>
  <Override ContentType="application/vnd.openxmlformats-package.relationships+xml" PartName="/xl/drawings/_rels/drawing19.xml.rels"/>
  <Override ContentType="application/vnd.openxmlformats-package.relationships+xml" PartName="/xl/drawings/_rels/drawing20.xml.rels"/>
  <Override ContentType="application/vnd.openxmlformats-package.relationships+xml" PartName="/xl/drawings/_rels/drawing21.xml.rels"/>
  <Override ContentType="application/vnd.openxmlformats-package.relationships+xml" PartName="/xl/drawings/_rels/drawing22.xml.rels"/>
  <Override ContentType="application/vnd.openxmlformats-package.relationships+xml" PartName="/xl/drawings/_rels/drawing23.xml.rels"/>
  <Override ContentType="application/vnd.openxmlformats-package.relationships+xml" PartName="/xl/drawings/_rels/drawing24.xml.rels"/>
  <Override ContentType="application/vnd.openxmlformats-package.relationships+xml" PartName="/xl/drawings/_rels/drawing25.xml.rels"/>
  <Override ContentType="application/vnd.openxmlformats-package.relationships+xml" PartName="/xl/drawings/_rels/drawing26.xml.rels"/>
  <Override ContentType="application/vnd.openxmlformats-package.relationships+xml" PartName="/xl/drawings/_rels/drawing27.xml.rels"/>
  <Override ContentType="application/vnd.openxmlformats-package.relationships+xml" PartName="/xl/drawings/_rels/drawing28.xml.rels"/>
  <Override ContentType="application/vnd.openxmlformats-package.relationships+xml" PartName="/xl/drawings/_rels/drawing29.xml.rels"/>
  <Override ContentType="application/vnd.openxmlformats-package.relationships+xml" PartName="/xl/drawings/_rels/drawing30.xml.rels"/>
  <Override ContentType="application/vnd.openxmlformats-package.relationships+xml" PartName="/xl/drawings/_rels/drawing31.xml.rels"/>
  <Override ContentType="application/vnd.openxmlformats-package.relationships+xml" PartName="/xl/drawings/_rels/drawing32.xml.rels"/>
  <Override ContentType="application/vnd.openxmlformats-package.relationships+xml" PartName="/xl/drawings/_rels/drawing33.xml.rels"/>
  <Override ContentType="application/vnd.openxmlformats-package.relationships+xml" PartName="/xl/drawings/_rels/drawing34.xml.rels"/>
  <Override ContentType="application/vnd.openxmlformats-package.relationships+xml" PartName="/xl/drawings/_rels/drawing35.xml.rels"/>
  <Override ContentType="application/vnd.openxmlformats-package.relationships+xml" PartName="/xl/drawings/_rels/drawing36.xml.rels"/>
  <Override ContentType="application/vnd.openxmlformats-package.relationships+xml" PartName="/xl/drawings/_rels/drawing37.xml.rels"/>
  <Override ContentType="application/vnd.openxmlformats-package.relationships+xml" PartName="/xl/drawings/_rels/drawing38.xml.rels"/>
  <Override ContentType="application/vnd.openxmlformats-package.relationships+xml" PartName="/xl/drawings/_rels/drawing39.xml.rels"/>
  <Override ContentType="application/vnd.openxmlformats-package.relationships+xml" PartName="/xl/drawings/_rels/drawing40.xml.rels"/>
  <Override ContentType="application/vnd.openxmlformats-package.relationships+xml" PartName="/xl/drawings/_rels/drawing41.xml.rels"/>
  <Override ContentType="application/vnd.openxmlformats-package.relationships+xml" PartName="/xl/drawings/_rels/drawing42.xml.rels"/>
  <Override ContentType="application/vnd.openxmlformats-package.relationships+xml" PartName="/xl/drawings/_rels/drawing43.xml.rels"/>
  <Override ContentType="application/vnd.openxmlformats-package.relationships+xml" PartName="/xl/drawings/_rels/drawing44.xml.rels"/>
  <Override ContentType="application/vnd.openxmlformats-package.relationships+xml" PartName="/xl/drawings/_rels/drawing45.xml.rels"/>
  <Override ContentType="application/vnd.openxmlformats-package.relationships+xml" PartName="/xl/drawings/_rels/drawing46.xml.rels"/>
  <Override ContentType="application/vnd.openxmlformats-package.relationships+xml" PartName="/xl/drawings/_rels/drawing47.xml.rels"/>
  <Override ContentType="application/vnd.openxmlformats-package.relationships+xml" PartName="/xl/drawings/_rels/drawing48.xml.rels"/>
  <Override ContentType="application/vnd.openxmlformats-package.relationships+xml" PartName="/xl/drawings/_rels/drawing49.xml.rels"/>
  <Override ContentType="application/vnd.openxmlformats-package.relationships+xml" PartName="/xl/drawings/_rels/drawing50.xml.rels"/>
  <Override ContentType="application/vnd.openxmlformats-package.relationships+xml" PartName="/xl/drawings/_rels/drawing51.xml.rels"/>
  <Override ContentType="application/vnd.openxmlformats-package.relationships+xml" PartName="/xl/drawings/_rels/drawing52.xml.rels"/>
  <Override ContentType="application/vnd.openxmlformats-package.relationships+xml" PartName="/xl/drawings/_rels/drawing53.xml.rels"/>
  <Override ContentType="application/vnd.openxmlformats-package.relationships+xml" PartName="/xl/drawings/_rels/drawing54.xml.rels"/>
  <Override ContentType="application/vnd.openxmlformats-package.relationships+xml" PartName="/xl/drawings/_rels/drawing55.xml.rels"/>
  <Override ContentType="application/vnd.openxmlformats-package.relationships+xml" PartName="/xl/drawings/_rels/drawing56.xml.rels"/>
  <Override ContentType="application/vnd.openxmlformats-package.relationships+xml" PartName="/xl/drawings/_rels/drawing57.xml.rels"/>
  <Override ContentType="application/vnd.openxmlformats-package.relationships+xml" PartName="/xl/drawings/_rels/drawing58.xml.rels"/>
  <Override ContentType="application/vnd.openxmlformats-package.relationships+xml" PartName="/xl/drawings/_rels/drawing59.xml.rels"/>
  <Override ContentType="application/vnd.openxmlformats-package.relationships+xml" PartName="/xl/drawings/_rels/drawing60.xml.rels"/>
  <Override ContentType="application/vnd.openxmlformats-package.relationships+xml" PartName="/xl/drawings/_rels/drawing61.xml.rels"/>
  <Override ContentType="application/vnd.openxmlformats-package.relationships+xml" PartName="/xl/drawings/_rels/drawing62.xml.rels"/>
  <Override ContentType="application/vnd.openxmlformats-package.relationships+xml" PartName="/xl/drawings/_rels/drawing63.xml.rels"/>
  <Override ContentType="application/vnd.openxmlformats-package.relationships+xml" PartName="/xl/drawings/_rels/drawing64.xml.rels"/>
  <Override ContentType="application/vnd.openxmlformats-package.relationships+xml" PartName="/xl/drawings/_rels/drawing65.xml.rels"/>
  <Override ContentType="application/vnd.openxmlformats-package.relationships+xml" PartName="/xl/drawings/_rels/drawing66.xml.rels"/>
  <Override ContentType="application/vnd.openxmlformats-package.relationships+xml" PartName="/xl/drawings/_rels/drawing67.xml.rels"/>
  <Override ContentType="application/vnd.openxmlformats-package.relationships+xml" PartName="/xl/drawings/_rels/drawing68.xml.rels"/>
  <Override ContentType="application/vnd.openxmlformats-package.relationships+xml" PartName="/xl/drawings/_rels/drawing69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drawing+xml" PartName="/xl/drawings/drawing59.xml"/>
  <Override ContentType="application/vnd.openxmlformats-officedocument.drawing+xml" PartName="/xl/drawings/drawing60.xml"/>
  <Override ContentType="application/vnd.openxmlformats-officedocument.drawing+xml" PartName="/xl/drawings/drawing61.xml"/>
  <Override ContentType="application/vnd.openxmlformats-officedocument.drawing+xml" PartName="/xl/drawings/drawing62.xml"/>
  <Override ContentType="application/vnd.openxmlformats-officedocument.drawing+xml" PartName="/xl/drawings/drawing63.xml"/>
  <Override ContentType="application/vnd.openxmlformats-officedocument.drawing+xml" PartName="/xl/drawings/drawing64.xml"/>
  <Override ContentType="application/vnd.openxmlformats-officedocument.drawing+xml" PartName="/xl/drawings/drawing65.xml"/>
  <Override ContentType="application/vnd.openxmlformats-officedocument.drawing+xml" PartName="/xl/drawings/drawing66.xml"/>
  <Override ContentType="application/vnd.openxmlformats-officedocument.drawing+xml" PartName="/xl/drawings/drawing67.xml"/>
  <Override ContentType="application/vnd.openxmlformats-officedocument.drawing+xml" PartName="/xl/drawings/drawing68.xml"/>
  <Override ContentType="application/vnd.openxmlformats-officedocument.drawing+xml" PartName="/xl/drawings/drawing69.xml"/>
  <Override ContentType="image/png" PartName="/xl/media/image1.png"/>
  <Override ContentType="image/jpeg" PartName="/xl/media/image2.jpeg"/>
  <Override ContentType="image/png" PartName="/xl/media/image3.png"/>
  <Override ContentType="image/png" PartName="/xl/media/image4.png"/>
  <Override ContentType="image/png" PartName="/xl/media/image5.png"/>
  <Override ContentType="image/png" PartName="/xl/media/image6.png"/>
  <Override ContentType="image/png" PartName="/xl/media/image7.png"/>
  <Override ContentType="image/png" PartName="/xl/media/image8.png"/>
  <Override ContentType="image/png" PartName="/xl/media/image9.png"/>
  <Override ContentType="image/png" PartName="/xl/media/image10.png"/>
  <Override ContentType="image/png" PartName="/xl/media/image11.png"/>
  <Override ContentType="image/png" PartName="/xl/media/image12.png"/>
  <Override ContentType="image/png" PartName="/xl/media/image13.png"/>
  <Override ContentType="image/jpeg" PartName="/xl/media/image14.jpeg"/>
  <Override ContentType="image/jpeg" PartName="/xl/media/image15.jpeg"/>
  <Override ContentType="image/png" PartName="/xl/media/image16.png"/>
  <Override ContentType="image/png" PartName="/xl/media/image17.png"/>
  <Override ContentType="image/jpeg" PartName="/xl/media/image18.jpeg"/>
  <Override ContentType="image/jpeg" PartName="/xl/media/image19.jpeg"/>
  <Override ContentType="image/jpeg" PartName="/xl/media/image20.jpeg"/>
  <Override ContentType="image/png" PartName="/xl/media/image21.png"/>
  <Override ContentType="image/jpeg" PartName="/xl/media/image22.jpeg"/>
  <Override ContentType="image/jpeg" PartName="/xl/media/image23.jpeg"/>
  <Override ContentType="image/jpeg" PartName="/xl/media/image24.jpeg"/>
  <Override ContentType="image/png" PartName="/xl/media/image25.png"/>
  <Override ContentType="image/jpeg" PartName="/xl/media/image26.jpeg"/>
  <Override ContentType="image/jpeg" PartName="/xl/media/image27.jpeg"/>
  <Override ContentType="image/jpeg" PartName="/xl/media/image28.jpeg"/>
  <Override ContentType="image/jpeg" PartName="/xl/media/image29.jpeg"/>
  <Override ContentType="image/jpeg" PartName="/xl/media/image30.jpeg"/>
  <Override ContentType="image/jpeg" PartName="/xl/media/image31.jpeg"/>
  <Override ContentType="image/jpeg" PartName="/xl/media/image32.jpeg"/>
  <Override ContentType="image/jpeg" PartName="/xl/media/image33.jpeg"/>
  <Override ContentType="image/jpeg" PartName="/xl/media/image34.jpeg"/>
  <Override ContentType="image/jpeg" PartName="/xl/media/image35.jpeg"/>
  <Override ContentType="image/jpeg" PartName="/xl/media/image36.jpeg"/>
  <Override ContentType="image/jpeg" PartName="/xl/media/image37.jpeg"/>
  <Override ContentType="image/jpeg" PartName="/xl/media/image38.jpeg"/>
  <Override ContentType="image/jpeg" PartName="/xl/media/image39.jpeg"/>
  <Override ContentType="image/png" PartName="/xl/media/image40.png"/>
  <Override ContentType="image/jpeg" PartName="/xl/media/image41.jpeg"/>
  <Override ContentType="image/jpeg" PartName="/xl/media/image42.jpeg"/>
  <Override ContentType="image/jpeg" PartName="/xl/media/image43.jpeg"/>
  <Override ContentType="image/jpeg" PartName="/xl/media/image44.jpeg"/>
  <Override ContentType="image/jpeg" PartName="/xl/media/image45.jpeg"/>
  <Override ContentType="image/png" PartName="/xl/media/image46.png"/>
  <Override ContentType="image/jpeg" PartName="/xl/media/image47.jpeg"/>
  <Override ContentType="image/jpeg" PartName="/xl/media/image48.jpeg"/>
  <Override ContentType="image/jpeg" PartName="/xl/media/image49.jpeg"/>
  <Override ContentType="image/jpeg" PartName="/xl/media/image50.jpeg"/>
  <Override ContentType="image/jpeg" PartName="/xl/media/image51.jpeg"/>
  <Override ContentType="image/jpeg" PartName="/xl/media/image52.jpeg"/>
  <Override ContentType="image/jpeg" PartName="/xl/media/image53.jpeg"/>
  <Override ContentType="image/jpeg" PartName="/xl/media/image54.jpeg"/>
  <Override ContentType="image/jpeg" PartName="/xl/media/image55.jpeg"/>
  <Override ContentType="image/png" PartName="/xl/media/image56.png"/>
  <Override ContentType="image/jpeg" PartName="/xl/media/image57.jpeg"/>
  <Override ContentType="image/jpeg" PartName="/xl/media/image58.jpeg"/>
  <Override ContentType="image/jpeg" PartName="/xl/media/image59.jpeg"/>
  <Override ContentType="image/jpeg" PartName="/xl/media/image60.jpeg"/>
  <Override ContentType="image/jpeg" PartName="/xl/media/image61.jpeg"/>
  <Override ContentType="image/jpeg" PartName="/xl/media/image62.jpeg"/>
  <Override ContentType="image/jpeg" PartName="/xl/media/image63.jpeg"/>
  <Override ContentType="image/jpeg" PartName="/xl/media/image64.jpeg"/>
  <Override ContentType="image/jpeg" PartName="/xl/media/image65.jpeg"/>
  <Override ContentType="image/jpeg" PartName="/xl/media/image66.jpeg"/>
  <Override ContentType="image/jpeg" PartName="/xl/media/image67.jpeg"/>
  <Override ContentType="image/jpeg" PartName="/xl/media/image68.jpeg"/>
  <Override ContentType="image/jpeg" PartName="/xl/media/image69.jpeg"/>
  <Override ContentType="image/png" PartName="/xl/media/image70.png"/>
  <Override ContentType="image/jpeg" PartName="/xl/media/image71.jpeg"/>
  <Override ContentType="image/jpeg" PartName="/xl/media/image72.jpeg"/>
  <Override ContentType="image/png" PartName="/xl/media/image73.png"/>
  <Override ContentType="image/jpeg" PartName="/xl/media/image74.jpeg"/>
  <Override ContentType="image/jpeg" PartName="/xl/media/image75.jpeg"/>
  <Override ContentType="image/png" PartName="/xl/media/image76.png"/>
  <Override ContentType="image/jpeg" PartName="/xl/media/image77.jpeg"/>
  <Override ContentType="image/jpeg" PartName="/xl/media/image78.jpeg"/>
  <Override ContentType="image/jpeg" PartName="/xl/media/image79.jpeg"/>
  <Override ContentType="image/jpeg" PartName="/xl/media/image80.jpeg"/>
  <Override ContentType="image/jpeg" PartName="/xl/media/image81.jpeg"/>
  <Override ContentType="image/jpeg" PartName="/xl/media/image82.jpeg"/>
  <Override ContentType="image/jpeg" PartName="/xl/media/image83.jpeg"/>
  <Override ContentType="image/jpeg" PartName="/xl/media/image84.jpeg"/>
  <Override ContentType="image/jpeg" PartName="/xl/media/image85.jpeg"/>
  <Override ContentType="image/jpeg" PartName="/xl/media/image86.jpeg"/>
  <Override ContentType="image/jpeg" PartName="/xl/media/image87.jpeg"/>
  <Override ContentType="image/jpeg" PartName="/xl/media/image88.jpeg"/>
  <Override ContentType="image/jpeg" PartName="/xl/media/image89.jpeg"/>
  <Override ContentType="image/jpeg" PartName="/xl/media/image90.jpeg"/>
  <Override ContentType="image/jpeg" PartName="/xl/media/image91.jpeg"/>
  <Override ContentType="image/jpeg" PartName="/xl/media/image92.jpeg"/>
  <Override ContentType="image/jpeg" PartName="/xl/media/image93.jpeg"/>
  <Override ContentType="image/jpeg" PartName="/xl/media/image94.jpeg"/>
  <Override ContentType="image/jpeg" PartName="/xl/media/image95.jpeg"/>
  <Override ContentType="image/jpeg" PartName="/xl/media/image96.jpeg"/>
  <Override ContentType="image/jpeg" PartName="/xl/media/image97.jpeg"/>
  <Override ContentType="image/jpeg" PartName="/xl/media/image98.jpeg"/>
  <Override ContentType="image/jpeg" PartName="/xl/media/image99.jpeg"/>
  <Override ContentType="image/jpeg" PartName="/xl/media/image100.jpeg"/>
  <Override ContentType="image/jpeg" PartName="/xl/media/image101.jpeg"/>
  <Override ContentType="image/jpeg" PartName="/xl/media/image102.jpeg"/>
  <Override ContentType="image/jpeg" PartName="/xl/media/image103.jpeg"/>
  <Override ContentType="image/jpeg" PartName="/xl/media/image104.jpeg"/>
  <Override ContentType="image/jpeg" PartName="/xl/media/image105.jpeg"/>
  <Override ContentType="image/jpeg" PartName="/xl/media/image106.jpeg"/>
  <Override ContentType="image/jpeg" PartName="/xl/media/image107.jpeg"/>
  <Override ContentType="image/jpeg" PartName="/xl/media/image108.jpeg"/>
  <Override ContentType="image/jpeg" PartName="/xl/media/image109.jpeg"/>
  <Override ContentType="image/jpeg" PartName="/xl/media/image110.jpeg"/>
  <Override ContentType="image/jpeg" PartName="/xl/media/image111.jpeg"/>
  <Override ContentType="image/jpeg" PartName="/xl/media/image112.jpeg"/>
  <Override ContentType="image/jpeg" PartName="/xl/media/image113.jpeg"/>
  <Override ContentType="image/jpeg" PartName="/xl/media/image114.jpeg"/>
  <Override ContentType="image/jpeg" PartName="/xl/media/image115.jpeg"/>
  <Override ContentType="image/jpeg" PartName="/xl/media/image116.jpeg"/>
  <Override ContentType="image/png" PartName="/xl/media/image117.png"/>
  <Override ContentType="image/jpeg" PartName="/xl/media/image118.jpeg"/>
  <Override ContentType="image/jpeg" PartName="/xl/media/image119.jpeg"/>
  <Override ContentType="image/jpeg" PartName="/xl/media/image120.jpeg"/>
  <Override ContentType="image/jpeg" PartName="/xl/media/image121.jpeg"/>
  <Override ContentType="image/jpeg" PartName="/xl/media/image122.jpeg"/>
  <Override ContentType="image/jpeg" PartName="/xl/media/image123.jpeg"/>
  <Override ContentType="image/jpeg" PartName="/xl/media/image124.jpeg"/>
  <Override ContentType="image/jpeg" PartName="/xl/media/image125.jpeg"/>
  <Override ContentType="image/png" PartName="/xl/media/image126.png"/>
  <Override ContentType="image/jpeg" PartName="/xl/media/image127.jpeg"/>
  <Override ContentType="image/png" PartName="/xl/media/image128.png"/>
  <Override ContentType="image/jpeg" PartName="/xl/media/image129.jpeg"/>
  <Override ContentType="image/png" PartName="/xl/media/image130.png"/>
  <Override ContentType="image/png" PartName="/xl/media/image131.png"/>
  <Override ContentType="image/jpeg" PartName="/xl/media/image132.jpeg"/>
  <Override ContentType="image/png" PartName="/xl/media/image133.png"/>
  <Override ContentType="image/jpeg" PartName="/xl/media/image134.jpeg"/>
  <Override ContentType="image/png" PartName="/xl/media/image135.png"/>
  <Override ContentType="image/jpeg" PartName="/xl/media/image136.jpeg"/>
  <Override ContentType="image/jpeg" PartName="/xl/media/image137.jpeg"/>
  <Override ContentType="image/jpeg" PartName="/xl/media/image138.jpeg"/>
  <Override ContentType="image/jpeg" PartName="/xl/media/image139.jpeg"/>
  <Override ContentType="image/jpeg" PartName="/xl/media/image140.jpeg"/>
  <Override ContentType="image/jpeg" PartName="/xl/media/image141.jpeg"/>
  <Override ContentType="image/jpeg" PartName="/xl/media/image142.jpeg"/>
  <Override ContentType="image/jpeg" PartName="/xl/media/image143.jpeg"/>
  <Override ContentType="image/jpeg" PartName="/xl/media/image144.jpeg"/>
  <Override ContentType="image/png" PartName="/xl/media/image145.png"/>
  <Override ContentType="image/png" PartName="/xl/media/image146.png"/>
  <Override ContentType="image/png" PartName="/xl/media/image147.png"/>
  <Override ContentType="image/png" PartName="/xl/media/image148.png"/>
  <Override ContentType="image/png" PartName="/xl/media/image149.png"/>
  <Override ContentType="image/png" PartName="/xl/media/image150.png"/>
  <Override ContentType="image/png" PartName="/xl/media/image151.png"/>
  <Override ContentType="image/png" PartName="/xl/media/image152.png"/>
  <Override ContentType="image/png" PartName="/xl/media/image153.png"/>
  <Override ContentType="image/png" PartName="/xl/media/image154.png"/>
  <Override ContentType="image/jpeg" PartName="/xl/media/image155.jpeg"/>
  <Override ContentType="image/png" PartName="/xl/media/image156.png"/>
  <Override ContentType="image/png" PartName="/xl/media/image157.png"/>
  <Override ContentType="image/png" PartName="/xl/media/image158.png"/>
  <Override ContentType="image/png" PartName="/xl/media/image159.png"/>
  <Override ContentType="image/png" PartName="/xl/media/image160.png"/>
  <Override ContentType="image/png" PartName="/xl/media/image161.png"/>
  <Override ContentType="image/png" PartName="/xl/media/image162.png"/>
  <Override ContentType="image/png" PartName="/xl/media/image163.png"/>
  <Override ContentType="image/jpeg" PartName="/xl/media/image164.jpeg"/>
  <Override ContentType="image/png" PartName="/xl/media/image165.png"/>
  <Override ContentType="image/png" PartName="/xl/media/image166.png"/>
  <Override ContentType="image/png" PartName="/xl/media/image167.png"/>
  <Override ContentType="image/png" PartName="/xl/media/image168.png"/>
  <Override ContentType="image/png" PartName="/xl/media/image169.png"/>
  <Override ContentType="image/jpeg" PartName="/xl/media/image170.jpeg"/>
  <Override ContentType="image/jpeg" PartName="/xl/media/image171.jpeg"/>
  <Override ContentType="image/jpeg" PartName="/xl/media/image172.jpeg"/>
  <Override ContentType="image/jpeg" PartName="/xl/media/image173.jpeg"/>
  <Override ContentType="image/jpeg" PartName="/xl/media/image174.jpeg"/>
  <Override ContentType="image/jpeg" PartName="/xl/media/image175.jpeg"/>
  <Override ContentType="image/jpeg" PartName="/xl/media/image176.jpeg"/>
  <Override ContentType="image/jpeg" PartName="/xl/media/image177.jpeg"/>
  <Override ContentType="image/jpeg" PartName="/xl/media/image178.jpeg"/>
  <Override ContentType="image/jpeg" PartName="/xl/media/image179.jpeg"/>
  <Override ContentType="image/jpeg" PartName="/xl/media/image180.jpeg"/>
  <Override ContentType="image/jpeg" PartName="/xl/media/image181.jpeg"/>
  <Override ContentType="image/jpeg" PartName="/xl/media/image182.jpeg"/>
  <Override ContentType="image/jpeg" PartName="/xl/media/image183.jpeg"/>
  <Override ContentType="image/jpeg" PartName="/xl/media/image184.jpeg"/>
  <Override ContentType="image/jpeg" PartName="/xl/media/image185.jpeg"/>
  <Override ContentType="image/jpeg" PartName="/xl/media/image186.jpeg"/>
  <Override ContentType="image/png" PartName="/xl/media/image187.png"/>
  <Override ContentType="image/png" PartName="/xl/media/image188.png"/>
  <Override ContentType="image/png" PartName="/xl/media/image189.png"/>
  <Override ContentType="image/png" PartName="/xl/media/image190.png"/>
  <Override ContentType="image/jpeg" PartName="/xl/media/image191.jpeg"/>
  <Override ContentType="image/jpeg" PartName="/xl/media/image192.jpeg"/>
  <Override ContentType="image/jpeg" PartName="/xl/media/image193.jpeg"/>
  <Override ContentType="image/jpeg" PartName="/xl/media/image194.jpeg"/>
  <Override ContentType="image/jpeg" PartName="/xl/media/image195.jpeg"/>
  <Override ContentType="image/jpeg" PartName="/xl/media/image196.jpeg"/>
  <Override ContentType="image/png" PartName="/xl/media/image197.png"/>
  <Override ContentType="image/png" PartName="/xl/media/image198.png"/>
  <Override ContentType="image/png" PartName="/xl/media/image199.png"/>
  <Override ContentType="image/jpeg" PartName="/xl/media/image200.jpeg"/>
  <Override ContentType="image/jpeg" PartName="/xl/media/image201.jpeg"/>
  <Override ContentType="image/png" PartName="/xl/media/image202.png"/>
  <Override ContentType="image/png" PartName="/xl/media/image203.png"/>
  <Override ContentType="image/jpeg" PartName="/xl/media/image204.jpeg"/>
  <Override ContentType="image/jpeg" PartName="/xl/media/image205.jpeg"/>
  <Override ContentType="image/jpeg" PartName="/xl/media/image206.jpeg"/>
  <Override ContentType="image/jpeg" PartName="/xl/media/image207.jpeg"/>
  <Override ContentType="image/jpeg" PartName="/xl/media/image208.jpeg"/>
  <Override ContentType="image/jpeg" PartName="/xl/media/image209.jpeg"/>
  <Override ContentType="image/jpeg" PartName="/xl/media/image210.jpeg"/>
  <Override ContentType="image/jpeg" PartName="/xl/media/image211.jpeg"/>
  <Override ContentType="image/jpeg" PartName="/xl/media/image212.jpeg"/>
  <Override ContentType="image/jpeg" PartName="/xl/media/image213.jpeg"/>
  <Override ContentType="image/png" PartName="/xl/media/image214.png"/>
  <Override ContentType="image/png" PartName="/xl/media/image215.png"/>
  <Override ContentType="image/png" PartName="/xl/media/image216.png"/>
  <Override ContentType="image/jpeg" PartName="/xl/media/image217.jpeg"/>
  <Override ContentType="image/jpeg" PartName="/xl/media/image218.jpeg"/>
  <Override ContentType="image/jpeg" PartName="/xl/media/image219.jpeg"/>
  <Override ContentType="image/jpeg" PartName="/xl/media/image220.jpeg"/>
  <Override ContentType="image/jpeg" PartName="/xl/media/image221.jpeg"/>
  <Override ContentType="image/jpeg" PartName="/xl/media/image222.jpeg"/>
  <Override ContentType="image/jpeg" PartName="/xl/media/image223.jpeg"/>
  <Override ContentType="image/jpeg" PartName="/xl/media/image224.jpeg"/>
  <Override ContentType="image/jpeg" PartName="/xl/media/image225.jpeg"/>
  <Override ContentType="image/jpeg" PartName="/xl/media/image226.jpeg"/>
  <Override ContentType="image/jpeg" PartName="/xl/media/image227.jpeg"/>
  <Override ContentType="image/jpeg" PartName="/xl/media/image228.jpeg"/>
  <Override ContentType="image/jpeg" PartName="/xl/media/image229.jpeg"/>
  <Override ContentType="image/jpeg" PartName="/xl/media/image230.jpeg"/>
  <Override ContentType="image/jpeg" PartName="/xl/media/image231.jpeg"/>
  <Override ContentType="image/jpeg" PartName="/xl/media/image232.jpeg"/>
  <Override ContentType="image/jpeg" PartName="/xl/media/image233.jpeg"/>
  <Override ContentType="image/jpeg" PartName="/xl/media/image234.jpeg"/>
  <Override ContentType="image/jpeg" PartName="/xl/media/image235.jpeg"/>
  <Override ContentType="image/jpeg" PartName="/xl/media/image236.jpeg"/>
  <Override ContentType="image/jpeg" PartName="/xl/media/image237.jpeg"/>
  <Override ContentType="image/jpeg" PartName="/xl/media/image238.jpeg"/>
  <Override ContentType="image/jpeg" PartName="/xl/media/image239.jpeg"/>
  <Override ContentType="image/jpeg" PartName="/xl/media/image240.jpeg"/>
  <Override ContentType="image/jpeg" PartName="/xl/media/image241.jpeg"/>
  <Override ContentType="image/jpeg" PartName="/xl/media/image242.jpeg"/>
  <Override ContentType="image/jpeg" PartName="/xl/media/image243.jpeg"/>
  <Override ContentType="image/jpeg" PartName="/xl/media/image244.jpeg"/>
  <Override ContentType="image/jpeg" PartName="/xl/media/image245.jpeg"/>
  <Override ContentType="image/jpeg" PartName="/xl/media/image246.jpeg"/>
  <Override ContentType="image/jpeg" PartName="/xl/media/image247.jpeg"/>
  <Override ContentType="image/jpeg" PartName="/xl/media/image248.jpeg"/>
  <Override ContentType="image/png" PartName="/xl/media/image249.png"/>
  <Override ContentType="image/jpeg" PartName="/xl/media/image250.jpeg"/>
  <Override ContentType="image/jpeg" PartName="/xl/media/image251.jpeg"/>
  <Override ContentType="image/jpeg" PartName="/xl/media/image252.jpeg"/>
  <Override ContentType="image/jpeg" PartName="/xl/media/image253.jpeg"/>
  <Override ContentType="image/jpeg" PartName="/xl/media/image254.jpeg"/>
  <Override ContentType="image/jpeg" PartName="/xl/media/image255.jpeg"/>
  <Override ContentType="image/jpeg" PartName="/xl/media/image256.jpeg"/>
  <Override ContentType="image/jpeg" PartName="/xl/media/image257.jpeg"/>
  <Override ContentType="image/jpeg" PartName="/xl/media/image258.jpeg"/>
  <Override ContentType="image/jpeg" PartName="/xl/media/image259.jpeg"/>
  <Override ContentType="image/jpeg" PartName="/xl/media/image260.jpeg"/>
  <Override ContentType="image/jpeg" PartName="/xl/media/image261.jpeg"/>
  <Override ContentType="image/jpeg" PartName="/xl/media/image262.jpeg"/>
  <Override ContentType="image/jpeg" PartName="/xl/media/image263.jpeg"/>
  <Override ContentType="image/jpeg" PartName="/xl/media/image264.jpeg"/>
  <Override ContentType="image/jpeg" PartName="/xl/media/image265.jpeg"/>
  <Override ContentType="image/jpeg" PartName="/xl/media/image266.jpeg"/>
  <Override ContentType="image/jpeg" PartName="/xl/media/image267.jpeg"/>
  <Override ContentType="image/jpeg" PartName="/xl/media/image268.jpeg"/>
  <Override ContentType="image/png" PartName="/xl/media/image269.png"/>
  <Override ContentType="image/png" PartName="/xl/media/image270.png"/>
  <Override ContentType="image/jpeg" PartName="/xl/media/image271.jpeg"/>
  <Override ContentType="image/jpeg" PartName="/xl/media/image272.jpeg"/>
  <Override ContentType="image/jpeg" PartName="/xl/media/image273.jpeg"/>
  <Override ContentType="image/jpeg" PartName="/xl/media/image274.jpeg"/>
  <Override ContentType="image/jpeg" PartName="/xl/media/image275.jpeg"/>
  <Override ContentType="image/jpeg" PartName="/xl/media/image276.jpeg"/>
  <Override ContentType="image/jpeg" PartName="/xl/media/image277.jpeg"/>
  <Override ContentType="image/jpeg" PartName="/xl/media/image278.jpeg"/>
  <Override ContentType="image/jpeg" PartName="/xl/media/image279.jpeg"/>
  <Override ContentType="image/jpeg" PartName="/xl/media/image280.jpeg"/>
  <Override ContentType="image/jpeg" PartName="/xl/media/image281.jpeg"/>
  <Override ContentType="image/jpeg" PartName="/xl/media/image282.jpeg"/>
  <Override ContentType="image/jpeg" PartName="/xl/media/image283.jpeg"/>
  <Override ContentType="image/jpeg" PartName="/xl/media/image284.jpeg"/>
  <Override ContentType="image/jpeg" PartName="/xl/media/image285.jpeg"/>
  <Override ContentType="image/png" PartName="/xl/media/image286.png"/>
  <Override ContentType="image/png" PartName="/xl/media/image287.png"/>
  <Override ContentType="image/jpeg" PartName="/xl/media/image288.jpeg"/>
  <Override ContentType="image/png" PartName="/xl/media/image289.png"/>
  <Override ContentType="image/jpeg" PartName="/xl/media/image290.jpeg"/>
  <Override ContentType="image/jpeg" PartName="/xl/media/image291.jpeg"/>
  <Override ContentType="image/jpeg" PartName="/xl/media/image292.jpeg"/>
  <Override ContentType="image/jpeg" PartName="/xl/media/image293.jpeg"/>
  <Override ContentType="image/jpeg" PartName="/xl/media/image294.jpeg"/>
  <Override ContentType="image/jpeg" PartName="/xl/media/image295.jpeg"/>
  <Override ContentType="image/jpeg" PartName="/xl/media/image296.jpeg"/>
  <Override ContentType="image/jpeg" PartName="/xl/media/image297.jpeg"/>
  <Override ContentType="image/jpeg" PartName="/xl/media/image298.jpeg"/>
  <Override ContentType="image/jpeg" PartName="/xl/media/image299.jpeg"/>
  <Override ContentType="image/png" PartName="/xl/media/image300.png"/>
  <Override ContentType="image/jpeg" PartName="/xl/media/image301.jpeg"/>
  <Override ContentType="image/png" PartName="/xl/media/image302.png"/>
  <Override ContentType="image/jpeg" PartName="/xl/media/image303.jpeg"/>
  <Override ContentType="image/png" PartName="/xl/media/image304.png"/>
  <Override ContentType="image/png" PartName="/xl/media/image305.png"/>
  <Override ContentType="image/jpeg" PartName="/xl/media/image306.jpeg"/>
  <Override ContentType="image/jpeg" PartName="/xl/media/image307.jpeg"/>
  <Override ContentType="image/jpeg" PartName="/xl/media/image308.jpeg"/>
  <Override ContentType="image/jpeg" PartName="/xl/media/image309.jpeg"/>
  <Override ContentType="image/jpeg" PartName="/xl/media/image310.jpeg"/>
  <Override ContentType="image/jpeg" PartName="/xl/media/image311.jpeg"/>
  <Override ContentType="image/jpeg" PartName="/xl/media/image312.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package.relationships+xml" PartName="/xl/worksheets/_rels/sheet7.xml.rels"/>
  <Override ContentType="application/vnd.openxmlformats-package.relationships+xml" PartName="/xl/worksheets/_rels/sheet8.xml.rels"/>
  <Override ContentType="application/vnd.openxmlformats-package.relationships+xml" PartName="/xl/worksheets/_rels/sheet9.xml.rels"/>
  <Override ContentType="application/vnd.openxmlformats-package.relationships+xml" PartName="/xl/worksheets/_rels/sheet10.xml.rels"/>
  <Override ContentType="application/vnd.openxmlformats-package.relationships+xml" PartName="/xl/worksheets/_rels/sheet11.xml.rels"/>
  <Override ContentType="application/vnd.openxmlformats-package.relationships+xml" PartName="/xl/worksheets/_rels/sheet12.xml.rels"/>
  <Override ContentType="application/vnd.openxmlformats-package.relationships+xml" PartName="/xl/worksheets/_rels/sheet13.xml.rels"/>
  <Override ContentType="application/vnd.openxmlformats-package.relationships+xml" PartName="/xl/worksheets/_rels/sheet14.xml.rels"/>
  <Override ContentType="application/vnd.openxmlformats-package.relationships+xml" PartName="/xl/worksheets/_rels/sheet15.xml.rels"/>
  <Override ContentType="application/vnd.openxmlformats-package.relationships+xml" PartName="/xl/worksheets/_rels/sheet16.xml.rels"/>
  <Override ContentType="application/vnd.openxmlformats-package.relationships+xml" PartName="/xl/worksheets/_rels/sheet17.xml.rels"/>
  <Override ContentType="application/vnd.openxmlformats-package.relationships+xml" PartName="/xl/worksheets/_rels/sheet18.xml.rels"/>
  <Override ContentType="application/vnd.openxmlformats-package.relationships+xml" PartName="/xl/worksheets/_rels/sheet19.xml.rels"/>
  <Override ContentType="application/vnd.openxmlformats-package.relationships+xml" PartName="/xl/worksheets/_rels/sheet20.xml.rels"/>
  <Override ContentType="application/vnd.openxmlformats-package.relationships+xml" PartName="/xl/worksheets/_rels/sheet21.xml.rels"/>
  <Override ContentType="application/vnd.openxmlformats-package.relationships+xml" PartName="/xl/worksheets/_rels/sheet22.xml.rels"/>
  <Override ContentType="application/vnd.openxmlformats-package.relationships+xml" PartName="/xl/worksheets/_rels/sheet23.xml.rels"/>
  <Override ContentType="application/vnd.openxmlformats-package.relationships+xml" PartName="/xl/worksheets/_rels/sheet24.xml.rels"/>
  <Override ContentType="application/vnd.openxmlformats-package.relationships+xml" PartName="/xl/worksheets/_rels/sheet25.xml.rels"/>
  <Override ContentType="application/vnd.openxmlformats-package.relationships+xml" PartName="/xl/worksheets/_rels/sheet26.xml.rels"/>
  <Override ContentType="application/vnd.openxmlformats-package.relationships+xml" PartName="/xl/worksheets/_rels/sheet27.xml.rels"/>
  <Override ContentType="application/vnd.openxmlformats-package.relationships+xml" PartName="/xl/worksheets/_rels/sheet28.xml.rels"/>
  <Override ContentType="application/vnd.openxmlformats-package.relationships+xml" PartName="/xl/worksheets/_rels/sheet29.xml.rels"/>
  <Override ContentType="application/vnd.openxmlformats-package.relationships+xml" PartName="/xl/worksheets/_rels/sheet30.xml.rels"/>
  <Override ContentType="application/vnd.openxmlformats-package.relationships+xml" PartName="/xl/worksheets/_rels/sheet31.xml.rels"/>
  <Override ContentType="application/vnd.openxmlformats-package.relationships+xml" PartName="/xl/worksheets/_rels/sheet32.xml.rels"/>
  <Override ContentType="application/vnd.openxmlformats-package.relationships+xml" PartName="/xl/worksheets/_rels/sheet33.xml.rels"/>
  <Override ContentType="application/vnd.openxmlformats-package.relationships+xml" PartName="/xl/worksheets/_rels/sheet34.xml.rels"/>
  <Override ContentType="application/vnd.openxmlformats-package.relationships+xml" PartName="/xl/worksheets/_rels/sheet35.xml.rels"/>
  <Override ContentType="application/vnd.openxmlformats-package.relationships+xml" PartName="/xl/worksheets/_rels/sheet36.xml.rels"/>
  <Override ContentType="application/vnd.openxmlformats-package.relationships+xml" PartName="/xl/worksheets/_rels/sheet37.xml.rels"/>
  <Override ContentType="application/vnd.openxmlformats-package.relationships+xml" PartName="/xl/worksheets/_rels/sheet38.xml.rels"/>
  <Override ContentType="application/vnd.openxmlformats-package.relationships+xml" PartName="/xl/worksheets/_rels/sheet39.xml.rels"/>
  <Override ContentType="application/vnd.openxmlformats-package.relationships+xml" PartName="/xl/worksheets/_rels/sheet40.xml.rels"/>
  <Override ContentType="application/vnd.openxmlformats-package.relationships+xml" PartName="/xl/worksheets/_rels/sheet41.xml.rels"/>
  <Override ContentType="application/vnd.openxmlformats-package.relationships+xml" PartName="/xl/worksheets/_rels/sheet42.xml.rels"/>
  <Override ContentType="application/vnd.openxmlformats-package.relationships+xml" PartName="/xl/worksheets/_rels/sheet43.xml.rels"/>
  <Override ContentType="application/vnd.openxmlformats-package.relationships+xml" PartName="/xl/worksheets/_rels/sheet44.xml.rels"/>
  <Override ContentType="application/vnd.openxmlformats-package.relationships+xml" PartName="/xl/worksheets/_rels/sheet45.xml.rels"/>
  <Override ContentType="application/vnd.openxmlformats-package.relationships+xml" PartName="/xl/worksheets/_rels/sheet46.xml.rels"/>
  <Override ContentType="application/vnd.openxmlformats-package.relationships+xml" PartName="/xl/worksheets/_rels/sheet47.xml.rels"/>
  <Override ContentType="application/vnd.openxmlformats-package.relationships+xml" PartName="/xl/worksheets/_rels/sheet48.xml.rels"/>
  <Override ContentType="application/vnd.openxmlformats-package.relationships+xml" PartName="/xl/worksheets/_rels/sheet49.xml.rels"/>
  <Override ContentType="application/vnd.openxmlformats-package.relationships+xml" PartName="/xl/worksheets/_rels/sheet50.xml.rels"/>
  <Override ContentType="application/vnd.openxmlformats-package.relationships+xml" PartName="/xl/worksheets/_rels/sheet51.xml.rels"/>
  <Override ContentType="application/vnd.openxmlformats-package.relationships+xml" PartName="/xl/worksheets/_rels/sheet52.xml.rels"/>
  <Override ContentType="application/vnd.openxmlformats-package.relationships+xml" PartName="/xl/worksheets/_rels/sheet53.xml.rels"/>
  <Override ContentType="application/vnd.openxmlformats-package.relationships+xml" PartName="/xl/worksheets/_rels/sheet54.xml.rels"/>
  <Override ContentType="application/vnd.openxmlformats-package.relationships+xml" PartName="/xl/worksheets/_rels/sheet55.xml.rels"/>
  <Override ContentType="application/vnd.openxmlformats-package.relationships+xml" PartName="/xl/worksheets/_rels/sheet56.xml.rels"/>
  <Override ContentType="application/vnd.openxmlformats-package.relationships+xml" PartName="/xl/worksheets/_rels/sheet57.xml.rels"/>
  <Override ContentType="application/vnd.openxmlformats-package.relationships+xml" PartName="/xl/worksheets/_rels/sheet58.xml.rels"/>
  <Override ContentType="application/vnd.openxmlformats-package.relationships+xml" PartName="/xl/worksheets/_rels/sheet59.xml.rels"/>
  <Override ContentType="application/vnd.openxmlformats-package.relationships+xml" PartName="/xl/worksheets/_rels/sheet60.xml.rels"/>
  <Override ContentType="application/vnd.openxmlformats-package.relationships+xml" PartName="/xl/worksheets/_rels/sheet61.xml.rels"/>
  <Override ContentType="application/vnd.openxmlformats-package.relationships+xml" PartName="/xl/worksheets/_rels/sheet62.xml.rels"/>
  <Override ContentType="application/vnd.openxmlformats-package.relationships+xml" PartName="/xl/worksheets/_rels/sheet63.xml.rels"/>
  <Override ContentType="application/vnd.openxmlformats-package.relationships+xml" PartName="/xl/worksheets/_rels/sheet64.xml.rels"/>
  <Override ContentType="application/vnd.openxmlformats-package.relationships+xml" PartName="/xl/worksheets/_rels/sheet65.xml.rels"/>
  <Override ContentType="application/vnd.openxmlformats-package.relationships+xml" PartName="/xl/worksheets/_rels/sheet66.xml.rels"/>
  <Override ContentType="application/vnd.openxmlformats-package.relationships+xml" PartName="/xl/worksheets/_rels/sheet67.xml.rels"/>
  <Override ContentType="application/vnd.openxmlformats-package.relationships+xml" PartName="/xl/worksheets/_rels/sheet68.xml.rels"/>
  <Override ContentType="application/vnd.openxmlformats-package.relationships+xml" PartName="/xl/worksheets/_rels/sheet69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02 GAVETAS HORIZONTAL" sheetId="1" state="visible" r:id="rId3"/>
    <sheet name="02 GAVETAS " sheetId="2" state="visible" r:id="rId4"/>
    <sheet name="PORTA DE GIRO 1F" sheetId="3" state="visible" r:id="rId5"/>
    <sheet name="ARM. 2 PORTAS GIRO + 4 GAVETAS" sheetId="4" state="visible" r:id="rId6"/>
    <sheet name="PORTA DE GIRO 2F" sheetId="5" state="visible" r:id="rId7"/>
    <sheet name="04 GAVETAS P02" sheetId="6" state="visible" r:id="rId8"/>
    <sheet name="04 GAVETAS P01" sheetId="7" state="visible" r:id="rId9"/>
    <sheet name="P. CORRER V. LIVRE BUZIOS BANDE" sheetId="8" state="visible" r:id="rId10"/>
    <sheet name="PORTÃO CORRER V. LIVRE LB-072" sheetId="9" state="visible" r:id="rId11"/>
    <sheet name="PORTÃO CORRER V. LIVRE LB-050" sheetId="10" state="visible" r:id="rId12"/>
    <sheet name="PORTÃO CORRER V. LIVRE GS-034" sheetId="11" state="visible" r:id="rId13"/>
    <sheet name="SUP JA04 2M 2F" sheetId="12" state="visible" r:id="rId14"/>
    <sheet name="PORTA PIVOTANTE L30 vidro" sheetId="13" state="visible" r:id="rId15"/>
    <sheet name="PORTA PIVOTANTE L30" sheetId="14" state="visible" r:id="rId16"/>
    <sheet name="PORTA DE GIRO VIDRO UNNION" sheetId="15" state="visible" r:id="rId17"/>
    <sheet name="PORTA DE GIRO VENEZIANA UNNINON" sheetId="16" state="visible" r:id="rId18"/>
    <sheet name="PORTA DE CORRER 04F UNNION" sheetId="17" state="visible" r:id="rId19"/>
    <sheet name="PORTA DE CORRER 02F UNNION" sheetId="18" state="visible" r:id="rId20"/>
    <sheet name="JANELA 04 F CORRER UNNION" sheetId="19" state="visible" r:id="rId21"/>
    <sheet name="JANELA 02 F CORRER UNNION" sheetId="20" state="visible" r:id="rId22"/>
    <sheet name="PORTA 04 FOLHAS MP" sheetId="21" state="visible" r:id="rId23"/>
    <sheet name="JANELA MAXIM AR 01 BSC MP" sheetId="22" state="visible" r:id="rId24"/>
    <sheet name="PORTA DE CORRER 03 FOLHAS MP" sheetId="23" state="visible" r:id="rId25"/>
    <sheet name="PORTA DE CORRER 02 FOLHAS MP" sheetId="24" state="visible" r:id="rId26"/>
    <sheet name="JANELA DE CORRER 03 FOLHAS MP" sheetId="25" state="visible" r:id="rId27"/>
    <sheet name="JANELA 04 FOLHAS MP" sheetId="26" state="visible" r:id="rId28"/>
    <sheet name="JANELA 02F MODULO PRATICO" sheetId="27" state="visible" r:id="rId29"/>
    <sheet name="PORTA DE GIRO GS034 GOLD" sheetId="28" state="visible" r:id="rId30"/>
    <sheet name="PORTA DE GIRO S TRAVESSA GOLD" sheetId="29" state="visible" r:id="rId31"/>
    <sheet name="JANELA MAXIM AR GOLD" sheetId="30" state="visible" r:id="rId32"/>
    <sheet name="PORTA DE CORRER 04F GOLD" sheetId="31" state="visible" r:id="rId33"/>
    <sheet name="PORTA DE CORRER 02F GOLD" sheetId="32" state="visible" r:id="rId34"/>
    <sheet name="JANELA DE CORRER 04 FOLHAS GOLD" sheetId="33" state="visible" r:id="rId35"/>
    <sheet name="JANELA DE CORRER 02 FOLHAS GOLD" sheetId="34" state="visible" r:id="rId36"/>
    <sheet name="JANELA DE CORRER 03 FOLHAS" sheetId="35" state="visible" r:id="rId37"/>
    <sheet name="JANELA 03 FOLHAS COM TELA E VID" sheetId="36" state="visible" r:id="rId38"/>
    <sheet name="PORTA INTEGRADA 2 FOLHAS" sheetId="37" state="visible" r:id="rId39"/>
    <sheet name="JANELA 2 FOLHAS INTEGRADA" sheetId="38" state="visible" r:id="rId40"/>
    <sheet name="PORTA DE 04 FOLHAS 4 PLANOS" sheetId="39" state="visible" r:id="rId41"/>
    <sheet name="PORTA CORRER 03F VZV VIDRO TRAV" sheetId="40" state="visible" r:id="rId42"/>
    <sheet name="PORTA DE CORRER 03F VZV E VIDRO" sheetId="41" state="visible" r:id="rId43"/>
    <sheet name="SU PORTA 04 FOLHAS ABER. CENTRO" sheetId="42" state="visible" r:id="rId44"/>
    <sheet name="PORTA. 03F CORRER S TRAVESSA" sheetId="43" state="visible" r:id="rId45"/>
    <sheet name="QUADRO FIXO 01 FOLHA VZV " sheetId="44" state="visible" r:id="rId46"/>
    <sheet name="QUADRO FIXO 01 FOLHA" sheetId="45" state="visible" r:id="rId47"/>
    <sheet name="SUP MAX02 + FIXO SUP. INF." sheetId="46" state="visible" r:id="rId48"/>
    <sheet name="SUP MAX02 + FIXO SUPERIOR" sheetId="47" state="visible" r:id="rId49"/>
    <sheet name="SUP MAX02 + FIXO INFERIOR" sheetId="48" state="visible" r:id="rId50"/>
    <sheet name="JA CORRER 6F VENEZIANA + VI (2" sheetId="49" state="visible" r:id="rId51"/>
    <sheet name="JA CORRER 3F VENEZIANA + VIDRO" sheetId="50" state="visible" r:id="rId52"/>
    <sheet name="SUP P02F 280 242 243 245 S TRA" sheetId="51" state="visible" r:id="rId53"/>
    <sheet name="P02F 225 280 243 242 S TRAVESSA" sheetId="52" state="visible" r:id="rId54"/>
    <sheet name="SUP P02F 225 280 243 242 " sheetId="53" state="visible" r:id="rId55"/>
    <sheet name="SUP P02F SU280242 243 245" sheetId="54" state="visible" r:id="rId56"/>
    <sheet name="SUP P02F 053 + 242 243 245 (2)" sheetId="55" state="visible" r:id="rId57"/>
    <sheet name="SUP P02F 225 + 242 243 245" sheetId="56" state="visible" r:id="rId58"/>
    <sheet name="SUP P02F SU225 REFORÇADO" sheetId="57" state="visible" r:id="rId59"/>
    <sheet name="SUP P02F CORRER + VIDRO" sheetId="58" state="visible" r:id="rId60"/>
    <sheet name="SUP P03 2F VIDRO + DIVISÃO" sheetId="59" state="visible" r:id="rId61"/>
    <sheet name="SUP P02 VZV 2 FOLHAS" sheetId="60" state="visible" r:id="rId62"/>
    <sheet name="SUP P01 VZV+VIDRO" sheetId="61" state="visible" r:id="rId63"/>
    <sheet name="SUP P01 VIDRO+TRAVESSA" sheetId="62" state="visible" r:id="rId64"/>
    <sheet name="SUP P01 GS034" sheetId="63" state="visible" r:id="rId65"/>
    <sheet name="SUP P01 VZV" sheetId="64" state="visible" r:id="rId66"/>
    <sheet name="SUP JA02 " sheetId="65" state="visible" r:id="rId67"/>
    <sheet name="SUP JA04" sheetId="66" state="visible" r:id="rId68"/>
    <sheet name="SUP MAX01" sheetId="67" state="visible" r:id="rId69"/>
    <sheet name="SUP MAX02" sheetId="68" state="visible" r:id="rId70"/>
    <sheet name="SUP MAX02 VERTICAL" sheetId="69" state="visible" r:id="rId7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<sst xmlns="http://schemas.openxmlformats.org/spreadsheetml/2006/main" count="9072" uniqueCount="754">
  <si>
    <t xml:space="preserve"> GAVETEIRO VIDRO E ALUMINIO 2 GAVETAS HORIZONTAL</t>
  </si>
  <si>
    <t xml:space="preserve">SUA LOGO AQUI</t>
  </si>
  <si>
    <t xml:space="preserve">LISTA DE PERFIS</t>
  </si>
  <si>
    <t xml:space="preserve">CLIENTE</t>
  </si>
  <si>
    <t xml:space="preserve">PERFIL</t>
  </si>
  <si>
    <t xml:space="preserve">QUANT.</t>
  </si>
  <si>
    <t xml:space="preserve">VALOR UNITÁRIO</t>
  </si>
  <si>
    <t xml:space="preserve">VALOR TOTAL</t>
  </si>
  <si>
    <t xml:space="preserve">COR</t>
  </si>
  <si>
    <t xml:space="preserve">BARRA</t>
  </si>
  <si>
    <t xml:space="preserve">M. LINEAR</t>
  </si>
  <si>
    <t xml:space="preserve">ENDEREÇO</t>
  </si>
  <si>
    <t xml:space="preserve">FONE</t>
  </si>
  <si>
    <t xml:space="preserve">BAIRRO</t>
  </si>
  <si>
    <t xml:space="preserve">DATA</t>
  </si>
  <si>
    <t xml:space="preserve">BRANCO</t>
  </si>
  <si>
    <t xml:space="preserve">VIDRO</t>
  </si>
  <si>
    <t xml:space="preserve">LARGURA</t>
  </si>
  <si>
    <t xml:space="preserve">ALTURA</t>
  </si>
  <si>
    <t xml:space="preserve">COMPR.</t>
  </si>
  <si>
    <t xml:space="preserve">FRENTE GAV</t>
  </si>
  <si>
    <t xml:space="preserve">CT 3/4</t>
  </si>
  <si>
    <t xml:space="preserve">LATERAL</t>
  </si>
  <si>
    <t xml:space="preserve"> </t>
  </si>
  <si>
    <t xml:space="preserve">FRENTE </t>
  </si>
  <si>
    <t xml:space="preserve">FUNDO</t>
  </si>
  <si>
    <t xml:space="preserve">DESCRIÇÃO</t>
  </si>
  <si>
    <t xml:space="preserve">QTD</t>
  </si>
  <si>
    <t xml:space="preserve">TAMANHO</t>
  </si>
  <si>
    <t xml:space="preserve">REFERÊNCIA</t>
  </si>
  <si>
    <t xml:space="preserve">GRAU</t>
  </si>
  <si>
    <t xml:space="preserve">2X1/2</t>
  </si>
  <si>
    <t xml:space="preserve">LARGURA ESTRUTURA</t>
  </si>
  <si>
    <t xml:space="preserve">45/45</t>
  </si>
  <si>
    <t xml:space="preserve">ALUMÍNIO</t>
  </si>
  <si>
    <t xml:space="preserve">ACESSÓRIOS</t>
  </si>
  <si>
    <t xml:space="preserve">VIDROS</t>
  </si>
  <si>
    <t xml:space="preserve">OUTROS</t>
  </si>
  <si>
    <t xml:space="preserve">TOTAL</t>
  </si>
  <si>
    <t xml:space="preserve">ALTURA ESTRUTURA</t>
  </si>
  <si>
    <t xml:space="preserve">COMP. ESTRUTURA</t>
  </si>
  <si>
    <t xml:space="preserve">COMPRIMENTO</t>
  </si>
  <si>
    <t xml:space="preserve">90/90</t>
  </si>
  <si>
    <t xml:space="preserve">ALX038</t>
  </si>
  <si>
    <t xml:space="preserve">LARGURA GAVETA</t>
  </si>
  <si>
    <t xml:space="preserve">ALTURA GAVETA</t>
  </si>
  <si>
    <t xml:space="preserve">MT</t>
  </si>
  <si>
    <t xml:space="preserve">PUXADOR FACETATO</t>
  </si>
  <si>
    <t xml:space="preserve">CANTONEIRA 19mm</t>
  </si>
  <si>
    <t xml:space="preserve">2X1 </t>
  </si>
  <si>
    <t xml:space="preserve">REGUA 2/1</t>
  </si>
  <si>
    <t xml:space="preserve">CÓDIGO</t>
  </si>
  <si>
    <t xml:space="preserve">KIT/PAR/UNID</t>
  </si>
  <si>
    <t xml:space="preserve">R$ UNIT</t>
  </si>
  <si>
    <t xml:space="preserve">CORREDIÇA TELESCÓPICA </t>
  </si>
  <si>
    <t xml:space="preserve">PAR</t>
  </si>
  <si>
    <t xml:space="preserve">ESQUADRETA DE FECHAMENTO EM 45º</t>
  </si>
  <si>
    <t xml:space="preserve">KTT</t>
  </si>
  <si>
    <t xml:space="preserve">COLA PARA VIDRO TRANSPARENTE</t>
  </si>
  <si>
    <t xml:space="preserve">UNID</t>
  </si>
  <si>
    <t xml:space="preserve">REBITE R412</t>
  </si>
  <si>
    <t xml:space="preserve">PA</t>
  </si>
  <si>
    <t xml:space="preserve">PONTEIRA FACETATO</t>
  </si>
  <si>
    <t xml:space="preserve">PARAFUSO</t>
  </si>
  <si>
    <t xml:space="preserve">UNI</t>
  </si>
  <si>
    <t xml:space="preserve"> GAVETEIRO VIDRO E ALUMINIO 2 GAVETAS VERTICAL</t>
  </si>
  <si>
    <t xml:space="preserve">PORTA DE GIRO 1 FOLHA</t>
  </si>
  <si>
    <t xml:space="preserve">COR ALUMÍNIO</t>
  </si>
  <si>
    <t xml:space="preserve">CT 1"</t>
  </si>
  <si>
    <t xml:space="preserve">PRETO</t>
  </si>
  <si>
    <t xml:space="preserve">CANTONEIRA 25mm</t>
  </si>
  <si>
    <t xml:space="preserve">FECHAMENTO</t>
  </si>
  <si>
    <t xml:space="preserve">DOB</t>
  </si>
  <si>
    <t xml:space="preserve">DOBRADIÇA</t>
  </si>
  <si>
    <t xml:space="preserve">PORTA DE GIRO 2 FOLHAS VIDRO E ALUMINIO</t>
  </si>
  <si>
    <t xml:space="preserve">2X1</t>
  </si>
  <si>
    <t xml:space="preserve">GAVETA</t>
  </si>
  <si>
    <t xml:space="preserve">PROF.</t>
  </si>
  <si>
    <t xml:space="preserve">PORTA</t>
  </si>
  <si>
    <t xml:space="preserve">CT 1" 1/8</t>
  </si>
  <si>
    <t xml:space="preserve">CT 12mm</t>
  </si>
  <si>
    <t xml:space="preserve">TRAVESSA </t>
  </si>
  <si>
    <t xml:space="preserve">LARGURA PORTA</t>
  </si>
  <si>
    <t xml:space="preserve">ALTURA PORTA</t>
  </si>
  <si>
    <t xml:space="preserve">BASE DA GAVETA</t>
  </si>
  <si>
    <t xml:space="preserve">LAT. GAVETA</t>
  </si>
  <si>
    <t xml:space="preserve">FUNDO DA GAVETA</t>
  </si>
  <si>
    <t xml:space="preserve">FRENTE PORTAS</t>
  </si>
  <si>
    <t xml:space="preserve">FRENTE GAVETA</t>
  </si>
  <si>
    <t xml:space="preserve">FUNDO GAVETA</t>
  </si>
  <si>
    <t xml:space="preserve">CANTONEIRA 12mm</t>
  </si>
  <si>
    <t xml:space="preserve">ESTRUTURA INTERNA</t>
  </si>
  <si>
    <t xml:space="preserve">GRAPA FECHAMENTO</t>
  </si>
  <si>
    <t xml:space="preserve">PARAFUSO CABEÇA CHATA</t>
  </si>
  <si>
    <t xml:space="preserve">PARAFUSO AUTO BROCANTE 14mm FLANGEADO</t>
  </si>
  <si>
    <t xml:space="preserve">CORR</t>
  </si>
  <si>
    <t xml:space="preserve">CORREDIÇA DE 450mm</t>
  </si>
  <si>
    <t xml:space="preserve">DOBRADIÇA CURVA</t>
  </si>
  <si>
    <t xml:space="preserve">PORTA DE GIRO 2 FOLHAS</t>
  </si>
  <si>
    <t xml:space="preserve">3 GAVETAS IGUAIS E 1 GAVETÃO</t>
  </si>
  <si>
    <t xml:space="preserve">QUANIDADE</t>
  </si>
  <si>
    <t xml:space="preserve">GAVETÃO</t>
  </si>
  <si>
    <t xml:space="preserve">CORREDIÇA TELESCÓPICA</t>
  </si>
  <si>
    <t xml:space="preserve"> GAVETEIRO VIDRO E ALUMINIO 4 GAVETAS</t>
  </si>
  <si>
    <t xml:space="preserve">ALEX ROSA</t>
  </si>
  <si>
    <t xml:space="preserve">PORTÃO DE CORRER/BÚZIOS/VÃO LIVRE SEM SOCIAL/BANDEIRA</t>
  </si>
  <si>
    <t xml:space="preserve">PC-027</t>
  </si>
  <si>
    <t xml:space="preserve">Francisco Gleison</t>
  </si>
  <si>
    <t xml:space="preserve">PESO</t>
  </si>
  <si>
    <t xml:space="preserve">KG TOTAL</t>
  </si>
  <si>
    <t xml:space="preserve">PU-639</t>
  </si>
  <si>
    <t xml:space="preserve">Rua A nº 212</t>
  </si>
  <si>
    <t xml:space="preserve">25-517</t>
  </si>
  <si>
    <t xml:space="preserve">85 987181957</t>
  </si>
  <si>
    <t xml:space="preserve">VILA VELHA</t>
  </si>
  <si>
    <t xml:space="preserve">GS-034</t>
  </si>
  <si>
    <t xml:space="preserve">TRD-1"</t>
  </si>
  <si>
    <t xml:space="preserve">VALOR M²</t>
  </si>
  <si>
    <t xml:space="preserve">BANDEIRA</t>
  </si>
  <si>
    <t xml:space="preserve">LB-072</t>
  </si>
  <si>
    <t xml:space="preserve">VALOR UNIT. R$</t>
  </si>
  <si>
    <t xml:space="preserve">ÁREA</t>
  </si>
  <si>
    <t xml:space="preserve">VALOR TOTAL R$</t>
  </si>
  <si>
    <t xml:space="preserve">MARCO SUPERIOR PORTÃO</t>
  </si>
  <si>
    <t xml:space="preserve">MARCO LATERAL PORTÃO</t>
  </si>
  <si>
    <t xml:space="preserve">PERFIL GUIA SUPERIOR</t>
  </si>
  <si>
    <t xml:space="preserve">BATEDOR</t>
  </si>
  <si>
    <t xml:space="preserve">LAMBRI CORRUGADO</t>
  </si>
  <si>
    <t xml:space="preserve">TRAVESSA</t>
  </si>
  <si>
    <t xml:space="preserve">TUBO VERTICAL BANDEIRA</t>
  </si>
  <si>
    <t xml:space="preserve">PESO LIQUIDO</t>
  </si>
  <si>
    <t xml:space="preserve">PESO BRUTO</t>
  </si>
  <si>
    <t xml:space="preserve">PESO SOBRA</t>
  </si>
  <si>
    <t xml:space="preserve">COMPRA</t>
  </si>
  <si>
    <t xml:space="preserve">VENDA</t>
  </si>
  <si>
    <t xml:space="preserve">VENDA POR Kg</t>
  </si>
  <si>
    <t xml:space="preserve">VENDA POR %</t>
  </si>
  <si>
    <t xml:space="preserve">NOME DE SUA EMPRESA</t>
  </si>
  <si>
    <t xml:space="preserve">REF.</t>
  </si>
  <si>
    <t xml:space="preserve">R$ UNIT.</t>
  </si>
  <si>
    <t xml:space="preserve">R$ TOTAL</t>
  </si>
  <si>
    <t xml:space="preserve">RUA: A Nº 212 - VILA VELHA 1</t>
  </si>
  <si>
    <t xml:space="preserve">P-ROL</t>
  </si>
  <si>
    <t xml:space="preserve">ROLDANA DE 50mm COM CAIXA</t>
  </si>
  <si>
    <t xml:space="preserve">FORTALEZA - CE</t>
  </si>
  <si>
    <t xml:space="preserve">P-GUIA</t>
  </si>
  <si>
    <t xml:space="preserve">GUIA NAPOLEAO</t>
  </si>
  <si>
    <t xml:space="preserve">CEP: 60.349-010</t>
  </si>
  <si>
    <t xml:space="preserve">P-FAC</t>
  </si>
  <si>
    <t xml:space="preserve">FECHADURA BICO DE PAPAGAIO PORTÃO</t>
  </si>
  <si>
    <t xml:space="preserve">TELEFONE: 85 991530951</t>
  </si>
  <si>
    <t xml:space="preserve">P-REB</t>
  </si>
  <si>
    <t xml:space="preserve">REBITE DE FIXAÇÃO 4,2x12mm</t>
  </si>
  <si>
    <t xml:space="preserve">E-MAIL: frangleison2000@gmail.com</t>
  </si>
  <si>
    <t xml:space="preserve">CNPJ: 123456-0001-23</t>
  </si>
  <si>
    <t xml:space="preserve">CLIENTE:</t>
  </si>
  <si>
    <t xml:space="preserve">RUA:</t>
  </si>
  <si>
    <t xml:space="preserve">TELEFONE:</t>
  </si>
  <si>
    <t xml:space="preserve">DATA:</t>
  </si>
  <si>
    <t xml:space="preserve">BEIRRO:</t>
  </si>
  <si>
    <t xml:space="preserve">COR:</t>
  </si>
  <si>
    <t xml:space="preserve">LOCAL:</t>
  </si>
  <si>
    <t xml:space="preserve">VIDRO:</t>
  </si>
  <si>
    <t xml:space="preserve">R$</t>
  </si>
  <si>
    <t xml:space="preserve">Condições de pagamento:</t>
  </si>
  <si>
    <t xml:space="preserve">CARTÃO EM ATÉ 6X SEM JUROS</t>
  </si>
  <si>
    <t xml:space="preserve">Válidade da proposta:</t>
  </si>
  <si>
    <t xml:space="preserve">05 DIAS ÚTEIS</t>
  </si>
  <si>
    <t xml:space="preserve">Prazo de Entrega:</t>
  </si>
  <si>
    <t xml:space="preserve">15 DIAS ÚTEIS</t>
  </si>
  <si>
    <t xml:space="preserve">Total:</t>
  </si>
  <si>
    <t xml:space="preserve">__________________________________________</t>
  </si>
  <si>
    <t xml:space="preserve">Carimbo ou Assinatura</t>
  </si>
  <si>
    <t xml:space="preserve">TOTAL R$:</t>
  </si>
  <si>
    <t xml:space="preserve">PORTÃO DE CORRER/BÚZIOS/VÃO LIVRE SEM SOCIAL</t>
  </si>
  <si>
    <t xml:space="preserve">vila velhha</t>
  </si>
  <si>
    <t xml:space="preserve">TRG-2X1</t>
  </si>
  <si>
    <t xml:space="preserve">PORTÃO DE CORRER/LAMBRI CORRUGADO/VÃO LIVRE SEM SOCIAL</t>
  </si>
  <si>
    <t xml:space="preserve">LB-050</t>
  </si>
  <si>
    <t xml:space="preserve">REGUA DE REFORÇO</t>
  </si>
  <si>
    <t xml:space="preserve">P-PAR-013</t>
  </si>
  <si>
    <t xml:space="preserve">PARAFUSO CABEÇA DE PANELA 4,2x13mm</t>
  </si>
  <si>
    <t xml:space="preserve">PORTÃO DE CORRER/LAMBRI DUPLO/VÃO LIVRE SEM SOCIAL</t>
  </si>
  <si>
    <t xml:space="preserve">LAMBRI DUPLO</t>
  </si>
  <si>
    <t xml:space="preserve">PLANO DE CORTE JANELA 04 FOLHAS  - SUPREMA</t>
  </si>
  <si>
    <t xml:space="preserve">SU-192</t>
  </si>
  <si>
    <t xml:space="preserve">SU-001</t>
  </si>
  <si>
    <t xml:space="preserve">MARCO SUPERIOR</t>
  </si>
  <si>
    <t xml:space="preserve">SU-102</t>
  </si>
  <si>
    <t xml:space="preserve">SU-002</t>
  </si>
  <si>
    <t xml:space="preserve">MARCO INFERIOR</t>
  </si>
  <si>
    <t xml:space="preserve">SU-003</t>
  </si>
  <si>
    <t xml:space="preserve">MARCO LATERAL</t>
  </si>
  <si>
    <t xml:space="preserve">SU-039</t>
  </si>
  <si>
    <t xml:space="preserve">MONTANTE LATERAL</t>
  </si>
  <si>
    <t xml:space="preserve">COMPRA BRUTA</t>
  </si>
  <si>
    <t xml:space="preserve">COMPLEMENTO</t>
  </si>
  <si>
    <t xml:space="preserve">SU-040</t>
  </si>
  <si>
    <t xml:space="preserve">MONTANTE CENTRAL</t>
  </si>
  <si>
    <t xml:space="preserve">COMPRA LIQUIDA</t>
  </si>
  <si>
    <t xml:space="preserve">SU-041</t>
  </si>
  <si>
    <t xml:space="preserve">SU-053</t>
  </si>
  <si>
    <t xml:space="preserve">TRAVESSA FOLHA</t>
  </si>
  <si>
    <t xml:space="preserve">BAGUETE</t>
  </si>
  <si>
    <t xml:space="preserve">BBAGUETE</t>
  </si>
  <si>
    <t xml:space="preserve">SU 192</t>
  </si>
  <si>
    <t xml:space="preserve">UM</t>
  </si>
  <si>
    <t xml:space="preserve">QUANTIDADE</t>
  </si>
  <si>
    <t xml:space="preserve">COM-370</t>
  </si>
  <si>
    <t xml:space="preserve">CONTRAFECHO LATERAL</t>
  </si>
  <si>
    <t xml:space="preserve">PC</t>
  </si>
  <si>
    <t xml:space="preserve">FEC-636</t>
  </si>
  <si>
    <t xml:space="preserve">FECHO SEM CHAVE COM TRAVA LATERAL</t>
  </si>
  <si>
    <t xml:space="preserve">FIT-206</t>
  </si>
  <si>
    <t xml:space="preserve">FITA VEDADORA S/ BARREIRA PLÁSTICA 5X6</t>
  </si>
  <si>
    <t xml:space="preserve">FIT-212</t>
  </si>
  <si>
    <t xml:space="preserve">FITA VEDADORA S/ BARREIRA PLÁSTICA 5X8</t>
  </si>
  <si>
    <t xml:space="preserve">FIT-246</t>
  </si>
  <si>
    <t xml:space="preserve">FITA VEDADORA S/ BARREIRA PLÁSTICA  7,6 X6</t>
  </si>
  <si>
    <t xml:space="preserve">GUA-256</t>
  </si>
  <si>
    <t xml:space="preserve">GUARNIÇÃO TIPO CUNHA 6,3 X12</t>
  </si>
  <si>
    <t xml:space="preserve">GUA-171</t>
  </si>
  <si>
    <t xml:space="preserve">GUARNIÇÃO ADESIVA 11X3</t>
  </si>
  <si>
    <t xml:space="preserve">GUA-258</t>
  </si>
  <si>
    <t xml:space="preserve">GUARNIÇÃO ADESIVA  11X4</t>
  </si>
  <si>
    <t xml:space="preserve">NYL-329</t>
  </si>
  <si>
    <t xml:space="preserve">CAIXA DE DRENO</t>
  </si>
  <si>
    <t xml:space="preserve">NYL-332</t>
  </si>
  <si>
    <t xml:space="preserve">GUIA DESLIZANTE - JANELA E PORTA</t>
  </si>
  <si>
    <t xml:space="preserve">NYL-335</t>
  </si>
  <si>
    <t xml:space="preserve">VEDAÇÃO SUPERIOR</t>
  </si>
  <si>
    <t xml:space="preserve">NYL-414</t>
  </si>
  <si>
    <t xml:space="preserve">BATEDEIRA - JANELA E PORTA DE CORRER</t>
  </si>
  <si>
    <t xml:space="preserve">PAR-427</t>
  </si>
  <si>
    <t xml:space="preserve">PARAF. C. PAN. AA PONTA LISA 4,8X32</t>
  </si>
  <si>
    <t xml:space="preserve">ROL-440</t>
  </si>
  <si>
    <t xml:space="preserve">ROLDANA COM REGULAGEM E ROLAMENTO</t>
  </si>
  <si>
    <t xml:space="preserve">SU-GUA-157</t>
  </si>
  <si>
    <t xml:space="preserve">GUARNIÇÃO ADESIVA ESPONJOSA</t>
  </si>
  <si>
    <t xml:space="preserve">PORTA DE GIRO</t>
  </si>
  <si>
    <t xml:space="preserve">30-089</t>
  </si>
  <si>
    <t xml:space="preserve">30-023</t>
  </si>
  <si>
    <t xml:space="preserve">30-082</t>
  </si>
  <si>
    <t xml:space="preserve">30-030</t>
  </si>
  <si>
    <t xml:space="preserve">BG-010</t>
  </si>
  <si>
    <t xml:space="preserve">45/90</t>
  </si>
  <si>
    <t xml:space="preserve">LARGURA CONTORNO</t>
  </si>
  <si>
    <t xml:space="preserve">ALTURA CONTORNO</t>
  </si>
  <si>
    <t xml:space="preserve">TRAVESSA CENTRAL</t>
  </si>
  <si>
    <t xml:space="preserve">30-PIVO</t>
  </si>
  <si>
    <t xml:space="preserve">PIVO</t>
  </si>
  <si>
    <t xml:space="preserve">30-BR-22-MB</t>
  </si>
  <si>
    <t xml:space="preserve">FECHADURA DE ROLETE</t>
  </si>
  <si>
    <t xml:space="preserve">30-COM-298</t>
  </si>
  <si>
    <t xml:space="preserve">CONTRA TESTA</t>
  </si>
  <si>
    <t xml:space="preserve">ECO-732</t>
  </si>
  <si>
    <t xml:space="preserve">ECO-730</t>
  </si>
  <si>
    <t xml:space="preserve">ECO-726</t>
  </si>
  <si>
    <t xml:space="preserve">MARCO SUPERIO</t>
  </si>
  <si>
    <t xml:space="preserve">CONTORNO FOLHA</t>
  </si>
  <si>
    <t xml:space="preserve">UN-FRA-822</t>
  </si>
  <si>
    <t xml:space="preserve">FECHADURA PARA PORTA DE GIRO</t>
  </si>
  <si>
    <t xml:space="preserve">UN-COM-295</t>
  </si>
  <si>
    <t xml:space="preserve">ONTRA TESTA</t>
  </si>
  <si>
    <t xml:space="preserve">UN-DOB-840</t>
  </si>
  <si>
    <t xml:space="preserve">DOBRADIÇA PARA PORTA DE GIRO</t>
  </si>
  <si>
    <t xml:space="preserve">UN-FIT-206</t>
  </si>
  <si>
    <t xml:space="preserve">FITA VEDADORA 5X6</t>
  </si>
  <si>
    <t xml:space="preserve">UN-GUA-284</t>
  </si>
  <si>
    <t xml:space="preserve">GUARNIÇÃO DO VIDRO 3 E 4mm</t>
  </si>
  <si>
    <t xml:space="preserve">US-725</t>
  </si>
  <si>
    <t xml:space="preserve">PORTA DE GIRO COM VENEZIANA</t>
  </si>
  <si>
    <t xml:space="preserve">VENEZIANA</t>
  </si>
  <si>
    <t xml:space="preserve">PORTA DE CORRER 04 FOLHAS</t>
  </si>
  <si>
    <t xml:space="preserve">ECO-701</t>
  </si>
  <si>
    <t xml:space="preserve">ECO-797</t>
  </si>
  <si>
    <t xml:space="preserve">ECO-703</t>
  </si>
  <si>
    <t xml:space="preserve">ECO-739</t>
  </si>
  <si>
    <t xml:space="preserve">ECO-796</t>
  </si>
  <si>
    <t xml:space="preserve">ECO-724</t>
  </si>
  <si>
    <t xml:space="preserve">ECO-728</t>
  </si>
  <si>
    <t xml:space="preserve">MONTANTE FOLHA</t>
  </si>
  <si>
    <t xml:space="preserve">TRAVESSA SUP.</t>
  </si>
  <si>
    <t xml:space="preserve">TRAVESSA INF.</t>
  </si>
  <si>
    <t xml:space="preserve">ECO-798</t>
  </si>
  <si>
    <t xml:space="preserve">ECO-733</t>
  </si>
  <si>
    <t xml:space="preserve">UN-128</t>
  </si>
  <si>
    <t xml:space="preserve">TRAVA E GUIA</t>
  </si>
  <si>
    <t xml:space="preserve">UN-NYL-442</t>
  </si>
  <si>
    <t xml:space="preserve">BATEDEIRA</t>
  </si>
  <si>
    <t xml:space="preserve">UN-GUA-006</t>
  </si>
  <si>
    <t xml:space="preserve">VEDAÇÃO DO ENGATE 5mm</t>
  </si>
  <si>
    <t xml:space="preserve">UN-NYL-412</t>
  </si>
  <si>
    <t xml:space="preserve">UN-NYL-413</t>
  </si>
  <si>
    <t xml:space="preserve">UN-ROL-464</t>
  </si>
  <si>
    <t xml:space="preserve">ROLDANA</t>
  </si>
  <si>
    <t xml:space="preserve">UN-NYL-042</t>
  </si>
  <si>
    <t xml:space="preserve">TAPA FURO</t>
  </si>
  <si>
    <t xml:space="preserve">UN-ARR-569</t>
  </si>
  <si>
    <t xml:space="preserve">ARRUELA LISA</t>
  </si>
  <si>
    <t xml:space="preserve">UN-PAR-428</t>
  </si>
  <si>
    <t xml:space="preserve">PARAFUSO CABEÇA DE PANELA PONTA LISA 4,8x32mm</t>
  </si>
  <si>
    <t xml:space="preserve">UN-FEC-636</t>
  </si>
  <si>
    <t xml:space="preserve">FECHO CONCHA</t>
  </si>
  <si>
    <t xml:space="preserve">UN-COM-370</t>
  </si>
  <si>
    <t xml:space="preserve">CONTRA FECHO JANELA</t>
  </si>
  <si>
    <t xml:space="preserve">UN-TRA-007</t>
  </si>
  <si>
    <t xml:space="preserve">TRAVA PARA FECHO</t>
  </si>
  <si>
    <t xml:space="preserve">UN-TAM-796</t>
  </si>
  <si>
    <t xml:space="preserve">TAMPA MONTANTE DA FOLHA</t>
  </si>
  <si>
    <t xml:space="preserve">PORTA DE CORRER 02 FOLHAS</t>
  </si>
  <si>
    <t xml:space="preserve">JANELA DE CORRER 04 FOLHAS </t>
  </si>
  <si>
    <t xml:space="preserve">ECO-702</t>
  </si>
  <si>
    <t xml:space="preserve">ECO-756</t>
  </si>
  <si>
    <t xml:space="preserve">TRAVESSA INF E SUP.</t>
  </si>
  <si>
    <t xml:space="preserve">UN-ROL-4558</t>
  </si>
  <si>
    <t xml:space="preserve">JANELA DE CORRER 02 FOLHAS </t>
  </si>
  <si>
    <t xml:space="preserve">MP-357</t>
  </si>
  <si>
    <t xml:space="preserve">MP-370</t>
  </si>
  <si>
    <t xml:space="preserve">MP-360</t>
  </si>
  <si>
    <t xml:space="preserve">MP-336</t>
  </si>
  <si>
    <t xml:space="preserve">MP-070</t>
  </si>
  <si>
    <t xml:space="preserve">MP-369</t>
  </si>
  <si>
    <t xml:space="preserve">MP-309</t>
  </si>
  <si>
    <t xml:space="preserve">MP-354</t>
  </si>
  <si>
    <t xml:space="preserve">MP-332</t>
  </si>
  <si>
    <t xml:space="preserve">BG-202</t>
  </si>
  <si>
    <t xml:space="preserve">MP-352</t>
  </si>
  <si>
    <t xml:space="preserve">MP-202</t>
  </si>
  <si>
    <t xml:space="preserve">90/91</t>
  </si>
  <si>
    <t xml:space="preserve">90/92</t>
  </si>
  <si>
    <t xml:space="preserve">MP-ROL-415</t>
  </si>
  <si>
    <t xml:space="preserve">ROLDANA PARA PORTA</t>
  </si>
  <si>
    <t xml:space="preserve">MP-FEC-884</t>
  </si>
  <si>
    <t xml:space="preserve">FECHO VIRGULA</t>
  </si>
  <si>
    <t xml:space="preserve">MP-NYL-036</t>
  </si>
  <si>
    <t xml:space="preserve">GUIA E TRAVA</t>
  </si>
  <si>
    <t xml:space="preserve">MP-ARR-552</t>
  </si>
  <si>
    <t xml:space="preserve">ARRUELA LISA 5x12 6x1mm</t>
  </si>
  <si>
    <t xml:space="preserve">MP-NYL-042</t>
  </si>
  <si>
    <t xml:space="preserve">BOTÃO TAPA FURO</t>
  </si>
  <si>
    <t xml:space="preserve">MP-PAR-427</t>
  </si>
  <si>
    <t xml:space="preserve">PARAFUSO CABEÇA DE PANELA 4,8x32mm PONTA LISA</t>
  </si>
  <si>
    <t xml:space="preserve">MP-FIT-201</t>
  </si>
  <si>
    <t xml:space="preserve">FITA VEDADORA 5X5 PRETA</t>
  </si>
  <si>
    <t xml:space="preserve">MP-FIT-223</t>
  </si>
  <si>
    <t xml:space="preserve">FITA VEDADORA 7X5 PRETA</t>
  </si>
  <si>
    <t xml:space="preserve">MP-GUA-051</t>
  </si>
  <si>
    <t xml:space="preserve">GUARNIÇÃO DO VIDRO</t>
  </si>
  <si>
    <t xml:space="preserve">MP-FIT-212</t>
  </si>
  <si>
    <t xml:space="preserve">FITA VEDADORA 5x8</t>
  </si>
  <si>
    <t xml:space="preserve">JANELA MAXIM AR 01 BSC</t>
  </si>
  <si>
    <t xml:space="preserve">MP-312</t>
  </si>
  <si>
    <t xml:space="preserve">MP-311</t>
  </si>
  <si>
    <t xml:space="preserve">MP-301</t>
  </si>
  <si>
    <t xml:space="preserve">MP-375</t>
  </si>
  <si>
    <t xml:space="preserve">MP-058</t>
  </si>
  <si>
    <t xml:space="preserve">BG-035</t>
  </si>
  <si>
    <t xml:space="preserve">LARGURA FOLHA</t>
  </si>
  <si>
    <t xml:space="preserve">ALTURA FOLHA</t>
  </si>
  <si>
    <t xml:space="preserve">PINGADEIRA</t>
  </si>
  <si>
    <t xml:space="preserve">BAGGUETE</t>
  </si>
  <si>
    <t xml:space="preserve">MP-FEC-125</t>
  </si>
  <si>
    <t xml:space="preserve">FECHO PUNHO</t>
  </si>
  <si>
    <t xml:space="preserve">MP-PIV-738</t>
  </si>
  <si>
    <t xml:space="preserve">BRAÇO MAXIM AR</t>
  </si>
  <si>
    <t xml:space="preserve">FITA VEDADORA 5x5   </t>
  </si>
  <si>
    <t xml:space="preserve">GUARNIÇAO DO VIDRO</t>
  </si>
  <si>
    <t xml:space="preserve">PORTA DE CORRER 03 FOLHAS</t>
  </si>
  <si>
    <t xml:space="preserve">MP-366</t>
  </si>
  <si>
    <t xml:space="preserve">MP-371</t>
  </si>
  <si>
    <t xml:space="preserve">MP-368</t>
  </si>
  <si>
    <t xml:space="preserve">MP-379</t>
  </si>
  <si>
    <t xml:space="preserve">MP-380</t>
  </si>
  <si>
    <t xml:space="preserve">ME-013</t>
  </si>
  <si>
    <t xml:space="preserve">TRAVESSA SUPERIOR</t>
  </si>
  <si>
    <t xml:space="preserve">TRAVESSA INFERIOR</t>
  </si>
  <si>
    <t xml:space="preserve">REMATE PISO</t>
  </si>
  <si>
    <t xml:space="preserve">LG-068</t>
  </si>
  <si>
    <t xml:space="preserve">JANELA DE CORRER 03 FOLHAS </t>
  </si>
  <si>
    <t xml:space="preserve">MP-416</t>
  </si>
  <si>
    <t xml:space="preserve">MP-300</t>
  </si>
  <si>
    <t xml:space="preserve">MP-302</t>
  </si>
  <si>
    <t xml:space="preserve">MP-321</t>
  </si>
  <si>
    <t xml:space="preserve">MP-ROL-237</t>
  </si>
  <si>
    <t xml:space="preserve">ROLDANA PARA JANELA</t>
  </si>
  <si>
    <t xml:space="preserve">MP-358</t>
  </si>
  <si>
    <t xml:space="preserve">PORTA DE GIRO COM LAMBRI DUPLO</t>
  </si>
  <si>
    <t xml:space="preserve">LG-056</t>
  </si>
  <si>
    <t xml:space="preserve">LG-043</t>
  </si>
  <si>
    <t xml:space="preserve">LG-058</t>
  </si>
  <si>
    <t xml:space="preserve">LG-007</t>
  </si>
  <si>
    <t xml:space="preserve">BG-057</t>
  </si>
  <si>
    <t xml:space="preserve">LG-026</t>
  </si>
  <si>
    <t xml:space="preserve">MONTANTE PORTA</t>
  </si>
  <si>
    <t xml:space="preserve">LAMBRI</t>
  </si>
  <si>
    <t xml:space="preserve">LG-GUA-171</t>
  </si>
  <si>
    <t xml:space="preserve">LG-FIT-206</t>
  </si>
  <si>
    <t xml:space="preserve">LG-DOB-828</t>
  </si>
  <si>
    <t xml:space="preserve">DOBRADIÇAS 3 ABAS</t>
  </si>
  <si>
    <t xml:space="preserve">LG-FRA-822</t>
  </si>
  <si>
    <t xml:space="preserve">LG-MAC-1004</t>
  </si>
  <si>
    <t xml:space="preserve">MAÇANETA ESPELHO</t>
  </si>
  <si>
    <t xml:space="preserve">LG-COM-386</t>
  </si>
  <si>
    <t xml:space="preserve">LG-GUA-259</t>
  </si>
  <si>
    <t xml:space="preserve">LG-GUA-304</t>
  </si>
  <si>
    <t xml:space="preserve">GUARNIÇÃO ESPONJOSA 14X6,4mm</t>
  </si>
  <si>
    <t xml:space="preserve">LG-GUA-306</t>
  </si>
  <si>
    <t xml:space="preserve">GUARNIÇÃO ESPONJOSA 14X3,2mm</t>
  </si>
  <si>
    <t xml:space="preserve">LG-PAR-431</t>
  </si>
  <si>
    <t xml:space="preserve">PARAFUSO 4,8x50mm</t>
  </si>
  <si>
    <t xml:space="preserve">PORTA DE GIRO SEM TRAVESSA</t>
  </si>
  <si>
    <t xml:space="preserve">JANELA MAXIM-AR 01 BÁSCULA</t>
  </si>
  <si>
    <t xml:space="preserve">LG-085</t>
  </si>
  <si>
    <t xml:space="preserve">LG-092</t>
  </si>
  <si>
    <t xml:space="preserve">MARCO SUP. E INF.</t>
  </si>
  <si>
    <t xml:space="preserve">PINGGADEIRA</t>
  </si>
  <si>
    <t xml:space="preserve">LG-BRA-MAX</t>
  </si>
  <si>
    <t xml:space="preserve">LG-FEC-493</t>
  </si>
  <si>
    <t xml:space="preserve">LG-COM-33</t>
  </si>
  <si>
    <t xml:space="preserve">CONEXÃO DE ALINHAMENTO</t>
  </si>
  <si>
    <t xml:space="preserve">LG-GUA-239</t>
  </si>
  <si>
    <t xml:space="preserve">GUARNIÇÃO DO MARCO</t>
  </si>
  <si>
    <t xml:space="preserve">LG-GUA-007</t>
  </si>
  <si>
    <t xml:space="preserve">GUARNIÇÃO DA PINGADEIRA</t>
  </si>
  <si>
    <t xml:space="preserve">PORTA DE CORRER 04 FOLHAS </t>
  </si>
  <si>
    <t xml:space="preserve">LG-070</t>
  </si>
  <si>
    <t xml:space="preserve">LG-072</t>
  </si>
  <si>
    <t xml:space="preserve">LG-071</t>
  </si>
  <si>
    <t xml:space="preserve">LG-028</t>
  </si>
  <si>
    <t xml:space="preserve">LG-006</t>
  </si>
  <si>
    <t xml:space="preserve">LG-017</t>
  </si>
  <si>
    <t xml:space="preserve">LG-021</t>
  </si>
  <si>
    <t xml:space="preserve">LG-049</t>
  </si>
  <si>
    <t xml:space="preserve">MARO INFERIOR</t>
  </si>
  <si>
    <t xml:space="preserve">MONTANTE DA FOLHA</t>
  </si>
  <si>
    <t xml:space="preserve">REMATE DO PISO</t>
  </si>
  <si>
    <t xml:space="preserve">LG-COM-383</t>
  </si>
  <si>
    <t xml:space="preserve">CONTRA TESTA LATERAL</t>
  </si>
  <si>
    <t xml:space="preserve">LG-NYL-396</t>
  </si>
  <si>
    <t xml:space="preserve">GUIA LIMITADOR </t>
  </si>
  <si>
    <t xml:space="preserve">LG-NYL-395</t>
  </si>
  <si>
    <t xml:space="preserve">VEDAÇÃO INFERIOR</t>
  </si>
  <si>
    <t xml:space="preserve">LG-COM-381</t>
  </si>
  <si>
    <t xml:space="preserve">LG-NYL-398</t>
  </si>
  <si>
    <t xml:space="preserve">LG-CAL-929</t>
  </si>
  <si>
    <t xml:space="preserve">CALÇO VEDANTE MONTANTE</t>
  </si>
  <si>
    <t xml:space="preserve">LG-NYL-042</t>
  </si>
  <si>
    <t xml:space="preserve">LG-ROL-413</t>
  </si>
  <si>
    <t xml:space="preserve">ROLDANA DUPLA COM REGUALGEM</t>
  </si>
  <si>
    <t xml:space="preserve">LG-GUA-256</t>
  </si>
  <si>
    <t xml:space="preserve">GUARNIÇÃO ESPONJOSA 14mmX3,2mm </t>
  </si>
  <si>
    <t xml:space="preserve">GUARNIÇÃO ESPONJOSA 14mmX6,4mm </t>
  </si>
  <si>
    <t xml:space="preserve">LG-FEC-1049</t>
  </si>
  <si>
    <t xml:space="preserve">FECHO CONCHA PORTA</t>
  </si>
  <si>
    <t xml:space="preserve">LG-TRA-003</t>
  </si>
  <si>
    <t xml:space="preserve">FITA VEDADORA 5x6</t>
  </si>
  <si>
    <t xml:space="preserve">LG-FIT-416</t>
  </si>
  <si>
    <t xml:space="preserve">RECEBIMENTO DA SOLEIRA</t>
  </si>
  <si>
    <t xml:space="preserve">LG-PAR-428</t>
  </si>
  <si>
    <t xml:space="preserve">PARAFUSO 4,8x32mm</t>
  </si>
  <si>
    <t xml:space="preserve">LG-PAR-4850</t>
  </si>
  <si>
    <t xml:space="preserve">PARAFUSO 4,2x50mm</t>
  </si>
  <si>
    <t xml:space="preserve">LG-FIT-223</t>
  </si>
  <si>
    <t xml:space="preserve">FITA VEDADORA 7x8</t>
  </si>
  <si>
    <t xml:space="preserve">G-NYL-400</t>
  </si>
  <si>
    <t xml:space="preserve">TAMPA DO MONTANTE LG-021</t>
  </si>
  <si>
    <t xml:space="preserve">PORTA DE CORRER 02 FOLHAS </t>
  </si>
  <si>
    <t xml:space="preserve">LG-044</t>
  </si>
  <si>
    <t xml:space="preserve">LG-047</t>
  </si>
  <si>
    <t xml:space="preserve">LG-046</t>
  </si>
  <si>
    <t xml:space="preserve">LG-045</t>
  </si>
  <si>
    <t xml:space="preserve">LG-050</t>
  </si>
  <si>
    <t xml:space="preserve">LG-055</t>
  </si>
  <si>
    <t xml:space="preserve">TRAVESSA SUP</t>
  </si>
  <si>
    <t xml:space="preserve">GAGUETE</t>
  </si>
  <si>
    <t xml:space="preserve">LG-057</t>
  </si>
  <si>
    <t xml:space="preserve">LG-115</t>
  </si>
  <si>
    <t xml:space="preserve">LG-111</t>
  </si>
  <si>
    <t xml:space="preserve">LG-124</t>
  </si>
  <si>
    <t xml:space="preserve">LG-FEC-1028</t>
  </si>
  <si>
    <t xml:space="preserve">FECHO CONCHA JANELA</t>
  </si>
  <si>
    <t xml:space="preserve">SU-GUA-171</t>
  </si>
  <si>
    <t xml:space="preserve">LG-024</t>
  </si>
  <si>
    <t xml:space="preserve">LG-048</t>
  </si>
  <si>
    <t xml:space="preserve">BG-026</t>
  </si>
  <si>
    <t xml:space="preserve">LG-051</t>
  </si>
  <si>
    <t xml:space="preserve">TRAVESSA SUP/INF FOLHA</t>
  </si>
  <si>
    <t xml:space="preserve">LG-COM-384</t>
  </si>
  <si>
    <t xml:space="preserve">LG-FIT-212</t>
  </si>
  <si>
    <t xml:space="preserve">LG-NYL-394</t>
  </si>
  <si>
    <t xml:space="preserve">CALÇO PARA FOLHA FIXA</t>
  </si>
  <si>
    <t xml:space="preserve">LG-ROL-468</t>
  </si>
  <si>
    <t xml:space="preserve">SU-010</t>
  </si>
  <si>
    <t xml:space="preserve">SU-011</t>
  </si>
  <si>
    <t xml:space="preserve">SU-012</t>
  </si>
  <si>
    <t xml:space="preserve">SU-291</t>
  </si>
  <si>
    <t xml:space="preserve">SU-FAC-363</t>
  </si>
  <si>
    <t xml:space="preserve">FECHO CONHA MANUAL</t>
  </si>
  <si>
    <t xml:space="preserve">SU-COM-370</t>
  </si>
  <si>
    <t xml:space="preserve">CONTRA FECHO LATERAL</t>
  </si>
  <si>
    <t xml:space="preserve">SU-013</t>
  </si>
  <si>
    <t xml:space="preserve">SU-ROL-441</t>
  </si>
  <si>
    <t xml:space="preserve">SU-042</t>
  </si>
  <si>
    <t xml:space="preserve">SU-NYL-329</t>
  </si>
  <si>
    <t xml:space="preserve">SU-NYL-332</t>
  </si>
  <si>
    <t xml:space="preserve">GUIA DESLIZANTE COM PLACA PORTA E JANELA CORRER</t>
  </si>
  <si>
    <t xml:space="preserve">SU-NYL-335</t>
  </si>
  <si>
    <t xml:space="preserve">SU-NYL-414</t>
  </si>
  <si>
    <t xml:space="preserve">BATEDEIRA PORTA E JANELA DE CORRER</t>
  </si>
  <si>
    <t xml:space="preserve">SU-PAR-427</t>
  </si>
  <si>
    <t xml:space="preserve">PARAFUSO CABEÇA PANELA PONTA LISA 4,8x32mm</t>
  </si>
  <si>
    <t xml:space="preserve">A-058</t>
  </si>
  <si>
    <t xml:space="preserve">SU-GUA-256</t>
  </si>
  <si>
    <t xml:space="preserve">GUARNIÇÃO   </t>
  </si>
  <si>
    <t xml:space="preserve">SU-FIT-206</t>
  </si>
  <si>
    <t xml:space="preserve">FITA VEDADORA SEM BARREIRA PLÁSTICA </t>
  </si>
  <si>
    <t xml:space="preserve">SU-FIT-212</t>
  </si>
  <si>
    <t xml:space="preserve">FITA VEDADORA SEM BARREIRA PLÁSTICA</t>
  </si>
  <si>
    <t xml:space="preserve">JANELA DE CORRER 03 FOLHAS COM TELA</t>
  </si>
  <si>
    <t xml:space="preserve">SU-014</t>
  </si>
  <si>
    <t xml:space="preserve">PERFIL TELA</t>
  </si>
  <si>
    <t xml:space="preserve">SU-FAC-1045</t>
  </si>
  <si>
    <t xml:space="preserve">SU-TRA-009</t>
  </si>
  <si>
    <t xml:space="preserve">TRAVA PARA FECHOS</t>
  </si>
  <si>
    <t xml:space="preserve">SU-FIT-246</t>
  </si>
  <si>
    <t xml:space="preserve">FITA VEDADORA SEM BARREIRA PLÁSTICA 7,6x6</t>
  </si>
  <si>
    <t xml:space="preserve">SU-GUA-282</t>
  </si>
  <si>
    <t xml:space="preserve">GUARNIÇÃO</t>
  </si>
  <si>
    <t xml:space="preserve">SU-PAR-4850</t>
  </si>
  <si>
    <t xml:space="preserve">PARAFUSO CABEÇA PANELA PONTA LISA 4,2x50mm</t>
  </si>
  <si>
    <t xml:space="preserve">SU-GUA-258</t>
  </si>
  <si>
    <t xml:space="preserve">PORTA INTEGRADA 02 FOLHAS DE CORRER</t>
  </si>
  <si>
    <t xml:space="preserve">MN-001</t>
  </si>
  <si>
    <t xml:space="preserve">SU-228</t>
  </si>
  <si>
    <t xml:space="preserve">MN-002</t>
  </si>
  <si>
    <t xml:space="preserve">MN-003</t>
  </si>
  <si>
    <t xml:space="preserve">MN-039</t>
  </si>
  <si>
    <t xml:space="preserve">MN-005</t>
  </si>
  <si>
    <t xml:space="preserve">MN-006</t>
  </si>
  <si>
    <t xml:space="preserve">MN-007</t>
  </si>
  <si>
    <t xml:space="preserve">MN-015</t>
  </si>
  <si>
    <t xml:space="preserve">SU-302</t>
  </si>
  <si>
    <t xml:space="preserve">SU-225</t>
  </si>
  <si>
    <t xml:space="preserve">MN-055</t>
  </si>
  <si>
    <t xml:space="preserve">VZP-042</t>
  </si>
  <si>
    <t xml:space="preserve">VZC-122</t>
  </si>
  <si>
    <t xml:space="preserve">SU-FEC-010</t>
  </si>
  <si>
    <t xml:space="preserve">KIT MOTOR 220v</t>
  </si>
  <si>
    <t xml:space="preserve">SU-ROL-440</t>
  </si>
  <si>
    <t xml:space="preserve">SU-NYL-042</t>
  </si>
  <si>
    <t xml:space="preserve">VEDADOR DE VENTO</t>
  </si>
  <si>
    <t xml:space="preserve">SU-NYL-370</t>
  </si>
  <si>
    <t xml:space="preserve">GUIA PERSIANA</t>
  </si>
  <si>
    <t xml:space="preserve">SU-NYL-369</t>
  </si>
  <si>
    <t xml:space="preserve">GUIA E LIMITADOR SUBIDA VENEZIANA</t>
  </si>
  <si>
    <t xml:space="preserve">SU-NYL-447</t>
  </si>
  <si>
    <t xml:space="preserve">TAMPA DA PALHETA</t>
  </si>
  <si>
    <t xml:space="preserve">SU-GUA-290</t>
  </si>
  <si>
    <t xml:space="preserve">GUARNIÇÇÃO</t>
  </si>
  <si>
    <t xml:space="preserve">LG-NYL-372</t>
  </si>
  <si>
    <t xml:space="preserve">TAMPA DA CAIA PORTA INTEGRADA</t>
  </si>
  <si>
    <t xml:space="preserve">SU-FIT-214</t>
  </si>
  <si>
    <t xml:space="preserve">FITA VEDADORA</t>
  </si>
  <si>
    <t xml:space="preserve">VITA VEDADORA SEM BARREIRA PLÁSTICA</t>
  </si>
  <si>
    <t xml:space="preserve">SU-PAR-3995</t>
  </si>
  <si>
    <t xml:space="preserve">PARAFUSO 3,9x9,5mm CABEÇA DE PANELA</t>
  </si>
  <si>
    <t xml:space="preserve">SU-PAR-4832</t>
  </si>
  <si>
    <t xml:space="preserve">PARAFUSO 4,8x32mm CABEÇA DE PANELA</t>
  </si>
  <si>
    <t xml:space="preserve">PARAFUSO 4,2x50mm CABEÇA DE PANELA</t>
  </si>
  <si>
    <t xml:space="preserve">SU-GUA-247</t>
  </si>
  <si>
    <t xml:space="preserve">GUARNIÇÃO  </t>
  </si>
  <si>
    <t xml:space="preserve">SU-PAR-4813</t>
  </si>
  <si>
    <t xml:space="preserve">PARAFUSO 4,8x13mm CABEÇA DE PANELA</t>
  </si>
  <si>
    <t xml:space="preserve">JANELA INTEGRADA 02 FOLHAS DE CORRER</t>
  </si>
  <si>
    <t xml:space="preserve">MN-031</t>
  </si>
  <si>
    <t xml:space="preserve">MN-010</t>
  </si>
  <si>
    <t xml:space="preserve">MN-050</t>
  </si>
  <si>
    <t xml:space="preserve">VZC</t>
  </si>
  <si>
    <t xml:space="preserve">VZP</t>
  </si>
  <si>
    <t xml:space="preserve">SU-107</t>
  </si>
  <si>
    <t xml:space="preserve">SU-FEC-636</t>
  </si>
  <si>
    <t xml:space="preserve">FECHO SEM CHAVE COM TRAVA RETA</t>
  </si>
  <si>
    <t xml:space="preserve">FITA VEDADORA SEM BARREIRA PLÁSTICA 5x6</t>
  </si>
  <si>
    <t xml:space="preserve">FITA VEDADORA SEM BARREIRA PLÁSTICA 5x8</t>
  </si>
  <si>
    <t xml:space="preserve">GUARNIÇÃO DA VENEZIANA 22x2</t>
  </si>
  <si>
    <t xml:space="preserve">FITA VEDADORA SEM BARREIRA 5x10</t>
  </si>
  <si>
    <t xml:space="preserve">TRAVA DA TAMPA</t>
  </si>
  <si>
    <t xml:space="preserve">SU-REC-002</t>
  </si>
  <si>
    <t xml:space="preserve">CONJUNTO DE RECOLHEDOR DIRETO</t>
  </si>
  <si>
    <t xml:space="preserve">SU-NYL-382</t>
  </si>
  <si>
    <t xml:space="preserve">FECHAMENTO LATERAL DA TAMPA MN-031</t>
  </si>
  <si>
    <t xml:space="preserve">GUIA DA PERSIANA</t>
  </si>
  <si>
    <t xml:space="preserve">GUIA LIMITADOR</t>
  </si>
  <si>
    <t xml:space="preserve">PORTA DE CORRER 02 FOLHAS COM VIDRO E TRAVESSA</t>
  </si>
  <si>
    <t xml:space="preserve">SU-121</t>
  </si>
  <si>
    <t xml:space="preserve">SU-122</t>
  </si>
  <si>
    <t xml:space="preserve">SU-123</t>
  </si>
  <si>
    <t xml:space="preserve">SU-245</t>
  </si>
  <si>
    <t xml:space="preserve">SU-242</t>
  </si>
  <si>
    <t xml:space="preserve">SU-243</t>
  </si>
  <si>
    <t xml:space="preserve">SU-008</t>
  </si>
  <si>
    <t xml:space="preserve">ME-113</t>
  </si>
  <si>
    <t xml:space="preserve">MONTANTE MÃO AMIGO</t>
  </si>
  <si>
    <t xml:space="preserve">TRAVESSA SUP. FOLHA</t>
  </si>
  <si>
    <t xml:space="preserve">SU-FRA-820</t>
  </si>
  <si>
    <t xml:space="preserve">FECHADURA PORTA BICO DE PAPAGAIO</t>
  </si>
  <si>
    <t xml:space="preserve">CONTRA FECHO</t>
  </si>
  <si>
    <t xml:space="preserve">SU-ROL-439</t>
  </si>
  <si>
    <t xml:space="preserve">ROLDANA DUPLA COM REGULAGEM E ROLAMENTO</t>
  </si>
  <si>
    <t xml:space="preserve">GUIA DESLIZANTE</t>
  </si>
  <si>
    <t xml:space="preserve">GUARNIÇÃO ADESIVA ESPONOSA</t>
  </si>
  <si>
    <t xml:space="preserve">PARAFUSO INOX 4,8x32mm CABEÇA DE PENELA</t>
  </si>
  <si>
    <t xml:space="preserve">PORTA DE CORRER 03F VENEZIANA E VIDRO COM TRAVESSA</t>
  </si>
  <si>
    <t xml:space="preserve">SU-230</t>
  </si>
  <si>
    <t xml:space="preserve">SU-187</t>
  </si>
  <si>
    <t xml:space="preserve">VZ-006</t>
  </si>
  <si>
    <t xml:space="preserve">US-285</t>
  </si>
  <si>
    <t xml:space="preserve">SU-047</t>
  </si>
  <si>
    <t xml:space="preserve">SU-068</t>
  </si>
  <si>
    <t xml:space="preserve">TRAVESSA DA FOLHA SUP.</t>
  </si>
  <si>
    <t xml:space="preserve">SU-069</t>
  </si>
  <si>
    <t xml:space="preserve">TRAVESSA DA FOLHA INF.</t>
  </si>
  <si>
    <t xml:space="preserve">SU-070</t>
  </si>
  <si>
    <t xml:space="preserve">VENEZIANA VENTILADA</t>
  </si>
  <si>
    <t xml:space="preserve">SU-203</t>
  </si>
  <si>
    <t xml:space="preserve">SU-227</t>
  </si>
  <si>
    <t xml:space="preserve">VEDAÇÃO DO MONTANTE</t>
  </si>
  <si>
    <t xml:space="preserve">TRAVESSA FOLHA SUP.</t>
  </si>
  <si>
    <t xml:space="preserve">ACOPLADOR VZV</t>
  </si>
  <si>
    <t xml:space="preserve">TRAVESSA CENTRAL FOLHA</t>
  </si>
  <si>
    <t xml:space="preserve">PARAFUSO CABEÇA PANELA PONTA LISA 4,2x32mm</t>
  </si>
  <si>
    <t xml:space="preserve">PORTA DE CORRER 03F VENEZIANA E VIDRO SEM TRAVESSA</t>
  </si>
  <si>
    <t xml:space="preserve">PORTA DE CORRER 04 FOLHAS COM VIDRO </t>
  </si>
  <si>
    <t xml:space="preserve">SU-260</t>
  </si>
  <si>
    <t xml:space="preserve">053 225 227 102</t>
  </si>
  <si>
    <t xml:space="preserve">GGUARNIÇÃO ADESIVA ESPONJOSA</t>
  </si>
  <si>
    <t xml:space="preserve">PARAFUSO INOX 4,2x50mm CABEÇA DE PANELA</t>
  </si>
  <si>
    <t xml:space="preserve">SU-FEC-363</t>
  </si>
  <si>
    <t xml:space="preserve">FECHO CONCHA SEM CHAVE E TRAVA RETA</t>
  </si>
  <si>
    <t xml:space="preserve">PORTA DE CORRER 03 FOLHAS DE VIDRO</t>
  </si>
  <si>
    <t xml:space="preserve">FECHADURA PORTA DE CORRER</t>
  </si>
  <si>
    <t xml:space="preserve">BOTÃO TAPA FURO 3/8</t>
  </si>
  <si>
    <t xml:space="preserve">SU-COM-409</t>
  </si>
  <si>
    <t xml:space="preserve">CONTRA FECHO LATERAL PARA FECHADURA</t>
  </si>
  <si>
    <t xml:space="preserve">GUIA DESLIZANTE COM PLACA</t>
  </si>
  <si>
    <t xml:space="preserve">BATEDEIRA JANELA / PORTA</t>
  </si>
  <si>
    <t xml:space="preserve">PARAFUSO CABEÇA DE PANELA 4,8 x 32mm</t>
  </si>
  <si>
    <t xml:space="preserve">SU-PAR-430</t>
  </si>
  <si>
    <t xml:space="preserve">PARAFUSO CABEÇA DE PANELA 4,8 x 50mm</t>
  </si>
  <si>
    <t xml:space="preserve">ROLDANA DUPLA COM REGULAGEM</t>
  </si>
  <si>
    <t xml:space="preserve">QUADRO FIXO 01 FOLHA</t>
  </si>
  <si>
    <t xml:space="preserve">US-294</t>
  </si>
  <si>
    <t xml:space="preserve">SU-079</t>
  </si>
  <si>
    <t xml:space="preserve">MARCO LARGURA</t>
  </si>
  <si>
    <t xml:space="preserve">MARCO ALTURA</t>
  </si>
  <si>
    <t xml:space="preserve">Kg COMPRA </t>
  </si>
  <si>
    <t xml:space="preserve">Kg REVENDA</t>
  </si>
  <si>
    <t xml:space="preserve">VENDA POR  Kg</t>
  </si>
  <si>
    <t xml:space="preserve">VENDA %</t>
  </si>
  <si>
    <t xml:space="preserve">SU-103</t>
  </si>
  <si>
    <t xml:space="preserve">MARGEM DE LUCRO&gt;&gt;</t>
  </si>
  <si>
    <t xml:space="preserve">SU-GUA-172</t>
  </si>
  <si>
    <t xml:space="preserve">JANELA MAXIM-AR 01 FOLHA COM FIXO SUP. E INFERIOR</t>
  </si>
  <si>
    <t xml:space="preserve">FIXO INF.</t>
  </si>
  <si>
    <t xml:space="preserve">MAX</t>
  </si>
  <si>
    <t xml:space="preserve">FIXO SUP.</t>
  </si>
  <si>
    <t xml:space="preserve">R$ UNI.</t>
  </si>
  <si>
    <t xml:space="preserve">SU-086</t>
  </si>
  <si>
    <t xml:space="preserve">Kg COMPRA</t>
  </si>
  <si>
    <t xml:space="preserve">Kg VENDA</t>
  </si>
  <si>
    <t xml:space="preserve">SU-276</t>
  </si>
  <si>
    <t xml:space="preserve">SU-082</t>
  </si>
  <si>
    <t xml:space="preserve">LARGURA SUP. FOLHA</t>
  </si>
  <si>
    <t xml:space="preserve">SU-200</t>
  </si>
  <si>
    <t xml:space="preserve">LARGURA DA FOLHA</t>
  </si>
  <si>
    <t xml:space="preserve">ALTURA DA FOLHA</t>
  </si>
  <si>
    <t xml:space="preserve">DIVISÃO</t>
  </si>
  <si>
    <t xml:space="preserve">SU-113</t>
  </si>
  <si>
    <t xml:space="preserve">BAGUETE DO FIXO INF. </t>
  </si>
  <si>
    <t xml:space="preserve">BAGUETE DO FIXO SUP.</t>
  </si>
  <si>
    <t xml:space="preserve">FEC-009</t>
  </si>
  <si>
    <t xml:space="preserve">FECHO PUNHO DE MAXIM-AR</t>
  </si>
  <si>
    <t xml:space="preserve">GUA-007</t>
  </si>
  <si>
    <t xml:space="preserve">GUA-053</t>
  </si>
  <si>
    <t xml:space="preserve">GUARNIÇÃO DA FOLHA</t>
  </si>
  <si>
    <t xml:space="preserve">GUA-239</t>
  </si>
  <si>
    <t xml:space="preserve">GUARNIÇÃO DE CAIXILIO</t>
  </si>
  <si>
    <t xml:space="preserve">NYL-042</t>
  </si>
  <si>
    <t xml:space="preserve">PARAFUSO CABEÇA PANELA AA PONTA LISA 4,8X32</t>
  </si>
  <si>
    <t xml:space="preserve">REB-115</t>
  </si>
  <si>
    <t xml:space="preserve">REBITE DE REPUXO 4,0X10,2</t>
  </si>
  <si>
    <t xml:space="preserve">BAGUETE DO FIXO </t>
  </si>
  <si>
    <t xml:space="preserve">JANELA MAXIM-AR 01 FOLHA COM FIXO SUPERIOR</t>
  </si>
  <si>
    <t xml:space="preserve">FIXO</t>
  </si>
  <si>
    <t xml:space="preserve">VIDRO MAX</t>
  </si>
  <si>
    <t xml:space="preserve">VIDRO FIXO</t>
  </si>
  <si>
    <t xml:space="preserve">BAGUETE DO FIXO</t>
  </si>
  <si>
    <t xml:space="preserve">JANELA MAXIM-AR 01 FOLHA COM FIXO INFERIOR</t>
  </si>
  <si>
    <t xml:space="preserve">JANELA CORRER VENEZIANA 6 FOLHAS </t>
  </si>
  <si>
    <t xml:space="preserve">COMP. MARCO LATERAL</t>
  </si>
  <si>
    <t xml:space="preserve">TRAVESSA VENEZIANA</t>
  </si>
  <si>
    <t xml:space="preserve">SU-COM-280</t>
  </si>
  <si>
    <t xml:space="preserve">CONCHA SIMPLES</t>
  </si>
  <si>
    <t xml:space="preserve">SU-FEC-055</t>
  </si>
  <si>
    <t xml:space="preserve">CONTRA FECHO CENTRAL</t>
  </si>
  <si>
    <t xml:space="preserve">JANELA CORRER VENEZIANA 3 FOLHAS </t>
  </si>
  <si>
    <t xml:space="preserve">SU-280</t>
  </si>
  <si>
    <t xml:space="preserve">SU-049</t>
  </si>
  <si>
    <t xml:space="preserve">FECHO CONCHA PORTAS</t>
  </si>
  <si>
    <t xml:space="preserve">SU-TRA-09</t>
  </si>
  <si>
    <t xml:space="preserve">PORTA DE CORRER 2 FOLHAS COM VIDRO E TRAVESSA</t>
  </si>
  <si>
    <t xml:space="preserve">TRAVESSA INF. FOLHA</t>
  </si>
  <si>
    <t xml:space="preserve">PORTA DE GIRO F90º 02 FOLHAS VIDRO E TRAVESSA</t>
  </si>
  <si>
    <t xml:space="preserve">SU-110</t>
  </si>
  <si>
    <t xml:space="preserve">SU-279</t>
  </si>
  <si>
    <t xml:space="preserve">SU-111</t>
  </si>
  <si>
    <t xml:space="preserve">SU-548</t>
  </si>
  <si>
    <t xml:space="preserve">COMPLEMENTO FOLHA</t>
  </si>
  <si>
    <t xml:space="preserve">SU-FRA-822</t>
  </si>
  <si>
    <t xml:space="preserve">FECHADURA</t>
  </si>
  <si>
    <t xml:space="preserve">SU-COM-295</t>
  </si>
  <si>
    <t xml:space="preserve">SU-MAC-297</t>
  </si>
  <si>
    <t xml:space="preserve">MAÇANETA</t>
  </si>
  <si>
    <t xml:space="preserve">PARAFUSO 48x50mm CABEÇA DE PANELA </t>
  </si>
  <si>
    <t xml:space="preserve">SU-DOB-840</t>
  </si>
  <si>
    <t xml:space="preserve">SU-FEC-338</t>
  </si>
  <si>
    <t xml:space="preserve">FECHO TIPO UNHA DE SOBREPOR</t>
  </si>
  <si>
    <t xml:space="preserve">SU279</t>
  </si>
  <si>
    <t xml:space="preserve">SU-REB-115</t>
  </si>
  <si>
    <t xml:space="preserve">REBITE DE REPUXO 4x10 2mm</t>
  </si>
  <si>
    <t xml:space="preserve">SU111</t>
  </si>
  <si>
    <t xml:space="preserve">SU548</t>
  </si>
  <si>
    <t xml:space="preserve">SU102</t>
  </si>
  <si>
    <t xml:space="preserve">VZ</t>
  </si>
  <si>
    <t xml:space="preserve">PORTA DE GIRO F90º VENEZIANA 2 FOLHAS</t>
  </si>
  <si>
    <t xml:space="preserve">PORTA DE GIRO F45º VENEZIANA + VIDRO</t>
  </si>
  <si>
    <t xml:space="preserve">SU-050</t>
  </si>
  <si>
    <t xml:space="preserve">PORTA DE GIRO F45º VIDRO E TRAVESSA</t>
  </si>
  <si>
    <t xml:space="preserve">PORTA DE GIRO F45º LAMBRI DUPLO GS-034</t>
  </si>
  <si>
    <t xml:space="preserve">PORTA DE GIRO F45º VENEZIANA VAZADA E TRAVESSA</t>
  </si>
  <si>
    <t xml:space="preserve">PLANO DE CORTE JANELA 02 FOLHAS  - SUPREMA</t>
  </si>
  <si>
    <t xml:space="preserve">LOGO DE SUA EMPRESA AQUI</t>
  </si>
  <si>
    <t xml:space="preserve">VENDA POR KG</t>
  </si>
  <si>
    <t xml:space="preserve">TRAVESSA DA FOLHA</t>
  </si>
  <si>
    <t xml:space="preserve">JANELA MAXIM-AR 01 FOLHA</t>
  </si>
  <si>
    <t xml:space="preserve">JANELA MAXIM-AR 02 FOLHAS</t>
  </si>
  <si>
    <t xml:space="preserve">90//90</t>
  </si>
  <si>
    <t xml:space="preserve">SU079</t>
  </si>
  <si>
    <t xml:space="preserve">SU082</t>
  </si>
  <si>
    <t xml:space="preserve">SU200</t>
  </si>
  <si>
    <t xml:space="preserve">SU086</t>
  </si>
  <si>
    <t xml:space="preserve">JANEA MAXIM-AR 02 FOLHAS VERTICAIS</t>
  </si>
  <si>
    <t xml:space="preserve">SU276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</si>
</sst>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"/>
    <numFmt numFmtId="166" formatCode="&quot;R$ &quot;#,##0.00"/>
    <numFmt numFmtId="167" formatCode="General"/>
    <numFmt numFmtId="168" formatCode="dd/mm/yy;@"/>
    <numFmt numFmtId="169" formatCode="0.000"/>
    <numFmt numFmtId="170" formatCode="_-&quot;R$&quot;* #,##0.00_-;&quot;-R$&quot;* #,##0.00_-;_-&quot;R$&quot;* \-??_-;_-@_-"/>
    <numFmt numFmtId="171" formatCode="#,##0"/>
    <numFmt numFmtId="172" formatCode="_-&quot;R$ &quot;* #,##0_-;&quot;-R$ &quot;* #,##0_-;_-&quot;R$ &quot;* \-_-;_-@_-"/>
    <numFmt numFmtId="173" formatCode="#,##0.00"/>
    <numFmt numFmtId="174" formatCode="&quot;R$&quot;#,##0.00"/>
    <numFmt numFmtId="175" formatCode="0.00"/>
    <numFmt numFmtId="176" formatCode="&quot;R$ &quot;#,##0.00;&quot;-R$ &quot;#,##0.00"/>
    <numFmt numFmtId="177" formatCode="0%"/>
    <numFmt numFmtId="178" formatCode="@"/>
    <numFmt numFmtId="179" formatCode="&quot;R$ &quot;#,##0.000"/>
    <numFmt numFmtId="180" formatCode="#,##0.000"/>
  </numFmts>
  <fonts count="3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name val="Calibri"/>
      <family val="2"/>
      <charset val="1"/>
    </font>
    <font>
      <sz val="10"/>
      <name val="Calibri"/>
      <family val="2"/>
      <charset val="1"/>
    </font>
    <font>
      <u val="single"/>
      <sz val="1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theme="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0"/>
      <color theme="0"/>
      <name val="Calibri"/>
      <family val="2"/>
      <charset val="1"/>
    </font>
    <font>
      <sz val="8"/>
      <color theme="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7999"/>
        <bgColor rgb="FFD9D9D9"/>
      </patternFill>
    </fill>
    <fill>
      <patternFill patternType="solid">
        <fgColor theme="0" tint="-0.15"/>
        <bgColor rgb="FFD6DCE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theme="4" tint="0.7999"/>
        <bgColor rgb="FFD6DCE5"/>
      </patternFill>
    </fill>
    <fill>
      <patternFill patternType="solid">
        <fgColor theme="9" tint="0.5999"/>
        <bgColor rgb="FFD9D9D9"/>
      </patternFill>
    </fill>
    <fill>
      <patternFill patternType="solid">
        <fgColor theme="4" tint="0.5999"/>
        <bgColor rgb="FFD0CECE"/>
      </patternFill>
    </fill>
    <fill>
      <patternFill patternType="solid">
        <fgColor theme="4" tint="0.3999"/>
        <bgColor rgb="FF969696"/>
      </patternFill>
    </fill>
    <fill>
      <patternFill patternType="solid">
        <fgColor theme="4" tint="-0.25"/>
        <bgColor rgb="FF4472C4"/>
      </patternFill>
    </fill>
    <fill>
      <patternFill patternType="solid">
        <fgColor theme="4"/>
        <bgColor rgb="FF666699"/>
      </patternFill>
    </fill>
    <fill>
      <patternFill patternType="solid">
        <fgColor theme="2" tint="-0.1"/>
        <bgColor rgb="FFD9D9D9"/>
      </patternFill>
    </fill>
    <fill>
      <patternFill patternType="solid">
        <fgColor theme="9" tint="0.3999"/>
        <bgColor rgb="FFC5E0B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6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1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4" xfId="0" applyFont="false" applyBorder="true" applyAlignment="true" applyProtection="true">
      <alignment horizontal="center" vertical="center" textRotation="255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2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9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3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32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3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8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2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5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C5E0B4"/>
      <rgbColor rgb="FFFFFF99"/>
      <rgbColor rgb="FFA9D18E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44" Target="worksheets/sheet42.xml" Type="http://schemas.openxmlformats.org/officeDocument/2006/relationships/worksheet"/><Relationship Id="rId45" Target="worksheets/sheet43.xml" Type="http://schemas.openxmlformats.org/officeDocument/2006/relationships/worksheet"/><Relationship Id="rId46" Target="worksheets/sheet44.xml" Type="http://schemas.openxmlformats.org/officeDocument/2006/relationships/worksheet"/><Relationship Id="rId47" Target="worksheets/sheet45.xml" Type="http://schemas.openxmlformats.org/officeDocument/2006/relationships/worksheet"/><Relationship Id="rId48" Target="worksheets/sheet46.xml" Type="http://schemas.openxmlformats.org/officeDocument/2006/relationships/worksheet"/><Relationship Id="rId49" Target="worksheets/sheet47.xml" Type="http://schemas.openxmlformats.org/officeDocument/2006/relationships/worksheet"/><Relationship Id="rId5" Target="worksheets/sheet3.xml" Type="http://schemas.openxmlformats.org/officeDocument/2006/relationships/worksheet"/><Relationship Id="rId50" Target="worksheets/sheet48.xml" Type="http://schemas.openxmlformats.org/officeDocument/2006/relationships/worksheet"/><Relationship Id="rId51" Target="worksheets/sheet49.xml" Type="http://schemas.openxmlformats.org/officeDocument/2006/relationships/worksheet"/><Relationship Id="rId52" Target="worksheets/sheet50.xml" Type="http://schemas.openxmlformats.org/officeDocument/2006/relationships/worksheet"/><Relationship Id="rId53" Target="worksheets/sheet51.xml" Type="http://schemas.openxmlformats.org/officeDocument/2006/relationships/worksheet"/><Relationship Id="rId54" Target="worksheets/sheet52.xml" Type="http://schemas.openxmlformats.org/officeDocument/2006/relationships/worksheet"/><Relationship Id="rId55" Target="worksheets/sheet53.xml" Type="http://schemas.openxmlformats.org/officeDocument/2006/relationships/worksheet"/><Relationship Id="rId56" Target="worksheets/sheet54.xml" Type="http://schemas.openxmlformats.org/officeDocument/2006/relationships/worksheet"/><Relationship Id="rId57" Target="worksheets/sheet55.xml" Type="http://schemas.openxmlformats.org/officeDocument/2006/relationships/worksheet"/><Relationship Id="rId58" Target="worksheets/sheet56.xml" Type="http://schemas.openxmlformats.org/officeDocument/2006/relationships/worksheet"/><Relationship Id="rId59" Target="worksheets/sheet57.xml" Type="http://schemas.openxmlformats.org/officeDocument/2006/relationships/worksheet"/><Relationship Id="rId6" Target="worksheets/sheet4.xml" Type="http://schemas.openxmlformats.org/officeDocument/2006/relationships/worksheet"/><Relationship Id="rId60" Target="worksheets/sheet58.xml" Type="http://schemas.openxmlformats.org/officeDocument/2006/relationships/worksheet"/><Relationship Id="rId61" Target="worksheets/sheet59.xml" Type="http://schemas.openxmlformats.org/officeDocument/2006/relationships/worksheet"/><Relationship Id="rId62" Target="worksheets/sheet60.xml" Type="http://schemas.openxmlformats.org/officeDocument/2006/relationships/worksheet"/><Relationship Id="rId63" Target="worksheets/sheet61.xml" Type="http://schemas.openxmlformats.org/officeDocument/2006/relationships/worksheet"/><Relationship Id="rId64" Target="worksheets/sheet62.xml" Type="http://schemas.openxmlformats.org/officeDocument/2006/relationships/worksheet"/><Relationship Id="rId65" Target="worksheets/sheet63.xml" Type="http://schemas.openxmlformats.org/officeDocument/2006/relationships/worksheet"/><Relationship Id="rId66" Target="worksheets/sheet64.xml" Type="http://schemas.openxmlformats.org/officeDocument/2006/relationships/worksheet"/><Relationship Id="rId67" Target="worksheets/sheet65.xml" Type="http://schemas.openxmlformats.org/officeDocument/2006/relationships/worksheet"/><Relationship Id="rId68" Target="worksheets/sheet66.xml" Type="http://schemas.openxmlformats.org/officeDocument/2006/relationships/worksheet"/><Relationship Id="rId69" Target="worksheets/sheet67.xml" Type="http://schemas.openxmlformats.org/officeDocument/2006/relationships/worksheet"/><Relationship Id="rId7" Target="worksheets/sheet5.xml" Type="http://schemas.openxmlformats.org/officeDocument/2006/relationships/worksheet"/><Relationship Id="rId70" Target="worksheets/sheet68.xml" Type="http://schemas.openxmlformats.org/officeDocument/2006/relationships/worksheet"/><Relationship Id="rId71" Target="worksheets/sheet69.xml" Type="http://schemas.openxmlformats.org/officeDocument/2006/relationships/worksheet"/><Relationship Id="rId72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3.png" Type="http://schemas.openxmlformats.org/officeDocument/2006/relationships/image"/><Relationship Id="rId11" Target="../media/image4.png" Type="http://schemas.openxmlformats.org/officeDocument/2006/relationships/image"/><Relationship Id="rId12" Target="#'MENU%20GAVETAS'.A1" Type="http://schemas.openxmlformats.org/officeDocument/2006/relationships/hyperlink"/><Relationship Id="rId13" Target="../media/image5.png" Type="http://schemas.openxmlformats.org/officeDocument/2006/relationships/image"/><Relationship Id="rId14" Target="../media/image6.png" Type="http://schemas.openxmlformats.org/officeDocument/2006/relationships/image"/><Relationship Id="rId2" Target="../media/image1.png" Type="http://schemas.openxmlformats.org/officeDocument/2006/relationships/image"/><Relationship Id="rId3" Target="../media/image2.jpeg" Type="http://schemas.openxmlformats.org/officeDocument/2006/relationships/image"/><Relationship Id="rId4" Target="../media/image2.jpeg" Type="http://schemas.openxmlformats.org/officeDocument/2006/relationships/image"/><Relationship Id="rId5" Target="../media/image1.png" Type="http://schemas.openxmlformats.org/officeDocument/2006/relationships/image"/><Relationship Id="rId6" Target="../media/image3.png" Type="http://schemas.openxmlformats.org/officeDocument/2006/relationships/image"/><Relationship Id="rId7" Target="../media/image4.png" Type="http://schemas.openxmlformats.org/officeDocument/2006/relationships/image"/><Relationship Id="rId8" Target="../media/image1.png" Type="http://schemas.openxmlformats.org/officeDocument/2006/relationships/image"/><Relationship Id="rId9" Target="../media/image2.jpe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#'MENU%20PORT%C3%83O'.A1" Type="http://schemas.openxmlformats.org/officeDocument/2006/relationships/hyperlink"/><Relationship Id="rId10" Target="../media/image16.png" Type="http://schemas.openxmlformats.org/officeDocument/2006/relationships/image"/><Relationship Id="rId11" Target="../media/image25.png" Type="http://schemas.openxmlformats.org/officeDocument/2006/relationships/image"/><Relationship Id="rId12" Target="../media/image24.jpeg" Type="http://schemas.openxmlformats.org/officeDocument/2006/relationships/image"/><Relationship Id="rId13" Target="../media/image17.png" Type="http://schemas.openxmlformats.org/officeDocument/2006/relationships/image"/><Relationship Id="rId14" Target="../media/image26.jpeg" Type="http://schemas.openxmlformats.org/officeDocument/2006/relationships/image"/><Relationship Id="rId15" Target="../media/image27.jpeg" Type="http://schemas.openxmlformats.org/officeDocument/2006/relationships/image"/><Relationship Id="rId2" Target="../media/image24.jpeg" Type="http://schemas.openxmlformats.org/officeDocument/2006/relationships/image"/><Relationship Id="rId3" Target="../media/image14.jpeg" Type="http://schemas.openxmlformats.org/officeDocument/2006/relationships/image"/><Relationship Id="rId4" Target="../media/image15.jpeg" Type="http://schemas.openxmlformats.org/officeDocument/2006/relationships/image"/><Relationship Id="rId5" Target="../media/image14.jpeg" Type="http://schemas.openxmlformats.org/officeDocument/2006/relationships/image"/><Relationship Id="rId6" Target="../media/image16.png" Type="http://schemas.openxmlformats.org/officeDocument/2006/relationships/image"/><Relationship Id="rId7" Target="../media/image25.png" Type="http://schemas.openxmlformats.org/officeDocument/2006/relationships/image"/><Relationship Id="rId8" Target="../media/image15.jpeg" Type="http://schemas.openxmlformats.org/officeDocument/2006/relationships/image"/><Relationship Id="rId9" Target="../media/image14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#'MENU%20PORT%C3%83O'.A1" Type="http://schemas.openxmlformats.org/officeDocument/2006/relationships/hyperlink"/><Relationship Id="rId10" Target="../media/image15.jpeg" Type="http://schemas.openxmlformats.org/officeDocument/2006/relationships/image"/><Relationship Id="rId11" Target="../media/image14.jpeg" Type="http://schemas.openxmlformats.org/officeDocument/2006/relationships/image"/><Relationship Id="rId12" Target="../media/image16.png" Type="http://schemas.openxmlformats.org/officeDocument/2006/relationships/image"/><Relationship Id="rId13" Target="../media/image25.png" Type="http://schemas.openxmlformats.org/officeDocument/2006/relationships/image"/><Relationship Id="rId14" Target="../media/image24.jpeg" Type="http://schemas.openxmlformats.org/officeDocument/2006/relationships/image"/><Relationship Id="rId15" Target="../media/image17.png" Type="http://schemas.openxmlformats.org/officeDocument/2006/relationships/image"/><Relationship Id="rId2" Target="../media/image24.jpeg" Type="http://schemas.openxmlformats.org/officeDocument/2006/relationships/image"/><Relationship Id="rId3" Target="../media/image28.jpeg" Type="http://schemas.openxmlformats.org/officeDocument/2006/relationships/image"/><Relationship Id="rId4" Target="../media/image14.jpeg" Type="http://schemas.openxmlformats.org/officeDocument/2006/relationships/image"/><Relationship Id="rId5" Target="../media/image15.jpeg" Type="http://schemas.openxmlformats.org/officeDocument/2006/relationships/image"/><Relationship Id="rId6" Target="../media/image14.jpeg" Type="http://schemas.openxmlformats.org/officeDocument/2006/relationships/image"/><Relationship Id="rId7" Target="../media/image16.png" Type="http://schemas.openxmlformats.org/officeDocument/2006/relationships/image"/><Relationship Id="rId8" Target="../media/image25.png" Type="http://schemas.openxmlformats.org/officeDocument/2006/relationships/image"/><Relationship Id="rId9" Target="../media/image29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30.jpeg" Type="http://schemas.openxmlformats.org/officeDocument/2006/relationships/image"/><Relationship Id="rId10" Target="../media/image38.jpeg" Type="http://schemas.openxmlformats.org/officeDocument/2006/relationships/image"/><Relationship Id="rId11" Target="../media/image31.jpeg" Type="http://schemas.openxmlformats.org/officeDocument/2006/relationships/image"/><Relationship Id="rId12" Target="../media/image32.jpeg" Type="http://schemas.openxmlformats.org/officeDocument/2006/relationships/image"/><Relationship Id="rId13" Target="../media/image33.jpeg" Type="http://schemas.openxmlformats.org/officeDocument/2006/relationships/image"/><Relationship Id="rId14" Target="../media/image34.jpeg" Type="http://schemas.openxmlformats.org/officeDocument/2006/relationships/image"/><Relationship Id="rId15" Target="../media/image36.jpeg" Type="http://schemas.openxmlformats.org/officeDocument/2006/relationships/image"/><Relationship Id="rId16" Target="../media/image37.jpeg" Type="http://schemas.openxmlformats.org/officeDocument/2006/relationships/image"/><Relationship Id="rId17" Target="../media/image35.jpeg" Type="http://schemas.openxmlformats.org/officeDocument/2006/relationships/image"/><Relationship Id="rId18" Target="../media/image39.jpeg" Type="http://schemas.openxmlformats.org/officeDocument/2006/relationships/image"/><Relationship Id="rId19" Target="../media/image39.jpeg" Type="http://schemas.openxmlformats.org/officeDocument/2006/relationships/image"/><Relationship Id="rId2" Target="../media/image31.jpeg" Type="http://schemas.openxmlformats.org/officeDocument/2006/relationships/image"/><Relationship Id="rId20" Target="#'MENU%20SUPREMA'.A1" Type="http://schemas.openxmlformats.org/officeDocument/2006/relationships/hyperlink"/><Relationship Id="rId21" Target="../media/image40.png" Type="http://schemas.openxmlformats.org/officeDocument/2006/relationships/image"/><Relationship Id="rId3" Target="../media/image32.jpeg" Type="http://schemas.openxmlformats.org/officeDocument/2006/relationships/image"/><Relationship Id="rId4" Target="../media/image33.jpeg" Type="http://schemas.openxmlformats.org/officeDocument/2006/relationships/image"/><Relationship Id="rId5" Target="../media/image34.jpeg" Type="http://schemas.openxmlformats.org/officeDocument/2006/relationships/image"/><Relationship Id="rId6" Target="../media/image35.jpeg" Type="http://schemas.openxmlformats.org/officeDocument/2006/relationships/image"/><Relationship Id="rId7" Target="../media/image35.jpeg" Type="http://schemas.openxmlformats.org/officeDocument/2006/relationships/image"/><Relationship Id="rId8" Target="../media/image36.jpeg" Type="http://schemas.openxmlformats.org/officeDocument/2006/relationships/image"/><Relationship Id="rId9" Target="../media/image37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41.jpeg" Type="http://schemas.openxmlformats.org/officeDocument/2006/relationships/image"/><Relationship Id="rId10" Target="../media/image41.jpeg" Type="http://schemas.openxmlformats.org/officeDocument/2006/relationships/image"/><Relationship Id="rId11" Target="../media/image42.jpeg" Type="http://schemas.openxmlformats.org/officeDocument/2006/relationships/image"/><Relationship Id="rId12" Target="../media/image43.jpeg" Type="http://schemas.openxmlformats.org/officeDocument/2006/relationships/image"/><Relationship Id="rId13" Target="../media/image44.jpeg" Type="http://schemas.openxmlformats.org/officeDocument/2006/relationships/image"/><Relationship Id="rId14" Target="../media/image45.jpeg" Type="http://schemas.openxmlformats.org/officeDocument/2006/relationships/image"/><Relationship Id="rId15" Target="#'MENU%20LINHA%2030'.A1" Type="http://schemas.openxmlformats.org/officeDocument/2006/relationships/hyperlink"/><Relationship Id="rId16" Target="../media/image46.png" Type="http://schemas.openxmlformats.org/officeDocument/2006/relationships/image"/><Relationship Id="rId2" Target="../media/image42.jpeg" Type="http://schemas.openxmlformats.org/officeDocument/2006/relationships/image"/><Relationship Id="rId3" Target="../media/image43.jpeg" Type="http://schemas.openxmlformats.org/officeDocument/2006/relationships/image"/><Relationship Id="rId4" Target="../media/image44.jpeg" Type="http://schemas.openxmlformats.org/officeDocument/2006/relationships/image"/><Relationship Id="rId5" Target="../media/image45.jpeg" Type="http://schemas.openxmlformats.org/officeDocument/2006/relationships/image"/><Relationship Id="rId6" Target="../media/image45.jpeg" Type="http://schemas.openxmlformats.org/officeDocument/2006/relationships/image"/><Relationship Id="rId7" Target="../media/image41.jpeg" Type="http://schemas.openxmlformats.org/officeDocument/2006/relationships/image"/><Relationship Id="rId8" Target="../media/image44.jpeg" Type="http://schemas.openxmlformats.org/officeDocument/2006/relationships/image"/><Relationship Id="rId9" Target="../media/image43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41.jpeg" Type="http://schemas.openxmlformats.org/officeDocument/2006/relationships/image"/><Relationship Id="rId10" Target="../media/image43.jpeg" Type="http://schemas.openxmlformats.org/officeDocument/2006/relationships/image"/><Relationship Id="rId11" Target="../media/image41.jpeg" Type="http://schemas.openxmlformats.org/officeDocument/2006/relationships/image"/><Relationship Id="rId12" Target="../media/image42.jpeg" Type="http://schemas.openxmlformats.org/officeDocument/2006/relationships/image"/><Relationship Id="rId13" Target="../media/image43.jpeg" Type="http://schemas.openxmlformats.org/officeDocument/2006/relationships/image"/><Relationship Id="rId14" Target="../media/image44.jpeg" Type="http://schemas.openxmlformats.org/officeDocument/2006/relationships/image"/><Relationship Id="rId15" Target="../media/image45.jpeg" Type="http://schemas.openxmlformats.org/officeDocument/2006/relationships/image"/><Relationship Id="rId16" Target="../media/image48.jpeg" Type="http://schemas.openxmlformats.org/officeDocument/2006/relationships/image"/><Relationship Id="rId17" Target="#'MENU%20LINHA%2030'.A1" Type="http://schemas.openxmlformats.org/officeDocument/2006/relationships/hyperlink"/><Relationship Id="rId18" Target="../media/image49.jpeg" Type="http://schemas.openxmlformats.org/officeDocument/2006/relationships/image"/><Relationship Id="rId2" Target="../media/image42.jpeg" Type="http://schemas.openxmlformats.org/officeDocument/2006/relationships/image"/><Relationship Id="rId3" Target="../media/image43.jpeg" Type="http://schemas.openxmlformats.org/officeDocument/2006/relationships/image"/><Relationship Id="rId4" Target="../media/image44.jpeg" Type="http://schemas.openxmlformats.org/officeDocument/2006/relationships/image"/><Relationship Id="rId5" Target="../media/image45.jpeg" Type="http://schemas.openxmlformats.org/officeDocument/2006/relationships/image"/><Relationship Id="rId6" Target="../media/image47.jpeg" Type="http://schemas.openxmlformats.org/officeDocument/2006/relationships/image"/><Relationship Id="rId7" Target="../media/image45.jpeg" Type="http://schemas.openxmlformats.org/officeDocument/2006/relationships/image"/><Relationship Id="rId8" Target="../media/image41.jpeg" Type="http://schemas.openxmlformats.org/officeDocument/2006/relationships/image"/><Relationship Id="rId9" Target="../media/image44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50.jpeg" Type="http://schemas.openxmlformats.org/officeDocument/2006/relationships/image"/><Relationship Id="rId10" Target="../media/image56.png" Type="http://schemas.openxmlformats.org/officeDocument/2006/relationships/image"/><Relationship Id="rId2" Target="../media/image51.jpeg" Type="http://schemas.openxmlformats.org/officeDocument/2006/relationships/image"/><Relationship Id="rId3" Target="../media/image52.jpeg" Type="http://schemas.openxmlformats.org/officeDocument/2006/relationships/image"/><Relationship Id="rId4" Target="../media/image52.jpeg" Type="http://schemas.openxmlformats.org/officeDocument/2006/relationships/image"/><Relationship Id="rId5" Target="../media/image51.jpeg" Type="http://schemas.openxmlformats.org/officeDocument/2006/relationships/image"/><Relationship Id="rId6" Target="../media/image53.jpeg" Type="http://schemas.openxmlformats.org/officeDocument/2006/relationships/image"/><Relationship Id="rId7" Target="../media/image54.jpeg" Type="http://schemas.openxmlformats.org/officeDocument/2006/relationships/image"/><Relationship Id="rId8" Target="../media/image55.jpeg" Type="http://schemas.openxmlformats.org/officeDocument/2006/relationships/image"/><Relationship Id="rId9" Target="#'MENU%20LINHA%20UNNION'.A1" Type="http://schemas.openxmlformats.org/officeDocument/2006/relationships/hyperlink"/></Relationships>
</file>

<file path=xl/drawings/_rels/drawing16.xml.rels><?xml version="1.0" encoding="UTF-8" standalone="no"?><Relationships xmlns="http://schemas.openxmlformats.org/package/2006/relationships"><Relationship Id="rId1" Target="#'MENU%20LINHA%20UNNION'.A1" Type="http://schemas.openxmlformats.org/officeDocument/2006/relationships/hyperlink"/><Relationship Id="rId10" Target="../media/image54.jpeg" Type="http://schemas.openxmlformats.org/officeDocument/2006/relationships/image"/><Relationship Id="rId11" Target="../media/image55.jpeg" Type="http://schemas.openxmlformats.org/officeDocument/2006/relationships/image"/><Relationship Id="rId12" Target="../media/image59.jpeg" Type="http://schemas.openxmlformats.org/officeDocument/2006/relationships/image"/><Relationship Id="rId2" Target="../media/image57.jpeg" Type="http://schemas.openxmlformats.org/officeDocument/2006/relationships/image"/><Relationship Id="rId3" Target="../media/image50.jpeg" Type="http://schemas.openxmlformats.org/officeDocument/2006/relationships/image"/><Relationship Id="rId4" Target="../media/image51.jpeg" Type="http://schemas.openxmlformats.org/officeDocument/2006/relationships/image"/><Relationship Id="rId5" Target="../media/image52.jpeg" Type="http://schemas.openxmlformats.org/officeDocument/2006/relationships/image"/><Relationship Id="rId6" Target="../media/image58.jpeg" Type="http://schemas.openxmlformats.org/officeDocument/2006/relationships/image"/><Relationship Id="rId7" Target="../media/image52.jpeg" Type="http://schemas.openxmlformats.org/officeDocument/2006/relationships/image"/><Relationship Id="rId8" Target="../media/image51.jpeg" Type="http://schemas.openxmlformats.org/officeDocument/2006/relationships/image"/><Relationship Id="rId9" Target="../media/image53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60.jpeg" Type="http://schemas.openxmlformats.org/officeDocument/2006/relationships/image"/><Relationship Id="rId10" Target="../media/image65.jpeg" Type="http://schemas.openxmlformats.org/officeDocument/2006/relationships/image"/><Relationship Id="rId11" Target="../media/image66.jpeg" Type="http://schemas.openxmlformats.org/officeDocument/2006/relationships/image"/><Relationship Id="rId12" Target="../media/image67.jpeg" Type="http://schemas.openxmlformats.org/officeDocument/2006/relationships/image"/><Relationship Id="rId13" Target="../media/image68.jpeg" Type="http://schemas.openxmlformats.org/officeDocument/2006/relationships/image"/><Relationship Id="rId14" Target="../media/image66.jpeg" Type="http://schemas.openxmlformats.org/officeDocument/2006/relationships/image"/><Relationship Id="rId15" Target="../media/image69.jpeg" Type="http://schemas.openxmlformats.org/officeDocument/2006/relationships/image"/><Relationship Id="rId16" Target="../media/image65.jpeg" Type="http://schemas.openxmlformats.org/officeDocument/2006/relationships/image"/><Relationship Id="rId17" Target="#'MENU%20LINHA%20UNNION'.A1" Type="http://schemas.openxmlformats.org/officeDocument/2006/relationships/hyperlink"/><Relationship Id="rId18" Target="../media/image70.png" Type="http://schemas.openxmlformats.org/officeDocument/2006/relationships/image"/><Relationship Id="rId19" Target="../media/image71.jpeg" Type="http://schemas.openxmlformats.org/officeDocument/2006/relationships/image"/><Relationship Id="rId2" Target="../media/image61.jpeg" Type="http://schemas.openxmlformats.org/officeDocument/2006/relationships/image"/><Relationship Id="rId20" Target="../media/image72.jpeg" Type="http://schemas.openxmlformats.org/officeDocument/2006/relationships/image"/><Relationship Id="rId3" Target="../media/image62.jpeg" Type="http://schemas.openxmlformats.org/officeDocument/2006/relationships/image"/><Relationship Id="rId4" Target="../media/image63.jpeg" Type="http://schemas.openxmlformats.org/officeDocument/2006/relationships/image"/><Relationship Id="rId5" Target="../media/image60.jpeg" Type="http://schemas.openxmlformats.org/officeDocument/2006/relationships/image"/><Relationship Id="rId6" Target="../media/image61.jpeg" Type="http://schemas.openxmlformats.org/officeDocument/2006/relationships/image"/><Relationship Id="rId7" Target="../media/image62.jpeg" Type="http://schemas.openxmlformats.org/officeDocument/2006/relationships/image"/><Relationship Id="rId8" Target="../media/image63.jpeg" Type="http://schemas.openxmlformats.org/officeDocument/2006/relationships/image"/><Relationship Id="rId9" Target="../media/image64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60.jpeg" Type="http://schemas.openxmlformats.org/officeDocument/2006/relationships/image"/><Relationship Id="rId10" Target="../media/image73.png" Type="http://schemas.openxmlformats.org/officeDocument/2006/relationships/image"/><Relationship Id="rId11" Target="../media/image64.jpeg" Type="http://schemas.openxmlformats.org/officeDocument/2006/relationships/image"/><Relationship Id="rId12" Target="../media/image65.jpeg" Type="http://schemas.openxmlformats.org/officeDocument/2006/relationships/image"/><Relationship Id="rId13" Target="../media/image66.jpeg" Type="http://schemas.openxmlformats.org/officeDocument/2006/relationships/image"/><Relationship Id="rId14" Target="../media/image67.jpeg" Type="http://schemas.openxmlformats.org/officeDocument/2006/relationships/image"/><Relationship Id="rId15" Target="../media/image68.jpeg" Type="http://schemas.openxmlformats.org/officeDocument/2006/relationships/image"/><Relationship Id="rId16" Target="../media/image66.jpeg" Type="http://schemas.openxmlformats.org/officeDocument/2006/relationships/image"/><Relationship Id="rId17" Target="../media/image69.jpeg" Type="http://schemas.openxmlformats.org/officeDocument/2006/relationships/image"/><Relationship Id="rId18" Target="../media/image65.jpeg" Type="http://schemas.openxmlformats.org/officeDocument/2006/relationships/image"/><Relationship Id="rId2" Target="../media/image61.jpeg" Type="http://schemas.openxmlformats.org/officeDocument/2006/relationships/image"/><Relationship Id="rId3" Target="../media/image62.jpeg" Type="http://schemas.openxmlformats.org/officeDocument/2006/relationships/image"/><Relationship Id="rId4" Target="../media/image63.jpeg" Type="http://schemas.openxmlformats.org/officeDocument/2006/relationships/image"/><Relationship Id="rId5" Target="../media/image60.jpeg" Type="http://schemas.openxmlformats.org/officeDocument/2006/relationships/image"/><Relationship Id="rId6" Target="../media/image61.jpeg" Type="http://schemas.openxmlformats.org/officeDocument/2006/relationships/image"/><Relationship Id="rId7" Target="../media/image62.jpeg" Type="http://schemas.openxmlformats.org/officeDocument/2006/relationships/image"/><Relationship Id="rId8" Target="../media/image63.jpeg" Type="http://schemas.openxmlformats.org/officeDocument/2006/relationships/image"/><Relationship Id="rId9" Target="#'MENU%20LINHA%20UNNION'.A1" Type="http://schemas.openxmlformats.org/officeDocument/2006/relationships/hyperlink"/></Relationships>
</file>

<file path=xl/drawings/_rels/drawing19.xml.rels><?xml version="1.0" encoding="UTF-8" standalone="no"?><Relationships xmlns="http://schemas.openxmlformats.org/package/2006/relationships"><Relationship Id="rId1" Target="../media/image60.jpeg" Type="http://schemas.openxmlformats.org/officeDocument/2006/relationships/image"/><Relationship Id="rId10" Target="../media/image62.jpeg" Type="http://schemas.openxmlformats.org/officeDocument/2006/relationships/image"/><Relationship Id="rId11" Target="../media/image63.jpeg" Type="http://schemas.openxmlformats.org/officeDocument/2006/relationships/image"/><Relationship Id="rId12" Target="../media/image75.jpeg" Type="http://schemas.openxmlformats.org/officeDocument/2006/relationships/image"/><Relationship Id="rId13" Target="#'MENU%20LINHA%20UNNION'.A1" Type="http://schemas.openxmlformats.org/officeDocument/2006/relationships/hyperlink"/><Relationship Id="rId14" Target="../media/image76.png" Type="http://schemas.openxmlformats.org/officeDocument/2006/relationships/image"/><Relationship Id="rId15" Target="../media/image77.jpeg" Type="http://schemas.openxmlformats.org/officeDocument/2006/relationships/image"/><Relationship Id="rId16" Target="../media/image77.jpeg" Type="http://schemas.openxmlformats.org/officeDocument/2006/relationships/image"/><Relationship Id="rId2" Target="../media/image74.jpeg" Type="http://schemas.openxmlformats.org/officeDocument/2006/relationships/image"/><Relationship Id="rId3" Target="../media/image61.jpeg" Type="http://schemas.openxmlformats.org/officeDocument/2006/relationships/image"/><Relationship Id="rId4" Target="../media/image62.jpeg" Type="http://schemas.openxmlformats.org/officeDocument/2006/relationships/image"/><Relationship Id="rId5" Target="../media/image63.jpeg" Type="http://schemas.openxmlformats.org/officeDocument/2006/relationships/image"/><Relationship Id="rId6" Target="../media/image75.jpeg" Type="http://schemas.openxmlformats.org/officeDocument/2006/relationships/image"/><Relationship Id="rId7" Target="../media/image60.jpeg" Type="http://schemas.openxmlformats.org/officeDocument/2006/relationships/image"/><Relationship Id="rId8" Target="../media/image74.jpeg" Type="http://schemas.openxmlformats.org/officeDocument/2006/relationships/image"/><Relationship Id="rId9" Target="../media/image6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3.png" Type="http://schemas.openxmlformats.org/officeDocument/2006/relationships/image"/><Relationship Id="rId11" Target="../media/image4.png" Type="http://schemas.openxmlformats.org/officeDocument/2006/relationships/image"/><Relationship Id="rId12" Target="#'MENU%20GAVETAS'.A1" Type="http://schemas.openxmlformats.org/officeDocument/2006/relationships/hyperlink"/><Relationship Id="rId13" Target="../media/image7.png" Type="http://schemas.openxmlformats.org/officeDocument/2006/relationships/image"/><Relationship Id="rId2" Target="../media/image1.png" Type="http://schemas.openxmlformats.org/officeDocument/2006/relationships/image"/><Relationship Id="rId3" Target="../media/image2.jpeg" Type="http://schemas.openxmlformats.org/officeDocument/2006/relationships/image"/><Relationship Id="rId4" Target="../media/image2.jpeg" Type="http://schemas.openxmlformats.org/officeDocument/2006/relationships/image"/><Relationship Id="rId5" Target="../media/image1.png" Type="http://schemas.openxmlformats.org/officeDocument/2006/relationships/image"/><Relationship Id="rId6" Target="../media/image3.png" Type="http://schemas.openxmlformats.org/officeDocument/2006/relationships/image"/><Relationship Id="rId7" Target="../media/image4.png" Type="http://schemas.openxmlformats.org/officeDocument/2006/relationships/image"/><Relationship Id="rId8" Target="../media/image1.png" Type="http://schemas.openxmlformats.org/officeDocument/2006/relationships/image"/><Relationship Id="rId9" Target="../media/image2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#'MENU%20LINHA%20UNNION'.A1" Type="http://schemas.openxmlformats.org/officeDocument/2006/relationships/hyperlink"/><Relationship Id="rId10" Target="../media/image74.jpeg" Type="http://schemas.openxmlformats.org/officeDocument/2006/relationships/image"/><Relationship Id="rId11" Target="../media/image61.jpeg" Type="http://schemas.openxmlformats.org/officeDocument/2006/relationships/image"/><Relationship Id="rId12" Target="../media/image62.jpeg" Type="http://schemas.openxmlformats.org/officeDocument/2006/relationships/image"/><Relationship Id="rId13" Target="../media/image63.jpeg" Type="http://schemas.openxmlformats.org/officeDocument/2006/relationships/image"/><Relationship Id="rId14" Target="../media/image75.jpeg" Type="http://schemas.openxmlformats.org/officeDocument/2006/relationships/image"/><Relationship Id="rId2" Target="../media/image78.jpeg" Type="http://schemas.openxmlformats.org/officeDocument/2006/relationships/image"/><Relationship Id="rId3" Target="../media/image60.jpeg" Type="http://schemas.openxmlformats.org/officeDocument/2006/relationships/image"/><Relationship Id="rId4" Target="../media/image74.jpeg" Type="http://schemas.openxmlformats.org/officeDocument/2006/relationships/image"/><Relationship Id="rId5" Target="../media/image61.jpeg" Type="http://schemas.openxmlformats.org/officeDocument/2006/relationships/image"/><Relationship Id="rId6" Target="../media/image62.jpeg" Type="http://schemas.openxmlformats.org/officeDocument/2006/relationships/image"/><Relationship Id="rId7" Target="../media/image63.jpeg" Type="http://schemas.openxmlformats.org/officeDocument/2006/relationships/image"/><Relationship Id="rId8" Target="../media/image75.jpeg" Type="http://schemas.openxmlformats.org/officeDocument/2006/relationships/image"/><Relationship Id="rId9" Target="../media/image60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79.jpeg" Type="http://schemas.openxmlformats.org/officeDocument/2006/relationships/image"/><Relationship Id="rId10" Target="../media/image83.jpeg" Type="http://schemas.openxmlformats.org/officeDocument/2006/relationships/image"/><Relationship Id="rId11" Target="../media/image84.jpeg" Type="http://schemas.openxmlformats.org/officeDocument/2006/relationships/image"/><Relationship Id="rId12" Target="../media/image85.jpeg" Type="http://schemas.openxmlformats.org/officeDocument/2006/relationships/image"/><Relationship Id="rId13" Target="../media/image86.jpeg" Type="http://schemas.openxmlformats.org/officeDocument/2006/relationships/image"/><Relationship Id="rId14" Target="../media/image87.jpeg" Type="http://schemas.openxmlformats.org/officeDocument/2006/relationships/image"/><Relationship Id="rId15" Target="../media/image88.jpeg" Type="http://schemas.openxmlformats.org/officeDocument/2006/relationships/image"/><Relationship Id="rId16" Target="../media/image88.jpeg" Type="http://schemas.openxmlformats.org/officeDocument/2006/relationships/image"/><Relationship Id="rId17" Target="../media/image83.jpeg" Type="http://schemas.openxmlformats.org/officeDocument/2006/relationships/image"/><Relationship Id="rId18" Target="../media/image84.jpeg" Type="http://schemas.openxmlformats.org/officeDocument/2006/relationships/image"/><Relationship Id="rId19" Target="../media/image86.jpeg" Type="http://schemas.openxmlformats.org/officeDocument/2006/relationships/image"/><Relationship Id="rId2" Target="../media/image80.jpeg" Type="http://schemas.openxmlformats.org/officeDocument/2006/relationships/image"/><Relationship Id="rId20" Target="../media/image89.jpeg" Type="http://schemas.openxmlformats.org/officeDocument/2006/relationships/image"/><Relationship Id="rId21" Target="../media/image90.jpeg" Type="http://schemas.openxmlformats.org/officeDocument/2006/relationships/image"/><Relationship Id="rId22" Target="#'MENU%20MP'.A1" Type="http://schemas.openxmlformats.org/officeDocument/2006/relationships/hyperlink"/><Relationship Id="rId23" Target="../media/image70.png" Type="http://schemas.openxmlformats.org/officeDocument/2006/relationships/image"/><Relationship Id="rId24" Target="../media/image91.jpeg" Type="http://schemas.openxmlformats.org/officeDocument/2006/relationships/image"/><Relationship Id="rId25" Target="../media/image91.jpeg" Type="http://schemas.openxmlformats.org/officeDocument/2006/relationships/image"/><Relationship Id="rId3" Target="../media/image81.jpeg" Type="http://schemas.openxmlformats.org/officeDocument/2006/relationships/image"/><Relationship Id="rId4" Target="../media/image82.jpeg" Type="http://schemas.openxmlformats.org/officeDocument/2006/relationships/image"/><Relationship Id="rId5" Target="../media/image79.jpeg" Type="http://schemas.openxmlformats.org/officeDocument/2006/relationships/image"/><Relationship Id="rId6" Target="../media/image79.jpeg" Type="http://schemas.openxmlformats.org/officeDocument/2006/relationships/image"/><Relationship Id="rId7" Target="../media/image80.jpeg" Type="http://schemas.openxmlformats.org/officeDocument/2006/relationships/image"/><Relationship Id="rId8" Target="../media/image81.jpeg" Type="http://schemas.openxmlformats.org/officeDocument/2006/relationships/image"/><Relationship Id="rId9" Target="../media/image82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#'MENU%20MP'.A1" Type="http://schemas.openxmlformats.org/officeDocument/2006/relationships/hyperlink"/><Relationship Id="rId10" Target="../media/image99.jpeg" Type="http://schemas.openxmlformats.org/officeDocument/2006/relationships/image"/><Relationship Id="rId11" Target="../media/image100.jpeg" Type="http://schemas.openxmlformats.org/officeDocument/2006/relationships/image"/><Relationship Id="rId12" Target="../media/image101.jpeg" Type="http://schemas.openxmlformats.org/officeDocument/2006/relationships/image"/><Relationship Id="rId13" Target="../media/image102.jpeg" Type="http://schemas.openxmlformats.org/officeDocument/2006/relationships/image"/><Relationship Id="rId14" Target="../media/image98.jpeg" Type="http://schemas.openxmlformats.org/officeDocument/2006/relationships/image"/><Relationship Id="rId15" Target="../media/image96.jpeg" Type="http://schemas.openxmlformats.org/officeDocument/2006/relationships/image"/><Relationship Id="rId2" Target="../media/image92.jpeg" Type="http://schemas.openxmlformats.org/officeDocument/2006/relationships/image"/><Relationship Id="rId3" Target="../media/image93.jpeg" Type="http://schemas.openxmlformats.org/officeDocument/2006/relationships/image"/><Relationship Id="rId4" Target="../media/image94.jpeg" Type="http://schemas.openxmlformats.org/officeDocument/2006/relationships/image"/><Relationship Id="rId5" Target="../media/image95.jpeg" Type="http://schemas.openxmlformats.org/officeDocument/2006/relationships/image"/><Relationship Id="rId6" Target="../media/image96.jpeg" Type="http://schemas.openxmlformats.org/officeDocument/2006/relationships/image"/><Relationship Id="rId7" Target="../media/image97.jpeg" Type="http://schemas.openxmlformats.org/officeDocument/2006/relationships/image"/><Relationship Id="rId8" Target="../media/image98.jpeg" Type="http://schemas.openxmlformats.org/officeDocument/2006/relationships/image"/><Relationship Id="rId9" Target="../media/image96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79.jpeg" Type="http://schemas.openxmlformats.org/officeDocument/2006/relationships/image"/><Relationship Id="rId10" Target="../media/image107.jpeg" Type="http://schemas.openxmlformats.org/officeDocument/2006/relationships/image"/><Relationship Id="rId11" Target="../media/image108.jpeg" Type="http://schemas.openxmlformats.org/officeDocument/2006/relationships/image"/><Relationship Id="rId12" Target="../media/image109.jpeg" Type="http://schemas.openxmlformats.org/officeDocument/2006/relationships/image"/><Relationship Id="rId13" Target="../media/image110.jpeg" Type="http://schemas.openxmlformats.org/officeDocument/2006/relationships/image"/><Relationship Id="rId14" Target="../media/image111.jpeg" Type="http://schemas.openxmlformats.org/officeDocument/2006/relationships/image"/><Relationship Id="rId15" Target="../media/image112.jpeg" Type="http://schemas.openxmlformats.org/officeDocument/2006/relationships/image"/><Relationship Id="rId16" Target="../media/image89.jpeg" Type="http://schemas.openxmlformats.org/officeDocument/2006/relationships/image"/><Relationship Id="rId17" Target="../media/image113.jpeg" Type="http://schemas.openxmlformats.org/officeDocument/2006/relationships/image"/><Relationship Id="rId18" Target="../media/image114.jpeg" Type="http://schemas.openxmlformats.org/officeDocument/2006/relationships/image"/><Relationship Id="rId19" Target="../media/image109.jpeg" Type="http://schemas.openxmlformats.org/officeDocument/2006/relationships/image"/><Relationship Id="rId2" Target="../media/image80.jpeg" Type="http://schemas.openxmlformats.org/officeDocument/2006/relationships/image"/><Relationship Id="rId20" Target="../media/image115.jpeg" Type="http://schemas.openxmlformats.org/officeDocument/2006/relationships/image"/><Relationship Id="rId21" Target="../media/image116.jpeg" Type="http://schemas.openxmlformats.org/officeDocument/2006/relationships/image"/><Relationship Id="rId22" Target="../media/image112.jpeg" Type="http://schemas.openxmlformats.org/officeDocument/2006/relationships/image"/><Relationship Id="rId23" Target="../media/image89.jpeg" Type="http://schemas.openxmlformats.org/officeDocument/2006/relationships/image"/><Relationship Id="rId24" Target="#'MENU%20MP'.A1" Type="http://schemas.openxmlformats.org/officeDocument/2006/relationships/hyperlink"/><Relationship Id="rId25" Target="../media/image117.png" Type="http://schemas.openxmlformats.org/officeDocument/2006/relationships/image"/><Relationship Id="rId3" Target="../media/image79.jpeg" Type="http://schemas.openxmlformats.org/officeDocument/2006/relationships/image"/><Relationship Id="rId4" Target="../media/image79.jpeg" Type="http://schemas.openxmlformats.org/officeDocument/2006/relationships/image"/><Relationship Id="rId5" Target="../media/image80.jpeg" Type="http://schemas.openxmlformats.org/officeDocument/2006/relationships/image"/><Relationship Id="rId6" Target="../media/image103.jpeg" Type="http://schemas.openxmlformats.org/officeDocument/2006/relationships/image"/><Relationship Id="rId7" Target="../media/image104.jpeg" Type="http://schemas.openxmlformats.org/officeDocument/2006/relationships/image"/><Relationship Id="rId8" Target="../media/image105.jpeg" Type="http://schemas.openxmlformats.org/officeDocument/2006/relationships/image"/><Relationship Id="rId9" Target="../media/image106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79.jpeg" Type="http://schemas.openxmlformats.org/officeDocument/2006/relationships/image"/><Relationship Id="rId10" Target="#'MENU%20MP'.A1" Type="http://schemas.openxmlformats.org/officeDocument/2006/relationships/hyperlink"/><Relationship Id="rId11" Target="../media/image73.png" Type="http://schemas.openxmlformats.org/officeDocument/2006/relationships/image"/><Relationship Id="rId12" Target="../media/image83.jpeg" Type="http://schemas.openxmlformats.org/officeDocument/2006/relationships/image"/><Relationship Id="rId13" Target="../media/image84.jpeg" Type="http://schemas.openxmlformats.org/officeDocument/2006/relationships/image"/><Relationship Id="rId14" Target="../media/image85.jpeg" Type="http://schemas.openxmlformats.org/officeDocument/2006/relationships/image"/><Relationship Id="rId15" Target="../media/image86.jpeg" Type="http://schemas.openxmlformats.org/officeDocument/2006/relationships/image"/><Relationship Id="rId16" Target="../media/image87.jpeg" Type="http://schemas.openxmlformats.org/officeDocument/2006/relationships/image"/><Relationship Id="rId17" Target="../media/image88.jpeg" Type="http://schemas.openxmlformats.org/officeDocument/2006/relationships/image"/><Relationship Id="rId18" Target="../media/image88.jpeg" Type="http://schemas.openxmlformats.org/officeDocument/2006/relationships/image"/><Relationship Id="rId19" Target="../media/image83.jpeg" Type="http://schemas.openxmlformats.org/officeDocument/2006/relationships/image"/><Relationship Id="rId2" Target="../media/image80.jpeg" Type="http://schemas.openxmlformats.org/officeDocument/2006/relationships/image"/><Relationship Id="rId20" Target="../media/image84.jpeg" Type="http://schemas.openxmlformats.org/officeDocument/2006/relationships/image"/><Relationship Id="rId21" Target="../media/image86.jpeg" Type="http://schemas.openxmlformats.org/officeDocument/2006/relationships/image"/><Relationship Id="rId22" Target="../media/image89.jpeg" Type="http://schemas.openxmlformats.org/officeDocument/2006/relationships/image"/><Relationship Id="rId23" Target="../media/image90.jpeg" Type="http://schemas.openxmlformats.org/officeDocument/2006/relationships/image"/><Relationship Id="rId3" Target="../media/image81.jpeg" Type="http://schemas.openxmlformats.org/officeDocument/2006/relationships/image"/><Relationship Id="rId4" Target="../media/image82.jpeg" Type="http://schemas.openxmlformats.org/officeDocument/2006/relationships/image"/><Relationship Id="rId5" Target="../media/image79.jpeg" Type="http://schemas.openxmlformats.org/officeDocument/2006/relationships/image"/><Relationship Id="rId6" Target="../media/image79.jpeg" Type="http://schemas.openxmlformats.org/officeDocument/2006/relationships/image"/><Relationship Id="rId7" Target="../media/image80.jpeg" Type="http://schemas.openxmlformats.org/officeDocument/2006/relationships/image"/><Relationship Id="rId8" Target="../media/image81.jpeg" Type="http://schemas.openxmlformats.org/officeDocument/2006/relationships/image"/><Relationship Id="rId9" Target="../media/image82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79.jpeg" Type="http://schemas.openxmlformats.org/officeDocument/2006/relationships/image"/><Relationship Id="rId10" Target="../media/image80.jpeg" Type="http://schemas.openxmlformats.org/officeDocument/2006/relationships/image"/><Relationship Id="rId11" Target="../media/image120.jpeg" Type="http://schemas.openxmlformats.org/officeDocument/2006/relationships/image"/><Relationship Id="rId12" Target="#'MENU%20MP'.A1" Type="http://schemas.openxmlformats.org/officeDocument/2006/relationships/hyperlink"/><Relationship Id="rId13" Target="../media/image121.jpeg" Type="http://schemas.openxmlformats.org/officeDocument/2006/relationships/image"/><Relationship Id="rId14" Target="../media/image103.jpeg" Type="http://schemas.openxmlformats.org/officeDocument/2006/relationships/image"/><Relationship Id="rId15" Target="../media/image104.jpeg" Type="http://schemas.openxmlformats.org/officeDocument/2006/relationships/image"/><Relationship Id="rId16" Target="../media/image122.jpeg" Type="http://schemas.openxmlformats.org/officeDocument/2006/relationships/image"/><Relationship Id="rId17" Target="../media/image123.jpeg" Type="http://schemas.openxmlformats.org/officeDocument/2006/relationships/image"/><Relationship Id="rId18" Target="../media/image122.jpeg" Type="http://schemas.openxmlformats.org/officeDocument/2006/relationships/image"/><Relationship Id="rId19" Target="../media/image104.jpeg" Type="http://schemas.openxmlformats.org/officeDocument/2006/relationships/image"/><Relationship Id="rId2" Target="../media/image118.jpeg" Type="http://schemas.openxmlformats.org/officeDocument/2006/relationships/image"/><Relationship Id="rId3" Target="../media/image119.jpeg" Type="http://schemas.openxmlformats.org/officeDocument/2006/relationships/image"/><Relationship Id="rId4" Target="../media/image80.jpeg" Type="http://schemas.openxmlformats.org/officeDocument/2006/relationships/image"/><Relationship Id="rId5" Target="../media/image120.jpeg" Type="http://schemas.openxmlformats.org/officeDocument/2006/relationships/image"/><Relationship Id="rId6" Target="../media/image79.jpeg" Type="http://schemas.openxmlformats.org/officeDocument/2006/relationships/image"/><Relationship Id="rId7" Target="../media/image79.jpeg" Type="http://schemas.openxmlformats.org/officeDocument/2006/relationships/image"/><Relationship Id="rId8" Target="../media/image118.jpeg" Type="http://schemas.openxmlformats.org/officeDocument/2006/relationships/image"/><Relationship Id="rId9" Target="../media/image119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79.jpeg" Type="http://schemas.openxmlformats.org/officeDocument/2006/relationships/image"/><Relationship Id="rId10" Target="../media/image79.jpeg" Type="http://schemas.openxmlformats.org/officeDocument/2006/relationships/image"/><Relationship Id="rId11" Target="../media/image118.jpeg" Type="http://schemas.openxmlformats.org/officeDocument/2006/relationships/image"/><Relationship Id="rId12" Target="../media/image119.jpeg" Type="http://schemas.openxmlformats.org/officeDocument/2006/relationships/image"/><Relationship Id="rId13" Target="../media/image80.jpeg" Type="http://schemas.openxmlformats.org/officeDocument/2006/relationships/image"/><Relationship Id="rId14" Target="../media/image120.jpeg" Type="http://schemas.openxmlformats.org/officeDocument/2006/relationships/image"/><Relationship Id="rId15" Target="../media/image81.jpeg" Type="http://schemas.openxmlformats.org/officeDocument/2006/relationships/image"/><Relationship Id="rId16" Target="../media/image124.jpeg" Type="http://schemas.openxmlformats.org/officeDocument/2006/relationships/image"/><Relationship Id="rId17" Target="../media/image82.jpeg" Type="http://schemas.openxmlformats.org/officeDocument/2006/relationships/image"/><Relationship Id="rId18" Target="#'MENU%20MP'.A1" Type="http://schemas.openxmlformats.org/officeDocument/2006/relationships/hyperlink"/><Relationship Id="rId19" Target="../media/image76.png" Type="http://schemas.openxmlformats.org/officeDocument/2006/relationships/image"/><Relationship Id="rId2" Target="../media/image118.jpeg" Type="http://schemas.openxmlformats.org/officeDocument/2006/relationships/image"/><Relationship Id="rId20" Target="../media/image91.jpeg" Type="http://schemas.openxmlformats.org/officeDocument/2006/relationships/image"/><Relationship Id="rId21" Target="../media/image91.jpeg" Type="http://schemas.openxmlformats.org/officeDocument/2006/relationships/image"/><Relationship Id="rId3" Target="../media/image119.jpeg" Type="http://schemas.openxmlformats.org/officeDocument/2006/relationships/image"/><Relationship Id="rId4" Target="../media/image80.jpeg" Type="http://schemas.openxmlformats.org/officeDocument/2006/relationships/image"/><Relationship Id="rId5" Target="../media/image120.jpeg" Type="http://schemas.openxmlformats.org/officeDocument/2006/relationships/image"/><Relationship Id="rId6" Target="../media/image81.jpeg" Type="http://schemas.openxmlformats.org/officeDocument/2006/relationships/image"/><Relationship Id="rId7" Target="../media/image124.jpeg" Type="http://schemas.openxmlformats.org/officeDocument/2006/relationships/image"/><Relationship Id="rId8" Target="../media/image82.jpeg" Type="http://schemas.openxmlformats.org/officeDocument/2006/relationships/image"/><Relationship Id="rId9" Target="../media/image79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#'MENU%20MP'.A1" Type="http://schemas.openxmlformats.org/officeDocument/2006/relationships/hyperlink"/><Relationship Id="rId10" Target="../media/image82.jpeg" Type="http://schemas.openxmlformats.org/officeDocument/2006/relationships/image"/><Relationship Id="rId11" Target="../media/image79.jpeg" Type="http://schemas.openxmlformats.org/officeDocument/2006/relationships/image"/><Relationship Id="rId12" Target="../media/image79.jpeg" Type="http://schemas.openxmlformats.org/officeDocument/2006/relationships/image"/><Relationship Id="rId13" Target="../media/image118.jpeg" Type="http://schemas.openxmlformats.org/officeDocument/2006/relationships/image"/><Relationship Id="rId14" Target="../media/image119.jpeg" Type="http://schemas.openxmlformats.org/officeDocument/2006/relationships/image"/><Relationship Id="rId15" Target="../media/image80.jpeg" Type="http://schemas.openxmlformats.org/officeDocument/2006/relationships/image"/><Relationship Id="rId16" Target="../media/image120.jpeg" Type="http://schemas.openxmlformats.org/officeDocument/2006/relationships/image"/><Relationship Id="rId17" Target="../media/image81.jpeg" Type="http://schemas.openxmlformats.org/officeDocument/2006/relationships/image"/><Relationship Id="rId18" Target="../media/image124.jpeg" Type="http://schemas.openxmlformats.org/officeDocument/2006/relationships/image"/><Relationship Id="rId19" Target="../media/image82.jpeg" Type="http://schemas.openxmlformats.org/officeDocument/2006/relationships/image"/><Relationship Id="rId2" Target="../media/image78.jpeg" Type="http://schemas.openxmlformats.org/officeDocument/2006/relationships/image"/><Relationship Id="rId3" Target="../media/image79.jpeg" Type="http://schemas.openxmlformats.org/officeDocument/2006/relationships/image"/><Relationship Id="rId4" Target="../media/image118.jpeg" Type="http://schemas.openxmlformats.org/officeDocument/2006/relationships/image"/><Relationship Id="rId5" Target="../media/image119.jpeg" Type="http://schemas.openxmlformats.org/officeDocument/2006/relationships/image"/><Relationship Id="rId6" Target="../media/image80.jpeg" Type="http://schemas.openxmlformats.org/officeDocument/2006/relationships/image"/><Relationship Id="rId7" Target="../media/image120.jpeg" Type="http://schemas.openxmlformats.org/officeDocument/2006/relationships/image"/><Relationship Id="rId8" Target="../media/image81.jpeg" Type="http://schemas.openxmlformats.org/officeDocument/2006/relationships/image"/><Relationship Id="rId9" Target="../media/image124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25.jpeg" Type="http://schemas.openxmlformats.org/officeDocument/2006/relationships/image"/><Relationship Id="rId10" Target="../media/image132.jpeg" Type="http://schemas.openxmlformats.org/officeDocument/2006/relationships/image"/><Relationship Id="rId11" Target="../media/image128.png" Type="http://schemas.openxmlformats.org/officeDocument/2006/relationships/image"/><Relationship Id="rId12" Target="../media/image129.jpeg" Type="http://schemas.openxmlformats.org/officeDocument/2006/relationships/image"/><Relationship Id="rId13" Target="../media/image133.png" Type="http://schemas.openxmlformats.org/officeDocument/2006/relationships/image"/><Relationship Id="rId14" Target="#'MENU%20GOLD'.A1" Type="http://schemas.openxmlformats.org/officeDocument/2006/relationships/hyperlink"/><Relationship Id="rId15" Target="../media/image49.jpeg" Type="http://schemas.openxmlformats.org/officeDocument/2006/relationships/image"/><Relationship Id="rId16" Target="../media/image28.jpeg" Type="http://schemas.openxmlformats.org/officeDocument/2006/relationships/image"/><Relationship Id="rId17" Target="../media/image134.jpeg" Type="http://schemas.openxmlformats.org/officeDocument/2006/relationships/image"/><Relationship Id="rId2" Target="../media/image126.png" Type="http://schemas.openxmlformats.org/officeDocument/2006/relationships/image"/><Relationship Id="rId3" Target="../media/image127.jpeg" Type="http://schemas.openxmlformats.org/officeDocument/2006/relationships/image"/><Relationship Id="rId4" Target="../media/image127.jpeg" Type="http://schemas.openxmlformats.org/officeDocument/2006/relationships/image"/><Relationship Id="rId5" Target="../media/image128.png" Type="http://schemas.openxmlformats.org/officeDocument/2006/relationships/image"/><Relationship Id="rId6" Target="../media/image129.jpeg" Type="http://schemas.openxmlformats.org/officeDocument/2006/relationships/image"/><Relationship Id="rId7" Target="../media/image130.png" Type="http://schemas.openxmlformats.org/officeDocument/2006/relationships/image"/><Relationship Id="rId8" Target="../media/image125.jpeg" Type="http://schemas.openxmlformats.org/officeDocument/2006/relationships/image"/><Relationship Id="rId9" Target="../media/image131.pn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#'MENU%20GOLD'.A1" Type="http://schemas.openxmlformats.org/officeDocument/2006/relationships/hyperlink"/><Relationship Id="rId10" Target="../media/image125.jpeg" Type="http://schemas.openxmlformats.org/officeDocument/2006/relationships/image"/><Relationship Id="rId11" Target="../media/image131.png" Type="http://schemas.openxmlformats.org/officeDocument/2006/relationships/image"/><Relationship Id="rId12" Target="../media/image132.jpeg" Type="http://schemas.openxmlformats.org/officeDocument/2006/relationships/image"/><Relationship Id="rId13" Target="../media/image128.png" Type="http://schemas.openxmlformats.org/officeDocument/2006/relationships/image"/><Relationship Id="rId14" Target="../media/image129.jpeg" Type="http://schemas.openxmlformats.org/officeDocument/2006/relationships/image"/><Relationship Id="rId15" Target="../media/image133.png" Type="http://schemas.openxmlformats.org/officeDocument/2006/relationships/image"/><Relationship Id="rId2" Target="../media/image135.png" Type="http://schemas.openxmlformats.org/officeDocument/2006/relationships/image"/><Relationship Id="rId3" Target="../media/image125.jpeg" Type="http://schemas.openxmlformats.org/officeDocument/2006/relationships/image"/><Relationship Id="rId4" Target="../media/image126.png" Type="http://schemas.openxmlformats.org/officeDocument/2006/relationships/image"/><Relationship Id="rId5" Target="../media/image127.jpeg" Type="http://schemas.openxmlformats.org/officeDocument/2006/relationships/image"/><Relationship Id="rId6" Target="../media/image127.jpeg" Type="http://schemas.openxmlformats.org/officeDocument/2006/relationships/image"/><Relationship Id="rId7" Target="../media/image128.png" Type="http://schemas.openxmlformats.org/officeDocument/2006/relationships/image"/><Relationship Id="rId8" Target="../media/image129.jpeg" Type="http://schemas.openxmlformats.org/officeDocument/2006/relationships/image"/><Relationship Id="rId9" Target="../media/image130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4.png" Type="http://schemas.openxmlformats.org/officeDocument/2006/relationships/image"/><Relationship Id="rId11" Target="#'MENU%20GAVETAS'.A1" Type="http://schemas.openxmlformats.org/officeDocument/2006/relationships/hyperlink"/><Relationship Id="rId12" Target="../media/image8.png" Type="http://schemas.openxmlformats.org/officeDocument/2006/relationships/image"/><Relationship Id="rId2" Target="../media/image1.png" Type="http://schemas.openxmlformats.org/officeDocument/2006/relationships/image"/><Relationship Id="rId3" Target="../media/image2.jpeg" Type="http://schemas.openxmlformats.org/officeDocument/2006/relationships/image"/><Relationship Id="rId4" Target="../media/image2.jpeg" Type="http://schemas.openxmlformats.org/officeDocument/2006/relationships/image"/><Relationship Id="rId5" Target="../media/image3.png" Type="http://schemas.openxmlformats.org/officeDocument/2006/relationships/image"/><Relationship Id="rId6" Target="../media/image4.png" Type="http://schemas.openxmlformats.org/officeDocument/2006/relationships/image"/><Relationship Id="rId7" Target="../media/image1.png" Type="http://schemas.openxmlformats.org/officeDocument/2006/relationships/image"/><Relationship Id="rId8" Target="../media/image2.jpeg" Type="http://schemas.openxmlformats.org/officeDocument/2006/relationships/image"/><Relationship Id="rId9" Target="../media/image3.pn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#'MENU%20GOLD'.A1" Type="http://schemas.openxmlformats.org/officeDocument/2006/relationships/hyperlink"/><Relationship Id="rId10" Target="../media/image140.jpeg" Type="http://schemas.openxmlformats.org/officeDocument/2006/relationships/image"/><Relationship Id="rId11" Target="../media/image141.jpeg" Type="http://schemas.openxmlformats.org/officeDocument/2006/relationships/image"/><Relationship Id="rId12" Target="../media/image142.jpeg" Type="http://schemas.openxmlformats.org/officeDocument/2006/relationships/image"/><Relationship Id="rId13" Target="../media/image143.jpeg" Type="http://schemas.openxmlformats.org/officeDocument/2006/relationships/image"/><Relationship Id="rId2" Target="../media/image92.jpeg" Type="http://schemas.openxmlformats.org/officeDocument/2006/relationships/image"/><Relationship Id="rId3" Target="../media/image136.jpeg" Type="http://schemas.openxmlformats.org/officeDocument/2006/relationships/image"/><Relationship Id="rId4" Target="../media/image137.jpeg" Type="http://schemas.openxmlformats.org/officeDocument/2006/relationships/image"/><Relationship Id="rId5" Target="../media/image136.jpeg" Type="http://schemas.openxmlformats.org/officeDocument/2006/relationships/image"/><Relationship Id="rId6" Target="../media/image137.jpeg" Type="http://schemas.openxmlformats.org/officeDocument/2006/relationships/image"/><Relationship Id="rId7" Target="../media/image138.jpeg" Type="http://schemas.openxmlformats.org/officeDocument/2006/relationships/image"/><Relationship Id="rId8" Target="../media/image139.jpeg" Type="http://schemas.openxmlformats.org/officeDocument/2006/relationships/image"/><Relationship Id="rId9" Target="../media/image139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44.jpeg" Type="http://schemas.openxmlformats.org/officeDocument/2006/relationships/image"/><Relationship Id="rId10" Target="../media/image151.png" Type="http://schemas.openxmlformats.org/officeDocument/2006/relationships/image"/><Relationship Id="rId11" Target="../media/image152.png" Type="http://schemas.openxmlformats.org/officeDocument/2006/relationships/image"/><Relationship Id="rId12" Target="../media/image153.png" Type="http://schemas.openxmlformats.org/officeDocument/2006/relationships/image"/><Relationship Id="rId13" Target="../media/image154.png" Type="http://schemas.openxmlformats.org/officeDocument/2006/relationships/image"/><Relationship Id="rId14" Target="../media/image155.jpeg" Type="http://schemas.openxmlformats.org/officeDocument/2006/relationships/image"/><Relationship Id="rId15" Target="../media/image146.png" Type="http://schemas.openxmlformats.org/officeDocument/2006/relationships/image"/><Relationship Id="rId16" Target="../media/image147.png" Type="http://schemas.openxmlformats.org/officeDocument/2006/relationships/image"/><Relationship Id="rId17" Target="../media/image152.png" Type="http://schemas.openxmlformats.org/officeDocument/2006/relationships/image"/><Relationship Id="rId18" Target="../media/image156.png" Type="http://schemas.openxmlformats.org/officeDocument/2006/relationships/image"/><Relationship Id="rId19" Target="../media/image154.png" Type="http://schemas.openxmlformats.org/officeDocument/2006/relationships/image"/><Relationship Id="rId2" Target="../media/image145.png" Type="http://schemas.openxmlformats.org/officeDocument/2006/relationships/image"/><Relationship Id="rId20" Target="../media/image155.jpeg" Type="http://schemas.openxmlformats.org/officeDocument/2006/relationships/image"/><Relationship Id="rId21" Target="../media/image145.png" Type="http://schemas.openxmlformats.org/officeDocument/2006/relationships/image"/><Relationship Id="rId22" Target="../media/image148.png" Type="http://schemas.openxmlformats.org/officeDocument/2006/relationships/image"/><Relationship Id="rId23" Target="../media/image151.png" Type="http://schemas.openxmlformats.org/officeDocument/2006/relationships/image"/><Relationship Id="rId24" Target="../media/image144.jpeg" Type="http://schemas.openxmlformats.org/officeDocument/2006/relationships/image"/><Relationship Id="rId25" Target="../media/image149.png" Type="http://schemas.openxmlformats.org/officeDocument/2006/relationships/image"/><Relationship Id="rId3" Target="../media/image146.png" Type="http://schemas.openxmlformats.org/officeDocument/2006/relationships/image"/><Relationship Id="rId4" Target="../media/image144.jpeg" Type="http://schemas.openxmlformats.org/officeDocument/2006/relationships/image"/><Relationship Id="rId5" Target="../media/image147.png" Type="http://schemas.openxmlformats.org/officeDocument/2006/relationships/image"/><Relationship Id="rId6" Target="../media/image148.png" Type="http://schemas.openxmlformats.org/officeDocument/2006/relationships/image"/><Relationship Id="rId7" Target="../media/image149.png" Type="http://schemas.openxmlformats.org/officeDocument/2006/relationships/image"/><Relationship Id="rId8" Target="#'MENU%20GOLD'.A1" Type="http://schemas.openxmlformats.org/officeDocument/2006/relationships/hyperlink"/><Relationship Id="rId9" Target="../media/image150.pn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57.png" Type="http://schemas.openxmlformats.org/officeDocument/2006/relationships/image"/><Relationship Id="rId10" Target="../media/image146.png" Type="http://schemas.openxmlformats.org/officeDocument/2006/relationships/image"/><Relationship Id="rId11" Target="../media/image159.png" Type="http://schemas.openxmlformats.org/officeDocument/2006/relationships/image"/><Relationship Id="rId12" Target="../media/image160.png" Type="http://schemas.openxmlformats.org/officeDocument/2006/relationships/image"/><Relationship Id="rId13" Target="../media/image160.png" Type="http://schemas.openxmlformats.org/officeDocument/2006/relationships/image"/><Relationship Id="rId14" Target="../media/image159.png" Type="http://schemas.openxmlformats.org/officeDocument/2006/relationships/image"/><Relationship Id="rId15" Target="#'MENU%20GOLD'.A1" Type="http://schemas.openxmlformats.org/officeDocument/2006/relationships/hyperlink"/><Relationship Id="rId16" Target="../media/image73.png" Type="http://schemas.openxmlformats.org/officeDocument/2006/relationships/image"/><Relationship Id="rId17" Target="../media/image144.jpeg" Type="http://schemas.openxmlformats.org/officeDocument/2006/relationships/image"/><Relationship Id="rId18" Target="../media/image147.png" Type="http://schemas.openxmlformats.org/officeDocument/2006/relationships/image"/><Relationship Id="rId19" Target="../media/image148.png" Type="http://schemas.openxmlformats.org/officeDocument/2006/relationships/image"/><Relationship Id="rId2" Target="../media/image144.jpeg" Type="http://schemas.openxmlformats.org/officeDocument/2006/relationships/image"/><Relationship Id="rId20" Target="../media/image161.png" Type="http://schemas.openxmlformats.org/officeDocument/2006/relationships/image"/><Relationship Id="rId21" Target="../media/image162.png" Type="http://schemas.openxmlformats.org/officeDocument/2006/relationships/image"/><Relationship Id="rId22" Target="../media/image149.png" Type="http://schemas.openxmlformats.org/officeDocument/2006/relationships/image"/><Relationship Id="rId23" Target="../media/image161.png" Type="http://schemas.openxmlformats.org/officeDocument/2006/relationships/image"/><Relationship Id="rId24" Target="../media/image147.png" Type="http://schemas.openxmlformats.org/officeDocument/2006/relationships/image"/><Relationship Id="rId25" Target="../media/image162.png" Type="http://schemas.openxmlformats.org/officeDocument/2006/relationships/image"/><Relationship Id="rId26" Target="../media/image149.png" Type="http://schemas.openxmlformats.org/officeDocument/2006/relationships/image"/><Relationship Id="rId27" Target="../media/image148.png" Type="http://schemas.openxmlformats.org/officeDocument/2006/relationships/image"/><Relationship Id="rId3" Target="../media/image158.png" Type="http://schemas.openxmlformats.org/officeDocument/2006/relationships/image"/><Relationship Id="rId4" Target="../media/image145.png" Type="http://schemas.openxmlformats.org/officeDocument/2006/relationships/image"/><Relationship Id="rId5" Target="../media/image146.png" Type="http://schemas.openxmlformats.org/officeDocument/2006/relationships/image"/><Relationship Id="rId6" Target="../media/image157.png" Type="http://schemas.openxmlformats.org/officeDocument/2006/relationships/image"/><Relationship Id="rId7" Target="../media/image144.jpeg" Type="http://schemas.openxmlformats.org/officeDocument/2006/relationships/image"/><Relationship Id="rId8" Target="../media/image158.png" Type="http://schemas.openxmlformats.org/officeDocument/2006/relationships/image"/><Relationship Id="rId9" Target="../media/image145.pn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57.png" Type="http://schemas.openxmlformats.org/officeDocument/2006/relationships/image"/><Relationship Id="rId10" Target="../media/image163.png" Type="http://schemas.openxmlformats.org/officeDocument/2006/relationships/image"/><Relationship Id="rId11" Target="../media/image145.png" Type="http://schemas.openxmlformats.org/officeDocument/2006/relationships/image"/><Relationship Id="rId12" Target="../media/image146.png" Type="http://schemas.openxmlformats.org/officeDocument/2006/relationships/image"/><Relationship Id="rId13" Target="#'MENU%20GOLD'.A1" Type="http://schemas.openxmlformats.org/officeDocument/2006/relationships/hyperlink"/><Relationship Id="rId14" Target="../media/image76.png" Type="http://schemas.openxmlformats.org/officeDocument/2006/relationships/image"/><Relationship Id="rId15" Target="../media/image164.jpeg" Type="http://schemas.openxmlformats.org/officeDocument/2006/relationships/image"/><Relationship Id="rId16" Target="../media/image165.png" Type="http://schemas.openxmlformats.org/officeDocument/2006/relationships/image"/><Relationship Id="rId17" Target="../media/image166.png" Type="http://schemas.openxmlformats.org/officeDocument/2006/relationships/image"/><Relationship Id="rId18" Target="../media/image159.png" Type="http://schemas.openxmlformats.org/officeDocument/2006/relationships/image"/><Relationship Id="rId19" Target="../media/image160.png" Type="http://schemas.openxmlformats.org/officeDocument/2006/relationships/image"/><Relationship Id="rId2" Target="../media/image144.jpeg" Type="http://schemas.openxmlformats.org/officeDocument/2006/relationships/image"/><Relationship Id="rId20" Target="../media/image164.jpeg" Type="http://schemas.openxmlformats.org/officeDocument/2006/relationships/image"/><Relationship Id="rId21" Target="../media/image165.png" Type="http://schemas.openxmlformats.org/officeDocument/2006/relationships/image"/><Relationship Id="rId22" Target="../media/image166.png" Type="http://schemas.openxmlformats.org/officeDocument/2006/relationships/image"/><Relationship Id="rId23" Target="../media/image160.png" Type="http://schemas.openxmlformats.org/officeDocument/2006/relationships/image"/><Relationship Id="rId24" Target="../media/image159.png" Type="http://schemas.openxmlformats.org/officeDocument/2006/relationships/image"/><Relationship Id="rId3" Target="../media/image158.png" Type="http://schemas.openxmlformats.org/officeDocument/2006/relationships/image"/><Relationship Id="rId4" Target="../media/image163.png" Type="http://schemas.openxmlformats.org/officeDocument/2006/relationships/image"/><Relationship Id="rId5" Target="../media/image145.png" Type="http://schemas.openxmlformats.org/officeDocument/2006/relationships/image"/><Relationship Id="rId6" Target="../media/image146.png" Type="http://schemas.openxmlformats.org/officeDocument/2006/relationships/image"/><Relationship Id="rId7" Target="../media/image157.png" Type="http://schemas.openxmlformats.org/officeDocument/2006/relationships/image"/><Relationship Id="rId8" Target="../media/image144.jpeg" Type="http://schemas.openxmlformats.org/officeDocument/2006/relationships/image"/><Relationship Id="rId9" Target="../media/image158.pn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#'MENU%20GOLD'.A1" Type="http://schemas.openxmlformats.org/officeDocument/2006/relationships/hyperlink"/><Relationship Id="rId10" Target="../media/image145.png" Type="http://schemas.openxmlformats.org/officeDocument/2006/relationships/image"/><Relationship Id="rId11" Target="../media/image146.png" Type="http://schemas.openxmlformats.org/officeDocument/2006/relationships/image"/><Relationship Id="rId12" Target="../media/image169.png" Type="http://schemas.openxmlformats.org/officeDocument/2006/relationships/image"/><Relationship Id="rId13" Target="../media/image157.png" Type="http://schemas.openxmlformats.org/officeDocument/2006/relationships/image"/><Relationship Id="rId14" Target="../media/image167.png" Type="http://schemas.openxmlformats.org/officeDocument/2006/relationships/image"/><Relationship Id="rId15" Target="../media/image168.png" Type="http://schemas.openxmlformats.org/officeDocument/2006/relationships/image"/><Relationship Id="rId16" Target="../media/image144.jpeg" Type="http://schemas.openxmlformats.org/officeDocument/2006/relationships/image"/><Relationship Id="rId17" Target="../media/image158.png" Type="http://schemas.openxmlformats.org/officeDocument/2006/relationships/image"/><Relationship Id="rId18" Target="../media/image163.png" Type="http://schemas.openxmlformats.org/officeDocument/2006/relationships/image"/><Relationship Id="rId19" Target="../media/image145.png" Type="http://schemas.openxmlformats.org/officeDocument/2006/relationships/image"/><Relationship Id="rId2" Target="../media/image78.jpeg" Type="http://schemas.openxmlformats.org/officeDocument/2006/relationships/image"/><Relationship Id="rId20" Target="../media/image146.png" Type="http://schemas.openxmlformats.org/officeDocument/2006/relationships/image"/><Relationship Id="rId21" Target="../media/image169.png" Type="http://schemas.openxmlformats.org/officeDocument/2006/relationships/image"/><Relationship Id="rId3" Target="../media/image144.jpeg" Type="http://schemas.openxmlformats.org/officeDocument/2006/relationships/image"/><Relationship Id="rId4" Target="../media/image157.png" Type="http://schemas.openxmlformats.org/officeDocument/2006/relationships/image"/><Relationship Id="rId5" Target="../media/image167.png" Type="http://schemas.openxmlformats.org/officeDocument/2006/relationships/image"/><Relationship Id="rId6" Target="../media/image168.png" Type="http://schemas.openxmlformats.org/officeDocument/2006/relationships/image"/><Relationship Id="rId7" Target="../media/image144.jpeg" Type="http://schemas.openxmlformats.org/officeDocument/2006/relationships/image"/><Relationship Id="rId8" Target="../media/image158.png" Type="http://schemas.openxmlformats.org/officeDocument/2006/relationships/image"/><Relationship Id="rId9" Target="../media/image163.pn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37.jpeg" Type="http://schemas.openxmlformats.org/officeDocument/2006/relationships/image"/><Relationship Id="rId11" Target="../media/image36.jpeg" Type="http://schemas.openxmlformats.org/officeDocument/2006/relationships/image"/><Relationship Id="rId12" Target="../media/image170.jpeg" Type="http://schemas.openxmlformats.org/officeDocument/2006/relationships/image"/><Relationship Id="rId13" Target="../media/image33.jpeg" Type="http://schemas.openxmlformats.org/officeDocument/2006/relationships/image"/><Relationship Id="rId14" Target="../media/image34.jpeg" Type="http://schemas.openxmlformats.org/officeDocument/2006/relationships/image"/><Relationship Id="rId15" Target="../media/image36.jpeg" Type="http://schemas.openxmlformats.org/officeDocument/2006/relationships/image"/><Relationship Id="rId16" Target="#'MENU%20SUPREMA'.A1" Type="http://schemas.openxmlformats.org/officeDocument/2006/relationships/hyperlink"/><Relationship Id="rId17" Target="../media/image121.jpeg" Type="http://schemas.openxmlformats.org/officeDocument/2006/relationships/image"/><Relationship Id="rId18" Target="../media/image175.jpeg" Type="http://schemas.openxmlformats.org/officeDocument/2006/relationships/image"/><Relationship Id="rId19" Target="../media/image176.jpeg" Type="http://schemas.openxmlformats.org/officeDocument/2006/relationships/image"/><Relationship Id="rId2" Target="../media/image170.jpeg" Type="http://schemas.openxmlformats.org/officeDocument/2006/relationships/image"/><Relationship Id="rId20" Target="../media/image175.jpeg" Type="http://schemas.openxmlformats.org/officeDocument/2006/relationships/image"/><Relationship Id="rId21" Target="../media/image176.jpeg" Type="http://schemas.openxmlformats.org/officeDocument/2006/relationships/image"/><Relationship Id="rId3" Target="../media/image37.jpeg" Type="http://schemas.openxmlformats.org/officeDocument/2006/relationships/image"/><Relationship Id="rId4" Target="../media/image171.jpeg" Type="http://schemas.openxmlformats.org/officeDocument/2006/relationships/image"/><Relationship Id="rId5" Target="../media/image172.jpeg" Type="http://schemas.openxmlformats.org/officeDocument/2006/relationships/image"/><Relationship Id="rId6" Target="../media/image33.jpeg" Type="http://schemas.openxmlformats.org/officeDocument/2006/relationships/image"/><Relationship Id="rId7" Target="../media/image34.jpeg" Type="http://schemas.openxmlformats.org/officeDocument/2006/relationships/image"/><Relationship Id="rId8" Target="../media/image173.jpeg" Type="http://schemas.openxmlformats.org/officeDocument/2006/relationships/image"/><Relationship Id="rId9" Target="../media/image174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173.jpeg" Type="http://schemas.openxmlformats.org/officeDocument/2006/relationships/image"/><Relationship Id="rId11" Target="../media/image174.jpeg" Type="http://schemas.openxmlformats.org/officeDocument/2006/relationships/image"/><Relationship Id="rId12" Target="../media/image179.jpeg" Type="http://schemas.openxmlformats.org/officeDocument/2006/relationships/image"/><Relationship Id="rId13" Target="../media/image180.jpeg" Type="http://schemas.openxmlformats.org/officeDocument/2006/relationships/image"/><Relationship Id="rId14" Target="../media/image37.jpeg" Type="http://schemas.openxmlformats.org/officeDocument/2006/relationships/image"/><Relationship Id="rId15" Target="#'MENU%20SUPREMA'.A1" Type="http://schemas.openxmlformats.org/officeDocument/2006/relationships/hyperlink"/><Relationship Id="rId16" Target="../media/image181.jpeg" Type="http://schemas.openxmlformats.org/officeDocument/2006/relationships/image"/><Relationship Id="rId17" Target="../media/image36.jpeg" Type="http://schemas.openxmlformats.org/officeDocument/2006/relationships/image"/><Relationship Id="rId18" Target="../media/image182.jpeg" Type="http://schemas.openxmlformats.org/officeDocument/2006/relationships/image"/><Relationship Id="rId19" Target="../media/image183.jpeg" Type="http://schemas.openxmlformats.org/officeDocument/2006/relationships/image"/><Relationship Id="rId2" Target="../media/image170.jpeg" Type="http://schemas.openxmlformats.org/officeDocument/2006/relationships/image"/><Relationship Id="rId20" Target="../media/image182.jpeg" Type="http://schemas.openxmlformats.org/officeDocument/2006/relationships/image"/><Relationship Id="rId21" Target="../media/image183.jpeg" Type="http://schemas.openxmlformats.org/officeDocument/2006/relationships/image"/><Relationship Id="rId22" Target="../media/image170.jpeg" Type="http://schemas.openxmlformats.org/officeDocument/2006/relationships/image"/><Relationship Id="rId23" Target="../media/image33.jpeg" Type="http://schemas.openxmlformats.org/officeDocument/2006/relationships/image"/><Relationship Id="rId24" Target="../media/image34.jpeg" Type="http://schemas.openxmlformats.org/officeDocument/2006/relationships/image"/><Relationship Id="rId25" Target="../media/image36.jpeg" Type="http://schemas.openxmlformats.org/officeDocument/2006/relationships/image"/><Relationship Id="rId26" Target="../media/image182.jpeg" Type="http://schemas.openxmlformats.org/officeDocument/2006/relationships/image"/><Relationship Id="rId3" Target="../media/image37.jpeg" Type="http://schemas.openxmlformats.org/officeDocument/2006/relationships/image"/><Relationship Id="rId4" Target="../media/image171.jpeg" Type="http://schemas.openxmlformats.org/officeDocument/2006/relationships/image"/><Relationship Id="rId5" Target="../media/image172.jpeg" Type="http://schemas.openxmlformats.org/officeDocument/2006/relationships/image"/><Relationship Id="rId6" Target="../media/image177.jpeg" Type="http://schemas.openxmlformats.org/officeDocument/2006/relationships/image"/><Relationship Id="rId7" Target="../media/image178.jpeg" Type="http://schemas.openxmlformats.org/officeDocument/2006/relationships/image"/><Relationship Id="rId8" Target="../media/image33.jpeg" Type="http://schemas.openxmlformats.org/officeDocument/2006/relationships/image"/><Relationship Id="rId9" Target="../media/image34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187.png" Type="http://schemas.openxmlformats.org/officeDocument/2006/relationships/image"/><Relationship Id="rId11" Target="../media/image188.png" Type="http://schemas.openxmlformats.org/officeDocument/2006/relationships/image"/><Relationship Id="rId12" Target="../media/image189.png" Type="http://schemas.openxmlformats.org/officeDocument/2006/relationships/image"/><Relationship Id="rId13" Target="../media/image190.png" Type="http://schemas.openxmlformats.org/officeDocument/2006/relationships/image"/><Relationship Id="rId14" Target="#'MENU%20SUPREMA'.A1" Type="http://schemas.openxmlformats.org/officeDocument/2006/relationships/hyperlink"/><Relationship Id="rId15" Target="../media/image191.jpeg" Type="http://schemas.openxmlformats.org/officeDocument/2006/relationships/image"/><Relationship Id="rId16" Target="../media/image192.jpeg" Type="http://schemas.openxmlformats.org/officeDocument/2006/relationships/image"/><Relationship Id="rId17" Target="../media/image193.jpeg" Type="http://schemas.openxmlformats.org/officeDocument/2006/relationships/image"/><Relationship Id="rId18" Target="../media/image194.jpeg" Type="http://schemas.openxmlformats.org/officeDocument/2006/relationships/image"/><Relationship Id="rId19" Target="../media/image195.jpeg" Type="http://schemas.openxmlformats.org/officeDocument/2006/relationships/image"/><Relationship Id="rId2" Target="../media/image170.jpeg" Type="http://schemas.openxmlformats.org/officeDocument/2006/relationships/image"/><Relationship Id="rId20" Target="../media/image196.jpeg" Type="http://schemas.openxmlformats.org/officeDocument/2006/relationships/image"/><Relationship Id="rId21" Target="../media/image197.png" Type="http://schemas.openxmlformats.org/officeDocument/2006/relationships/image"/><Relationship Id="rId22" Target="../media/image198.png" Type="http://schemas.openxmlformats.org/officeDocument/2006/relationships/image"/><Relationship Id="rId23" Target="../media/image199.png" Type="http://schemas.openxmlformats.org/officeDocument/2006/relationships/image"/><Relationship Id="rId24" Target="../media/image170.jpeg" Type="http://schemas.openxmlformats.org/officeDocument/2006/relationships/image"/><Relationship Id="rId25" Target="../media/image37.jpeg" Type="http://schemas.openxmlformats.org/officeDocument/2006/relationships/image"/><Relationship Id="rId26" Target="../media/image33.jpeg" Type="http://schemas.openxmlformats.org/officeDocument/2006/relationships/image"/><Relationship Id="rId27" Target="../media/image184.jpeg" Type="http://schemas.openxmlformats.org/officeDocument/2006/relationships/image"/><Relationship Id="rId28" Target="../media/image36.jpeg" Type="http://schemas.openxmlformats.org/officeDocument/2006/relationships/image"/><Relationship Id="rId29" Target="../media/image30.jpeg" Type="http://schemas.openxmlformats.org/officeDocument/2006/relationships/image"/><Relationship Id="rId3" Target="../media/image37.jpeg" Type="http://schemas.openxmlformats.org/officeDocument/2006/relationships/image"/><Relationship Id="rId30" Target="../media/image185.jpeg" Type="http://schemas.openxmlformats.org/officeDocument/2006/relationships/image"/><Relationship Id="rId31" Target="../media/image186.jpeg" Type="http://schemas.openxmlformats.org/officeDocument/2006/relationships/image"/><Relationship Id="rId32" Target="../media/image187.png" Type="http://schemas.openxmlformats.org/officeDocument/2006/relationships/image"/><Relationship Id="rId33" Target="../media/image188.png" Type="http://schemas.openxmlformats.org/officeDocument/2006/relationships/image"/><Relationship Id="rId34" Target="../media/image189.png" Type="http://schemas.openxmlformats.org/officeDocument/2006/relationships/image"/><Relationship Id="rId35" Target="../media/image190.png" Type="http://schemas.openxmlformats.org/officeDocument/2006/relationships/image"/><Relationship Id="rId36" Target="../media/image192.jpeg" Type="http://schemas.openxmlformats.org/officeDocument/2006/relationships/image"/><Relationship Id="rId37" Target="../media/image193.jpeg" Type="http://schemas.openxmlformats.org/officeDocument/2006/relationships/image"/><Relationship Id="rId38" Target="../media/image194.jpeg" Type="http://schemas.openxmlformats.org/officeDocument/2006/relationships/image"/><Relationship Id="rId39" Target="../media/image200.jpeg" Type="http://schemas.openxmlformats.org/officeDocument/2006/relationships/image"/><Relationship Id="rId4" Target="../media/image33.jpeg" Type="http://schemas.openxmlformats.org/officeDocument/2006/relationships/image"/><Relationship Id="rId40" Target="../media/image201.jpeg" Type="http://schemas.openxmlformats.org/officeDocument/2006/relationships/image"/><Relationship Id="rId41" Target="../media/image197.png" Type="http://schemas.openxmlformats.org/officeDocument/2006/relationships/image"/><Relationship Id="rId42" Target="../media/image202.png" Type="http://schemas.openxmlformats.org/officeDocument/2006/relationships/image"/><Relationship Id="rId43" Target="../media/image203.png" Type="http://schemas.openxmlformats.org/officeDocument/2006/relationships/image"/><Relationship Id="rId5" Target="../media/image184.jpeg" Type="http://schemas.openxmlformats.org/officeDocument/2006/relationships/image"/><Relationship Id="rId6" Target="../media/image36.jpeg" Type="http://schemas.openxmlformats.org/officeDocument/2006/relationships/image"/><Relationship Id="rId7" Target="../media/image30.jpeg" Type="http://schemas.openxmlformats.org/officeDocument/2006/relationships/image"/><Relationship Id="rId8" Target="../media/image185.jpeg" Type="http://schemas.openxmlformats.org/officeDocument/2006/relationships/image"/><Relationship Id="rId9" Target="../media/image186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208.jpeg" Type="http://schemas.openxmlformats.org/officeDocument/2006/relationships/image"/><Relationship Id="rId11" Target="../media/image37.jpeg" Type="http://schemas.openxmlformats.org/officeDocument/2006/relationships/image"/><Relationship Id="rId12" Target="#'MENU%20SUPREMA'.A1" Type="http://schemas.openxmlformats.org/officeDocument/2006/relationships/hyperlink"/><Relationship Id="rId13" Target="../media/image209.jpeg" Type="http://schemas.openxmlformats.org/officeDocument/2006/relationships/image"/><Relationship Id="rId14" Target="../media/image36.jpeg" Type="http://schemas.openxmlformats.org/officeDocument/2006/relationships/image"/><Relationship Id="rId15" Target="../media/image30.jpeg" Type="http://schemas.openxmlformats.org/officeDocument/2006/relationships/image"/><Relationship Id="rId16" Target="../media/image185.jpeg" Type="http://schemas.openxmlformats.org/officeDocument/2006/relationships/image"/><Relationship Id="rId17" Target="../media/image210.jpeg" Type="http://schemas.openxmlformats.org/officeDocument/2006/relationships/image"/><Relationship Id="rId18" Target="../media/image211.jpeg" Type="http://schemas.openxmlformats.org/officeDocument/2006/relationships/image"/><Relationship Id="rId19" Target="../media/image212.jpeg" Type="http://schemas.openxmlformats.org/officeDocument/2006/relationships/image"/><Relationship Id="rId2" Target="../media/image170.jpeg" Type="http://schemas.openxmlformats.org/officeDocument/2006/relationships/image"/><Relationship Id="rId20" Target="../media/image186.jpeg" Type="http://schemas.openxmlformats.org/officeDocument/2006/relationships/image"/><Relationship Id="rId21" Target="../media/image213.jpeg" Type="http://schemas.openxmlformats.org/officeDocument/2006/relationships/image"/><Relationship Id="rId22" Target="../media/image214.png" Type="http://schemas.openxmlformats.org/officeDocument/2006/relationships/image"/><Relationship Id="rId23" Target="../media/image187.png" Type="http://schemas.openxmlformats.org/officeDocument/2006/relationships/image"/><Relationship Id="rId24" Target="../media/image215.png" Type="http://schemas.openxmlformats.org/officeDocument/2006/relationships/image"/><Relationship Id="rId25" Target="../media/image188.png" Type="http://schemas.openxmlformats.org/officeDocument/2006/relationships/image"/><Relationship Id="rId26" Target="../media/image189.png" Type="http://schemas.openxmlformats.org/officeDocument/2006/relationships/image"/><Relationship Id="rId27" Target="../media/image190.png" Type="http://schemas.openxmlformats.org/officeDocument/2006/relationships/image"/><Relationship Id="rId28" Target="../media/image176.jpeg" Type="http://schemas.openxmlformats.org/officeDocument/2006/relationships/image"/><Relationship Id="rId29" Target="../media/image190.png" Type="http://schemas.openxmlformats.org/officeDocument/2006/relationships/image"/><Relationship Id="rId3" Target="../media/image37.jpeg" Type="http://schemas.openxmlformats.org/officeDocument/2006/relationships/image"/><Relationship Id="rId30" Target="../media/image190.png" Type="http://schemas.openxmlformats.org/officeDocument/2006/relationships/image"/><Relationship Id="rId31" Target="../media/image185.jpeg" Type="http://schemas.openxmlformats.org/officeDocument/2006/relationships/image"/><Relationship Id="rId32" Target="../media/image210.jpeg" Type="http://schemas.openxmlformats.org/officeDocument/2006/relationships/image"/><Relationship Id="rId33" Target="../media/image186.jpeg" Type="http://schemas.openxmlformats.org/officeDocument/2006/relationships/image"/><Relationship Id="rId34" Target="../media/image216.png" Type="http://schemas.openxmlformats.org/officeDocument/2006/relationships/image"/><Relationship Id="rId35" Target="../media/image30.jpeg" Type="http://schemas.openxmlformats.org/officeDocument/2006/relationships/image"/><Relationship Id="rId36" Target="../media/image211.jpeg" Type="http://schemas.openxmlformats.org/officeDocument/2006/relationships/image"/><Relationship Id="rId37" Target="../media/image212.jpeg" Type="http://schemas.openxmlformats.org/officeDocument/2006/relationships/image"/><Relationship Id="rId38" Target="../media/image176.jpeg" Type="http://schemas.openxmlformats.org/officeDocument/2006/relationships/image"/><Relationship Id="rId39" Target="../media/image187.png" Type="http://schemas.openxmlformats.org/officeDocument/2006/relationships/image"/><Relationship Id="rId4" Target="../media/image33.jpeg" Type="http://schemas.openxmlformats.org/officeDocument/2006/relationships/image"/><Relationship Id="rId40" Target="../media/image215.png" Type="http://schemas.openxmlformats.org/officeDocument/2006/relationships/image"/><Relationship Id="rId41" Target="../media/image188.png" Type="http://schemas.openxmlformats.org/officeDocument/2006/relationships/image"/><Relationship Id="rId42" Target="../media/image184.jpeg" Type="http://schemas.openxmlformats.org/officeDocument/2006/relationships/image"/><Relationship Id="rId43" Target="../media/image36.jpeg" Type="http://schemas.openxmlformats.org/officeDocument/2006/relationships/image"/><Relationship Id="rId44" Target="../media/image217.jpeg" Type="http://schemas.openxmlformats.org/officeDocument/2006/relationships/image"/><Relationship Id="rId5" Target="../media/image204.jpeg" Type="http://schemas.openxmlformats.org/officeDocument/2006/relationships/image"/><Relationship Id="rId6" Target="../media/image205.jpeg" Type="http://schemas.openxmlformats.org/officeDocument/2006/relationships/image"/><Relationship Id="rId7" Target="../media/image206.jpeg" Type="http://schemas.openxmlformats.org/officeDocument/2006/relationships/image"/><Relationship Id="rId8" Target="../media/image184.jpeg" Type="http://schemas.openxmlformats.org/officeDocument/2006/relationships/image"/><Relationship Id="rId9" Target="../media/image207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222.jpeg" Type="http://schemas.openxmlformats.org/officeDocument/2006/relationships/image"/><Relationship Id="rId11" Target="../media/image220.jpeg" Type="http://schemas.openxmlformats.org/officeDocument/2006/relationships/image"/><Relationship Id="rId12" Target="../media/image221.jpeg" Type="http://schemas.openxmlformats.org/officeDocument/2006/relationships/image"/><Relationship Id="rId13" Target="../media/image222.jpeg" Type="http://schemas.openxmlformats.org/officeDocument/2006/relationships/image"/><Relationship Id="rId14" Target="../media/image37.jpeg" Type="http://schemas.openxmlformats.org/officeDocument/2006/relationships/image"/><Relationship Id="rId15" Target="../media/image37.jpeg" Type="http://schemas.openxmlformats.org/officeDocument/2006/relationships/image"/><Relationship Id="rId16" Target="#'MENU%20SUPREMA'.A1" Type="http://schemas.openxmlformats.org/officeDocument/2006/relationships/hyperlink"/><Relationship Id="rId17" Target="../media/image223.jpeg" Type="http://schemas.openxmlformats.org/officeDocument/2006/relationships/image"/><Relationship Id="rId18" Target="../media/image224.jpeg" Type="http://schemas.openxmlformats.org/officeDocument/2006/relationships/image"/><Relationship Id="rId19" Target="../media/image224.jpeg" Type="http://schemas.openxmlformats.org/officeDocument/2006/relationships/image"/><Relationship Id="rId2" Target="../media/image170.jpeg" Type="http://schemas.openxmlformats.org/officeDocument/2006/relationships/image"/><Relationship Id="rId20" Target="../media/image225.jpeg" Type="http://schemas.openxmlformats.org/officeDocument/2006/relationships/image"/><Relationship Id="rId21" Target="../media/image226.jpeg" Type="http://schemas.openxmlformats.org/officeDocument/2006/relationships/image"/><Relationship Id="rId22" Target="../media/image227.jpeg" Type="http://schemas.openxmlformats.org/officeDocument/2006/relationships/image"/><Relationship Id="rId23" Target="../media/image225.jpeg" Type="http://schemas.openxmlformats.org/officeDocument/2006/relationships/image"/><Relationship Id="rId24" Target="../media/image226.jpeg" Type="http://schemas.openxmlformats.org/officeDocument/2006/relationships/image"/><Relationship Id="rId25" Target="../media/image227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18.jpeg" Type="http://schemas.openxmlformats.org/officeDocument/2006/relationships/image"/><Relationship Id="rId6" Target="../media/image219.jpeg" Type="http://schemas.openxmlformats.org/officeDocument/2006/relationships/image"/><Relationship Id="rId7" Target="../media/image219.jpeg" Type="http://schemas.openxmlformats.org/officeDocument/2006/relationships/image"/><Relationship Id="rId8" Target="../media/image220.jpeg" Type="http://schemas.openxmlformats.org/officeDocument/2006/relationships/image"/><Relationship Id="rId9" Target="../media/image22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2.jpeg" Type="http://schemas.openxmlformats.org/officeDocument/2006/relationships/image"/><Relationship Id="rId10" Target="../media/image2.jpeg" Type="http://schemas.openxmlformats.org/officeDocument/2006/relationships/image"/><Relationship Id="rId11" Target="../media/image2.jpeg" Type="http://schemas.openxmlformats.org/officeDocument/2006/relationships/image"/><Relationship Id="rId12" Target="../media/image2.jpeg" Type="http://schemas.openxmlformats.org/officeDocument/2006/relationships/image"/><Relationship Id="rId13" Target="../media/image3.png" Type="http://schemas.openxmlformats.org/officeDocument/2006/relationships/image"/><Relationship Id="rId14" Target="../media/image4.png" Type="http://schemas.openxmlformats.org/officeDocument/2006/relationships/image"/><Relationship Id="rId15" Target="../media/image4.png" Type="http://schemas.openxmlformats.org/officeDocument/2006/relationships/image"/><Relationship Id="rId16" Target="../media/image4.png" Type="http://schemas.openxmlformats.org/officeDocument/2006/relationships/image"/><Relationship Id="rId17" Target="../media/image4.png" Type="http://schemas.openxmlformats.org/officeDocument/2006/relationships/image"/><Relationship Id="rId18" Target="#'MENU%20GAVETAS'.A1" Type="http://schemas.openxmlformats.org/officeDocument/2006/relationships/hyperlink"/><Relationship Id="rId19" Target="../media/image10.png" Type="http://schemas.openxmlformats.org/officeDocument/2006/relationships/image"/><Relationship Id="rId2" Target="../media/image3.png" Type="http://schemas.openxmlformats.org/officeDocument/2006/relationships/image"/><Relationship Id="rId20" Target="../media/image9.png" Type="http://schemas.openxmlformats.org/officeDocument/2006/relationships/image"/><Relationship Id="rId21" Target="../media/image4.png" Type="http://schemas.openxmlformats.org/officeDocument/2006/relationships/image"/><Relationship Id="rId22" Target="../media/image4.png" Type="http://schemas.openxmlformats.org/officeDocument/2006/relationships/image"/><Relationship Id="rId3" Target="../media/image4.png" Type="http://schemas.openxmlformats.org/officeDocument/2006/relationships/image"/><Relationship Id="rId4" Target="../media/image2.jpeg" Type="http://schemas.openxmlformats.org/officeDocument/2006/relationships/image"/><Relationship Id="rId5" Target="../media/image3.png" Type="http://schemas.openxmlformats.org/officeDocument/2006/relationships/image"/><Relationship Id="rId6" Target="../media/image4.png" Type="http://schemas.openxmlformats.org/officeDocument/2006/relationships/image"/><Relationship Id="rId7" Target="../media/image9.png" Type="http://schemas.openxmlformats.org/officeDocument/2006/relationships/image"/><Relationship Id="rId8" Target="../media/image2.jpeg" Type="http://schemas.openxmlformats.org/officeDocument/2006/relationships/image"/><Relationship Id="rId9" Target="../media/image2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204.jpeg" Type="http://schemas.openxmlformats.org/officeDocument/2006/relationships/image"/><Relationship Id="rId11" Target="../media/image205.jpeg" Type="http://schemas.openxmlformats.org/officeDocument/2006/relationships/image"/><Relationship Id="rId12" Target="../media/image173.jpeg" Type="http://schemas.openxmlformats.org/officeDocument/2006/relationships/image"/><Relationship Id="rId13" Target="../media/image180.jpeg" Type="http://schemas.openxmlformats.org/officeDocument/2006/relationships/image"/><Relationship Id="rId14" Target="../media/image233.jpeg" Type="http://schemas.openxmlformats.org/officeDocument/2006/relationships/image"/><Relationship Id="rId15" Target="../media/image234.jpeg" Type="http://schemas.openxmlformats.org/officeDocument/2006/relationships/image"/><Relationship Id="rId16" Target="../media/image235.jpeg" Type="http://schemas.openxmlformats.org/officeDocument/2006/relationships/image"/><Relationship Id="rId17" Target="../media/image206.jpeg" Type="http://schemas.openxmlformats.org/officeDocument/2006/relationships/image"/><Relationship Id="rId18" Target="../media/image236.jpeg" Type="http://schemas.openxmlformats.org/officeDocument/2006/relationships/image"/><Relationship Id="rId19" Target="../media/image237.jpeg" Type="http://schemas.openxmlformats.org/officeDocument/2006/relationships/image"/><Relationship Id="rId2" Target="../media/image170.jpeg" Type="http://schemas.openxmlformats.org/officeDocument/2006/relationships/image"/><Relationship Id="rId20" Target="../media/image207.jpeg" Type="http://schemas.openxmlformats.org/officeDocument/2006/relationships/image"/><Relationship Id="rId21" Target="../media/image208.jpeg" Type="http://schemas.openxmlformats.org/officeDocument/2006/relationships/image"/><Relationship Id="rId22" Target="../media/image37.jpeg" Type="http://schemas.openxmlformats.org/officeDocument/2006/relationships/image"/><Relationship Id="rId23" Target="../media/image238.jpeg" Type="http://schemas.openxmlformats.org/officeDocument/2006/relationships/image"/><Relationship Id="rId24" Target="../media/image238.jpeg" Type="http://schemas.openxmlformats.org/officeDocument/2006/relationships/image"/><Relationship Id="rId25" Target="../media/image37.jpeg" Type="http://schemas.openxmlformats.org/officeDocument/2006/relationships/image"/><Relationship Id="rId26" Target="../media/image180.jpeg" Type="http://schemas.openxmlformats.org/officeDocument/2006/relationships/image"/><Relationship Id="rId27" Target="../media/image219.jpeg" Type="http://schemas.openxmlformats.org/officeDocument/2006/relationships/image"/><Relationship Id="rId28" Target="../media/image239.jpeg" Type="http://schemas.openxmlformats.org/officeDocument/2006/relationships/image"/><Relationship Id="rId29" Target="../media/image240.jpeg" Type="http://schemas.openxmlformats.org/officeDocument/2006/relationships/image"/><Relationship Id="rId3" Target="../media/image171.jpeg" Type="http://schemas.openxmlformats.org/officeDocument/2006/relationships/image"/><Relationship Id="rId30" Target="../media/image241.jpeg" Type="http://schemas.openxmlformats.org/officeDocument/2006/relationships/image"/><Relationship Id="rId31" Target="../media/image242.jpeg" Type="http://schemas.openxmlformats.org/officeDocument/2006/relationships/image"/><Relationship Id="rId32" Target="../media/image242.jpeg" Type="http://schemas.openxmlformats.org/officeDocument/2006/relationships/image"/><Relationship Id="rId33" Target="../media/image176.jpeg" Type="http://schemas.openxmlformats.org/officeDocument/2006/relationships/image"/><Relationship Id="rId34" Target="../media/image243.jpeg" Type="http://schemas.openxmlformats.org/officeDocument/2006/relationships/image"/><Relationship Id="rId35" Target="../media/image244.jpeg" Type="http://schemas.openxmlformats.org/officeDocument/2006/relationships/image"/><Relationship Id="rId36" Target="../media/image241.jpeg" Type="http://schemas.openxmlformats.org/officeDocument/2006/relationships/image"/><Relationship Id="rId37" Target="../media/image219.jpeg" Type="http://schemas.openxmlformats.org/officeDocument/2006/relationships/image"/><Relationship Id="rId38" Target="../media/image240.jpeg" Type="http://schemas.openxmlformats.org/officeDocument/2006/relationships/image"/><Relationship Id="rId39" Target="../media/image176.jpeg" Type="http://schemas.openxmlformats.org/officeDocument/2006/relationships/image"/><Relationship Id="rId4" Target="../media/image228.jpeg" Type="http://schemas.openxmlformats.org/officeDocument/2006/relationships/image"/><Relationship Id="rId40" Target="../media/image238.jpeg" Type="http://schemas.openxmlformats.org/officeDocument/2006/relationships/image"/><Relationship Id="rId41" Target="#'MENU%20SUPREMA'.A1" Type="http://schemas.openxmlformats.org/officeDocument/2006/relationships/hyperlink"/><Relationship Id="rId42" Target="../media/image245.jpeg" Type="http://schemas.openxmlformats.org/officeDocument/2006/relationships/image"/><Relationship Id="rId43" Target="../media/image246.jpeg" Type="http://schemas.openxmlformats.org/officeDocument/2006/relationships/image"/><Relationship Id="rId44" Target="../media/image246.jpeg" Type="http://schemas.openxmlformats.org/officeDocument/2006/relationships/image"/><Relationship Id="rId5" Target="../media/image229.jpeg" Type="http://schemas.openxmlformats.org/officeDocument/2006/relationships/image"/><Relationship Id="rId6" Target="../media/image33.jpeg" Type="http://schemas.openxmlformats.org/officeDocument/2006/relationships/image"/><Relationship Id="rId7" Target="../media/image230.jpeg" Type="http://schemas.openxmlformats.org/officeDocument/2006/relationships/image"/><Relationship Id="rId8" Target="../media/image231.jpeg" Type="http://schemas.openxmlformats.org/officeDocument/2006/relationships/image"/><Relationship Id="rId9" Target="../media/image232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204.jpeg" Type="http://schemas.openxmlformats.org/officeDocument/2006/relationships/image"/><Relationship Id="rId11" Target="../media/image205.jpeg" Type="http://schemas.openxmlformats.org/officeDocument/2006/relationships/image"/><Relationship Id="rId12" Target="../media/image173.jpeg" Type="http://schemas.openxmlformats.org/officeDocument/2006/relationships/image"/><Relationship Id="rId13" Target="../media/image180.jpeg" Type="http://schemas.openxmlformats.org/officeDocument/2006/relationships/image"/><Relationship Id="rId14" Target="../media/image233.jpeg" Type="http://schemas.openxmlformats.org/officeDocument/2006/relationships/image"/><Relationship Id="rId15" Target="../media/image234.jpeg" Type="http://schemas.openxmlformats.org/officeDocument/2006/relationships/image"/><Relationship Id="rId16" Target="../media/image235.jpeg" Type="http://schemas.openxmlformats.org/officeDocument/2006/relationships/image"/><Relationship Id="rId17" Target="../media/image206.jpeg" Type="http://schemas.openxmlformats.org/officeDocument/2006/relationships/image"/><Relationship Id="rId18" Target="../media/image236.jpeg" Type="http://schemas.openxmlformats.org/officeDocument/2006/relationships/image"/><Relationship Id="rId19" Target="../media/image237.jpeg" Type="http://schemas.openxmlformats.org/officeDocument/2006/relationships/image"/><Relationship Id="rId2" Target="../media/image170.jpeg" Type="http://schemas.openxmlformats.org/officeDocument/2006/relationships/image"/><Relationship Id="rId20" Target="../media/image207.jpeg" Type="http://schemas.openxmlformats.org/officeDocument/2006/relationships/image"/><Relationship Id="rId21" Target="../media/image208.jpeg" Type="http://schemas.openxmlformats.org/officeDocument/2006/relationships/image"/><Relationship Id="rId22" Target="../media/image37.jpeg" Type="http://schemas.openxmlformats.org/officeDocument/2006/relationships/image"/><Relationship Id="rId23" Target="#'MENU%20SUPREMA'.A1" Type="http://schemas.openxmlformats.org/officeDocument/2006/relationships/hyperlink"/><Relationship Id="rId24" Target="../media/image247.jpeg" Type="http://schemas.openxmlformats.org/officeDocument/2006/relationships/image"/><Relationship Id="rId25" Target="../media/image238.jpeg" Type="http://schemas.openxmlformats.org/officeDocument/2006/relationships/image"/><Relationship Id="rId26" Target="../media/image238.jpeg" Type="http://schemas.openxmlformats.org/officeDocument/2006/relationships/image"/><Relationship Id="rId27" Target="../media/image37.jpeg" Type="http://schemas.openxmlformats.org/officeDocument/2006/relationships/image"/><Relationship Id="rId28" Target="../media/image180.jpeg" Type="http://schemas.openxmlformats.org/officeDocument/2006/relationships/image"/><Relationship Id="rId29" Target="../media/image219.jpeg" Type="http://schemas.openxmlformats.org/officeDocument/2006/relationships/image"/><Relationship Id="rId3" Target="../media/image171.jpeg" Type="http://schemas.openxmlformats.org/officeDocument/2006/relationships/image"/><Relationship Id="rId30" Target="../media/image239.jpeg" Type="http://schemas.openxmlformats.org/officeDocument/2006/relationships/image"/><Relationship Id="rId31" Target="../media/image240.jpeg" Type="http://schemas.openxmlformats.org/officeDocument/2006/relationships/image"/><Relationship Id="rId32" Target="../media/image241.jpeg" Type="http://schemas.openxmlformats.org/officeDocument/2006/relationships/image"/><Relationship Id="rId33" Target="../media/image242.jpeg" Type="http://schemas.openxmlformats.org/officeDocument/2006/relationships/image"/><Relationship Id="rId34" Target="../media/image242.jpeg" Type="http://schemas.openxmlformats.org/officeDocument/2006/relationships/image"/><Relationship Id="rId35" Target="../media/image176.jpeg" Type="http://schemas.openxmlformats.org/officeDocument/2006/relationships/image"/><Relationship Id="rId36" Target="../media/image243.jpeg" Type="http://schemas.openxmlformats.org/officeDocument/2006/relationships/image"/><Relationship Id="rId37" Target="../media/image244.jpeg" Type="http://schemas.openxmlformats.org/officeDocument/2006/relationships/image"/><Relationship Id="rId38" Target="../media/image241.jpeg" Type="http://schemas.openxmlformats.org/officeDocument/2006/relationships/image"/><Relationship Id="rId39" Target="../media/image219.jpeg" Type="http://schemas.openxmlformats.org/officeDocument/2006/relationships/image"/><Relationship Id="rId4" Target="../media/image228.jpeg" Type="http://schemas.openxmlformats.org/officeDocument/2006/relationships/image"/><Relationship Id="rId40" Target="../media/image240.jpeg" Type="http://schemas.openxmlformats.org/officeDocument/2006/relationships/image"/><Relationship Id="rId41" Target="../media/image176.jpeg" Type="http://schemas.openxmlformats.org/officeDocument/2006/relationships/image"/><Relationship Id="rId42" Target="../media/image238.jpeg" Type="http://schemas.openxmlformats.org/officeDocument/2006/relationships/image"/><Relationship Id="rId43" Target="../media/image170.jpeg" Type="http://schemas.openxmlformats.org/officeDocument/2006/relationships/image"/><Relationship Id="rId44" Target="../media/image170.jpeg" Type="http://schemas.openxmlformats.org/officeDocument/2006/relationships/image"/><Relationship Id="rId45" Target="../media/image171.jpeg" Type="http://schemas.openxmlformats.org/officeDocument/2006/relationships/image"/><Relationship Id="rId46" Target="../media/image228.jpeg" Type="http://schemas.openxmlformats.org/officeDocument/2006/relationships/image"/><Relationship Id="rId47" Target="../media/image229.jpeg" Type="http://schemas.openxmlformats.org/officeDocument/2006/relationships/image"/><Relationship Id="rId48" Target="../media/image33.jpeg" Type="http://schemas.openxmlformats.org/officeDocument/2006/relationships/image"/><Relationship Id="rId49" Target="../media/image230.jpeg" Type="http://schemas.openxmlformats.org/officeDocument/2006/relationships/image"/><Relationship Id="rId5" Target="../media/image229.jpeg" Type="http://schemas.openxmlformats.org/officeDocument/2006/relationships/image"/><Relationship Id="rId50" Target="../media/image231.jpeg" Type="http://schemas.openxmlformats.org/officeDocument/2006/relationships/image"/><Relationship Id="rId51" Target="../media/image232.jpeg" Type="http://schemas.openxmlformats.org/officeDocument/2006/relationships/image"/><Relationship Id="rId52" Target="../media/image204.jpeg" Type="http://schemas.openxmlformats.org/officeDocument/2006/relationships/image"/><Relationship Id="rId53" Target="../media/image238.jpeg" Type="http://schemas.openxmlformats.org/officeDocument/2006/relationships/image"/><Relationship Id="rId54" Target="../media/image238.jpeg" Type="http://schemas.openxmlformats.org/officeDocument/2006/relationships/image"/><Relationship Id="rId55" Target="../media/image37.jpeg" Type="http://schemas.openxmlformats.org/officeDocument/2006/relationships/image"/><Relationship Id="rId56" Target="../media/image180.jpeg" Type="http://schemas.openxmlformats.org/officeDocument/2006/relationships/image"/><Relationship Id="rId57" Target="../media/image219.jpeg" Type="http://schemas.openxmlformats.org/officeDocument/2006/relationships/image"/><Relationship Id="rId58" Target="../media/image239.jpeg" Type="http://schemas.openxmlformats.org/officeDocument/2006/relationships/image"/><Relationship Id="rId59" Target="../media/image240.jpeg" Type="http://schemas.openxmlformats.org/officeDocument/2006/relationships/image"/><Relationship Id="rId6" Target="../media/image33.jpeg" Type="http://schemas.openxmlformats.org/officeDocument/2006/relationships/image"/><Relationship Id="rId60" Target="../media/image241.jpeg" Type="http://schemas.openxmlformats.org/officeDocument/2006/relationships/image"/><Relationship Id="rId61" Target="../media/image242.jpeg" Type="http://schemas.openxmlformats.org/officeDocument/2006/relationships/image"/><Relationship Id="rId62" Target="../media/image176.jpeg" Type="http://schemas.openxmlformats.org/officeDocument/2006/relationships/image"/><Relationship Id="rId63" Target="../media/image243.jpeg" Type="http://schemas.openxmlformats.org/officeDocument/2006/relationships/image"/><Relationship Id="rId7" Target="../media/image230.jpeg" Type="http://schemas.openxmlformats.org/officeDocument/2006/relationships/image"/><Relationship Id="rId8" Target="../media/image231.jpeg" Type="http://schemas.openxmlformats.org/officeDocument/2006/relationships/image"/><Relationship Id="rId9" Target="../media/image232.jpeg" Type="http://schemas.openxmlformats.org/officeDocument/2006/relationships/image"/></Relationships>
</file>

<file path=xl/drawings/_rels/drawing42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192.jpeg" Type="http://schemas.openxmlformats.org/officeDocument/2006/relationships/image"/><Relationship Id="rId11" Target="../media/image219.jpeg" Type="http://schemas.openxmlformats.org/officeDocument/2006/relationships/image"/><Relationship Id="rId12" Target="../media/image219.jpeg" Type="http://schemas.openxmlformats.org/officeDocument/2006/relationships/image"/><Relationship Id="rId13" Target="../media/image220.jpeg" Type="http://schemas.openxmlformats.org/officeDocument/2006/relationships/image"/><Relationship Id="rId14" Target="../media/image221.jpeg" Type="http://schemas.openxmlformats.org/officeDocument/2006/relationships/image"/><Relationship Id="rId15" Target="../media/image220.jpeg" Type="http://schemas.openxmlformats.org/officeDocument/2006/relationships/image"/><Relationship Id="rId16" Target="../media/image221.jpeg" Type="http://schemas.openxmlformats.org/officeDocument/2006/relationships/image"/><Relationship Id="rId17" Target="../media/image37.jpeg" Type="http://schemas.openxmlformats.org/officeDocument/2006/relationships/image"/><Relationship Id="rId18" Target="../media/image37.jpeg" Type="http://schemas.openxmlformats.org/officeDocument/2006/relationships/image"/><Relationship Id="rId19" Target="#'MENU%20SUPREMA'.A1" Type="http://schemas.openxmlformats.org/officeDocument/2006/relationships/hyperlink"/><Relationship Id="rId2" Target="../media/image170.jpeg" Type="http://schemas.openxmlformats.org/officeDocument/2006/relationships/image"/><Relationship Id="rId20" Target="../media/image150.png" Type="http://schemas.openxmlformats.org/officeDocument/2006/relationships/image"/><Relationship Id="rId21" Target="../media/image248.jpeg" Type="http://schemas.openxmlformats.org/officeDocument/2006/relationships/image"/><Relationship Id="rId22" Target="../media/image222.jpeg" Type="http://schemas.openxmlformats.org/officeDocument/2006/relationships/image"/><Relationship Id="rId23" Target="../media/image222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18.jpeg" Type="http://schemas.openxmlformats.org/officeDocument/2006/relationships/image"/><Relationship Id="rId6" Target="../media/image30.jpeg" Type="http://schemas.openxmlformats.org/officeDocument/2006/relationships/image"/><Relationship Id="rId7" Target="../media/image32.jpeg" Type="http://schemas.openxmlformats.org/officeDocument/2006/relationships/image"/><Relationship Id="rId8" Target="../media/image30.jpeg" Type="http://schemas.openxmlformats.org/officeDocument/2006/relationships/image"/><Relationship Id="rId9" Target="../media/image32.jpeg" Type="http://schemas.openxmlformats.org/officeDocument/2006/relationships/image"/></Relationships>
</file>

<file path=xl/drawings/_rels/drawing43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#'MENU%20SUPREMA'.A1" Type="http://schemas.openxmlformats.org/officeDocument/2006/relationships/hyperlink"/><Relationship Id="rId11" Target="../media/image249.png" Type="http://schemas.openxmlformats.org/officeDocument/2006/relationships/image"/><Relationship Id="rId12" Target="../media/image250.jpeg" Type="http://schemas.openxmlformats.org/officeDocument/2006/relationships/image"/><Relationship Id="rId13" Target="../media/image251.jpeg" Type="http://schemas.openxmlformats.org/officeDocument/2006/relationships/image"/><Relationship Id="rId14" Target="../media/image252.jpeg" Type="http://schemas.openxmlformats.org/officeDocument/2006/relationships/image"/><Relationship Id="rId15" Target="../media/image253.jpeg" Type="http://schemas.openxmlformats.org/officeDocument/2006/relationships/image"/><Relationship Id="rId16" Target="../media/image254.jpeg" Type="http://schemas.openxmlformats.org/officeDocument/2006/relationships/image"/><Relationship Id="rId17" Target="../media/image218.jpeg" Type="http://schemas.openxmlformats.org/officeDocument/2006/relationships/image"/><Relationship Id="rId18" Target="../media/image255.jpeg" Type="http://schemas.openxmlformats.org/officeDocument/2006/relationships/image"/><Relationship Id="rId19" Target="../media/image204.jpeg" Type="http://schemas.openxmlformats.org/officeDocument/2006/relationships/image"/><Relationship Id="rId2" Target="../media/image170.jpeg" Type="http://schemas.openxmlformats.org/officeDocument/2006/relationships/image"/><Relationship Id="rId20" Target="../media/image256.jpeg" Type="http://schemas.openxmlformats.org/officeDocument/2006/relationships/image"/><Relationship Id="rId21" Target="../media/image257.jpeg" Type="http://schemas.openxmlformats.org/officeDocument/2006/relationships/image"/><Relationship Id="rId22" Target="../media/image258.jpeg" Type="http://schemas.openxmlformats.org/officeDocument/2006/relationships/image"/><Relationship Id="rId23" Target="../media/image259.jpeg" Type="http://schemas.openxmlformats.org/officeDocument/2006/relationships/image"/><Relationship Id="rId24" Target="../media/image260.jpeg" Type="http://schemas.openxmlformats.org/officeDocument/2006/relationships/image"/><Relationship Id="rId25" Target="../media/image261.jpeg" Type="http://schemas.openxmlformats.org/officeDocument/2006/relationships/image"/><Relationship Id="rId26" Target="../media/image262.jpeg" Type="http://schemas.openxmlformats.org/officeDocument/2006/relationships/image"/><Relationship Id="rId3" Target="../media/image37.jpeg" Type="http://schemas.openxmlformats.org/officeDocument/2006/relationships/image"/><Relationship Id="rId4" Target="../media/image171.jpeg" Type="http://schemas.openxmlformats.org/officeDocument/2006/relationships/image"/><Relationship Id="rId5" Target="../media/image204.jpeg" Type="http://schemas.openxmlformats.org/officeDocument/2006/relationships/image"/><Relationship Id="rId6" Target="../media/image205.jpeg" Type="http://schemas.openxmlformats.org/officeDocument/2006/relationships/image"/><Relationship Id="rId7" Target="../media/image173.jpeg" Type="http://schemas.openxmlformats.org/officeDocument/2006/relationships/image"/><Relationship Id="rId8" Target="../media/image208.jpeg" Type="http://schemas.openxmlformats.org/officeDocument/2006/relationships/image"/><Relationship Id="rId9" Target="../media/image37.jpeg" Type="http://schemas.openxmlformats.org/officeDocument/2006/relationships/image"/></Relationships>
</file>

<file path=xl/drawings/_rels/drawing44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68.jpeg" Type="http://schemas.openxmlformats.org/officeDocument/2006/relationships/image"/><Relationship Id="rId2" Target="../media/image264.jpeg" Type="http://schemas.openxmlformats.org/officeDocument/2006/relationships/image"/><Relationship Id="rId3" Target="../media/image263.jpeg" Type="http://schemas.openxmlformats.org/officeDocument/2006/relationships/image"/><Relationship Id="rId4" Target="../media/image264.jpeg" Type="http://schemas.openxmlformats.org/officeDocument/2006/relationships/image"/><Relationship Id="rId5" Target="../media/image35.jpeg" Type="http://schemas.openxmlformats.org/officeDocument/2006/relationships/image"/><Relationship Id="rId6" Target="../media/image265.jpeg" Type="http://schemas.openxmlformats.org/officeDocument/2006/relationships/image"/><Relationship Id="rId7" Target="#'MENU%20SUPREMA'.A1" Type="http://schemas.openxmlformats.org/officeDocument/2006/relationships/hyperlink"/><Relationship Id="rId8" Target="../media/image266.jpeg" Type="http://schemas.openxmlformats.org/officeDocument/2006/relationships/image"/><Relationship Id="rId9" Target="../media/image267.jpeg" Type="http://schemas.openxmlformats.org/officeDocument/2006/relationships/image"/></Relationships>
</file>

<file path=xl/drawings/_rels/drawing45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2" Target="../media/image264.jpeg" Type="http://schemas.openxmlformats.org/officeDocument/2006/relationships/image"/><Relationship Id="rId3" Target="../media/image263.jpeg" Type="http://schemas.openxmlformats.org/officeDocument/2006/relationships/image"/><Relationship Id="rId4" Target="../media/image264.jpeg" Type="http://schemas.openxmlformats.org/officeDocument/2006/relationships/image"/><Relationship Id="rId5" Target="../media/image35.jpeg" Type="http://schemas.openxmlformats.org/officeDocument/2006/relationships/image"/><Relationship Id="rId6" Target="../media/image265.jpeg" Type="http://schemas.openxmlformats.org/officeDocument/2006/relationships/image"/><Relationship Id="rId7" Target="#'MENU%20SUPREMA'.A1" Type="http://schemas.openxmlformats.org/officeDocument/2006/relationships/hyperlink"/><Relationship Id="rId8" Target="../media/image269.png" Type="http://schemas.openxmlformats.org/officeDocument/2006/relationships/image"/><Relationship Id="rId9" Target="../media/image270.png" Type="http://schemas.openxmlformats.org/officeDocument/2006/relationships/image"/></Relationships>
</file>

<file path=xl/drawings/_rels/drawing46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75.jpeg" Type="http://schemas.openxmlformats.org/officeDocument/2006/relationships/image"/><Relationship Id="rId11" Target="../media/image276.jpeg" Type="http://schemas.openxmlformats.org/officeDocument/2006/relationships/image"/><Relationship Id="rId12" Target="../media/image277.jpeg" Type="http://schemas.openxmlformats.org/officeDocument/2006/relationships/image"/><Relationship Id="rId13" Target="../media/image278.jpeg" Type="http://schemas.openxmlformats.org/officeDocument/2006/relationships/image"/><Relationship Id="rId14" Target="../media/image279.jpeg" Type="http://schemas.openxmlformats.org/officeDocument/2006/relationships/image"/><Relationship Id="rId15" Target="../media/image280.jpeg" Type="http://schemas.openxmlformats.org/officeDocument/2006/relationships/image"/><Relationship Id="rId16" Target="../media/image35.jpeg" Type="http://schemas.openxmlformats.org/officeDocument/2006/relationships/image"/><Relationship Id="rId17" Target="../media/image272.jpeg" Type="http://schemas.openxmlformats.org/officeDocument/2006/relationships/image"/><Relationship Id="rId18" Target="../media/image271.jpeg" Type="http://schemas.openxmlformats.org/officeDocument/2006/relationships/image"/><Relationship Id="rId19" Target="../media/image273.jpeg" Type="http://schemas.openxmlformats.org/officeDocument/2006/relationships/image"/><Relationship Id="rId2" Target="../media/image264.jpeg" Type="http://schemas.openxmlformats.org/officeDocument/2006/relationships/image"/><Relationship Id="rId20" Target="../media/image264.jpeg" Type="http://schemas.openxmlformats.org/officeDocument/2006/relationships/image"/><Relationship Id="rId21" Target="../media/image281.jpeg" Type="http://schemas.openxmlformats.org/officeDocument/2006/relationships/image"/><Relationship Id="rId22" Target="../media/image281.jpeg" Type="http://schemas.openxmlformats.org/officeDocument/2006/relationships/image"/><Relationship Id="rId23" Target="../media/image263.jpeg" Type="http://schemas.openxmlformats.org/officeDocument/2006/relationships/image"/><Relationship Id="rId24" Target="../media/image263.jpeg" Type="http://schemas.openxmlformats.org/officeDocument/2006/relationships/image"/><Relationship Id="rId25" Target="../media/image263.jpeg" Type="http://schemas.openxmlformats.org/officeDocument/2006/relationships/image"/><Relationship Id="rId26" Target="#'MENU%20SUPREMA'.A1" Type="http://schemas.openxmlformats.org/officeDocument/2006/relationships/hyperlink"/><Relationship Id="rId27" Target="../media/image282.jpeg" Type="http://schemas.openxmlformats.org/officeDocument/2006/relationships/image"/><Relationship Id="rId28" Target="../media/image263.jpeg" Type="http://schemas.openxmlformats.org/officeDocument/2006/relationships/image"/><Relationship Id="rId29" Target="../media/image263.jpeg" Type="http://schemas.openxmlformats.org/officeDocument/2006/relationships/image"/><Relationship Id="rId3" Target="../media/image271.jpeg" Type="http://schemas.openxmlformats.org/officeDocument/2006/relationships/image"/><Relationship Id="rId4" Target="../media/image272.jpeg" Type="http://schemas.openxmlformats.org/officeDocument/2006/relationships/image"/><Relationship Id="rId5" Target="../media/image272.jpeg" Type="http://schemas.openxmlformats.org/officeDocument/2006/relationships/image"/><Relationship Id="rId6" Target="../media/image273.jpeg" Type="http://schemas.openxmlformats.org/officeDocument/2006/relationships/image"/><Relationship Id="rId7" Target="../media/image263.jpeg" Type="http://schemas.openxmlformats.org/officeDocument/2006/relationships/image"/><Relationship Id="rId8" Target="../media/image264.jpeg" Type="http://schemas.openxmlformats.org/officeDocument/2006/relationships/image"/><Relationship Id="rId9" Target="../media/image274.jpeg" Type="http://schemas.openxmlformats.org/officeDocument/2006/relationships/image"/></Relationships>
</file>

<file path=xl/drawings/_rels/drawing47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75.jpeg" Type="http://schemas.openxmlformats.org/officeDocument/2006/relationships/image"/><Relationship Id="rId11" Target="../media/image276.jpeg" Type="http://schemas.openxmlformats.org/officeDocument/2006/relationships/image"/><Relationship Id="rId12" Target="../media/image277.jpeg" Type="http://schemas.openxmlformats.org/officeDocument/2006/relationships/image"/><Relationship Id="rId13" Target="../media/image278.jpeg" Type="http://schemas.openxmlformats.org/officeDocument/2006/relationships/image"/><Relationship Id="rId14" Target="../media/image279.jpeg" Type="http://schemas.openxmlformats.org/officeDocument/2006/relationships/image"/><Relationship Id="rId15" Target="../media/image280.jpeg" Type="http://schemas.openxmlformats.org/officeDocument/2006/relationships/image"/><Relationship Id="rId16" Target="../media/image35.jpeg" Type="http://schemas.openxmlformats.org/officeDocument/2006/relationships/image"/><Relationship Id="rId17" Target="../media/image272.jpeg" Type="http://schemas.openxmlformats.org/officeDocument/2006/relationships/image"/><Relationship Id="rId18" Target="../media/image271.jpeg" Type="http://schemas.openxmlformats.org/officeDocument/2006/relationships/image"/><Relationship Id="rId19" Target="../media/image273.jpeg" Type="http://schemas.openxmlformats.org/officeDocument/2006/relationships/image"/><Relationship Id="rId2" Target="../media/image264.jpeg" Type="http://schemas.openxmlformats.org/officeDocument/2006/relationships/image"/><Relationship Id="rId20" Target="../media/image264.jpeg" Type="http://schemas.openxmlformats.org/officeDocument/2006/relationships/image"/><Relationship Id="rId21" Target="../media/image281.jpeg" Type="http://schemas.openxmlformats.org/officeDocument/2006/relationships/image"/><Relationship Id="rId22" Target="../media/image281.jpeg" Type="http://schemas.openxmlformats.org/officeDocument/2006/relationships/image"/><Relationship Id="rId23" Target="../media/image263.jpeg" Type="http://schemas.openxmlformats.org/officeDocument/2006/relationships/image"/><Relationship Id="rId24" Target="../media/image263.jpeg" Type="http://schemas.openxmlformats.org/officeDocument/2006/relationships/image"/><Relationship Id="rId25" Target="../media/image263.jpeg" Type="http://schemas.openxmlformats.org/officeDocument/2006/relationships/image"/><Relationship Id="rId26" Target="#'MENU%20SUPREMA'.A1" Type="http://schemas.openxmlformats.org/officeDocument/2006/relationships/hyperlink"/><Relationship Id="rId27" Target="../media/image283.jpeg" Type="http://schemas.openxmlformats.org/officeDocument/2006/relationships/image"/><Relationship Id="rId3" Target="../media/image271.jpeg" Type="http://schemas.openxmlformats.org/officeDocument/2006/relationships/image"/><Relationship Id="rId4" Target="../media/image272.jpeg" Type="http://schemas.openxmlformats.org/officeDocument/2006/relationships/image"/><Relationship Id="rId5" Target="../media/image272.jpeg" Type="http://schemas.openxmlformats.org/officeDocument/2006/relationships/image"/><Relationship Id="rId6" Target="../media/image273.jpeg" Type="http://schemas.openxmlformats.org/officeDocument/2006/relationships/image"/><Relationship Id="rId7" Target="../media/image263.jpeg" Type="http://schemas.openxmlformats.org/officeDocument/2006/relationships/image"/><Relationship Id="rId8" Target="../media/image264.jpeg" Type="http://schemas.openxmlformats.org/officeDocument/2006/relationships/image"/><Relationship Id="rId9" Target="../media/image274.jpeg" Type="http://schemas.openxmlformats.org/officeDocument/2006/relationships/image"/></Relationships>
</file>

<file path=xl/drawings/_rels/drawing48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75.jpeg" Type="http://schemas.openxmlformats.org/officeDocument/2006/relationships/image"/><Relationship Id="rId11" Target="../media/image276.jpeg" Type="http://schemas.openxmlformats.org/officeDocument/2006/relationships/image"/><Relationship Id="rId12" Target="../media/image277.jpeg" Type="http://schemas.openxmlformats.org/officeDocument/2006/relationships/image"/><Relationship Id="rId13" Target="../media/image278.jpeg" Type="http://schemas.openxmlformats.org/officeDocument/2006/relationships/image"/><Relationship Id="rId14" Target="../media/image279.jpeg" Type="http://schemas.openxmlformats.org/officeDocument/2006/relationships/image"/><Relationship Id="rId15" Target="../media/image280.jpeg" Type="http://schemas.openxmlformats.org/officeDocument/2006/relationships/image"/><Relationship Id="rId16" Target="../media/image35.jpeg" Type="http://schemas.openxmlformats.org/officeDocument/2006/relationships/image"/><Relationship Id="rId17" Target="../media/image272.jpeg" Type="http://schemas.openxmlformats.org/officeDocument/2006/relationships/image"/><Relationship Id="rId18" Target="../media/image271.jpeg" Type="http://schemas.openxmlformats.org/officeDocument/2006/relationships/image"/><Relationship Id="rId19" Target="../media/image273.jpeg" Type="http://schemas.openxmlformats.org/officeDocument/2006/relationships/image"/><Relationship Id="rId2" Target="../media/image264.jpeg" Type="http://schemas.openxmlformats.org/officeDocument/2006/relationships/image"/><Relationship Id="rId20" Target="../media/image264.jpeg" Type="http://schemas.openxmlformats.org/officeDocument/2006/relationships/image"/><Relationship Id="rId21" Target="../media/image281.jpeg" Type="http://schemas.openxmlformats.org/officeDocument/2006/relationships/image"/><Relationship Id="rId22" Target="../media/image281.jpeg" Type="http://schemas.openxmlformats.org/officeDocument/2006/relationships/image"/><Relationship Id="rId23" Target="#'MENU%20SUPREMA'.A1" Type="http://schemas.openxmlformats.org/officeDocument/2006/relationships/hyperlink"/><Relationship Id="rId24" Target="../media/image284.jpeg" Type="http://schemas.openxmlformats.org/officeDocument/2006/relationships/image"/><Relationship Id="rId25" Target="../media/image263.jpeg" Type="http://schemas.openxmlformats.org/officeDocument/2006/relationships/image"/><Relationship Id="rId26" Target="../media/image263.jpeg" Type="http://schemas.openxmlformats.org/officeDocument/2006/relationships/image"/><Relationship Id="rId27" Target="../media/image263.jpeg" Type="http://schemas.openxmlformats.org/officeDocument/2006/relationships/image"/><Relationship Id="rId3" Target="../media/image271.jpeg" Type="http://schemas.openxmlformats.org/officeDocument/2006/relationships/image"/><Relationship Id="rId4" Target="../media/image272.jpeg" Type="http://schemas.openxmlformats.org/officeDocument/2006/relationships/image"/><Relationship Id="rId5" Target="../media/image272.jpeg" Type="http://schemas.openxmlformats.org/officeDocument/2006/relationships/image"/><Relationship Id="rId6" Target="../media/image273.jpeg" Type="http://schemas.openxmlformats.org/officeDocument/2006/relationships/image"/><Relationship Id="rId7" Target="../media/image263.jpeg" Type="http://schemas.openxmlformats.org/officeDocument/2006/relationships/image"/><Relationship Id="rId8" Target="../media/image264.jpeg" Type="http://schemas.openxmlformats.org/officeDocument/2006/relationships/image"/><Relationship Id="rId9" Target="../media/image274.jpeg" Type="http://schemas.openxmlformats.org/officeDocument/2006/relationships/image"/></Relationships>
</file>

<file path=xl/drawings/_rels/drawing49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33.jpeg" Type="http://schemas.openxmlformats.org/officeDocument/2006/relationships/image"/><Relationship Id="rId11" Target="../media/image34.jpeg" Type="http://schemas.openxmlformats.org/officeDocument/2006/relationships/image"/><Relationship Id="rId12" Target="../media/image230.jpeg" Type="http://schemas.openxmlformats.org/officeDocument/2006/relationships/image"/><Relationship Id="rId13" Target="../media/image231.jpeg" Type="http://schemas.openxmlformats.org/officeDocument/2006/relationships/image"/><Relationship Id="rId14" Target="../media/image232.jpeg" Type="http://schemas.openxmlformats.org/officeDocument/2006/relationships/image"/><Relationship Id="rId15" Target="../media/image204.jpeg" Type="http://schemas.openxmlformats.org/officeDocument/2006/relationships/image"/><Relationship Id="rId16" Target="../media/image205.jpeg" Type="http://schemas.openxmlformats.org/officeDocument/2006/relationships/image"/><Relationship Id="rId17" Target="../media/image173.jpeg" Type="http://schemas.openxmlformats.org/officeDocument/2006/relationships/image"/><Relationship Id="rId18" Target="../media/image174.jpeg" Type="http://schemas.openxmlformats.org/officeDocument/2006/relationships/image"/><Relationship Id="rId19" Target="../media/image180.jpeg" Type="http://schemas.openxmlformats.org/officeDocument/2006/relationships/image"/><Relationship Id="rId2" Target="../media/image170.jpeg" Type="http://schemas.openxmlformats.org/officeDocument/2006/relationships/image"/><Relationship Id="rId20" Target="../media/image233.jpeg" Type="http://schemas.openxmlformats.org/officeDocument/2006/relationships/image"/><Relationship Id="rId21" Target="../media/image234.jpeg" Type="http://schemas.openxmlformats.org/officeDocument/2006/relationships/image"/><Relationship Id="rId22" Target="../media/image235.jpeg" Type="http://schemas.openxmlformats.org/officeDocument/2006/relationships/image"/><Relationship Id="rId23" Target="../media/image206.jpeg" Type="http://schemas.openxmlformats.org/officeDocument/2006/relationships/image"/><Relationship Id="rId24" Target="../media/image184.jpeg" Type="http://schemas.openxmlformats.org/officeDocument/2006/relationships/image"/><Relationship Id="rId25" Target="../media/image236.jpeg" Type="http://schemas.openxmlformats.org/officeDocument/2006/relationships/image"/><Relationship Id="rId26" Target="../media/image237.jpeg" Type="http://schemas.openxmlformats.org/officeDocument/2006/relationships/image"/><Relationship Id="rId27" Target="../media/image207.jpeg" Type="http://schemas.openxmlformats.org/officeDocument/2006/relationships/image"/><Relationship Id="rId28" Target="../media/image208.jpeg" Type="http://schemas.openxmlformats.org/officeDocument/2006/relationships/image"/><Relationship Id="rId29" Target="../media/image37.jpeg" Type="http://schemas.openxmlformats.org/officeDocument/2006/relationships/image"/><Relationship Id="rId3" Target="../media/image37.jpeg" Type="http://schemas.openxmlformats.org/officeDocument/2006/relationships/image"/><Relationship Id="rId30" Target="../media/image176.jpeg" Type="http://schemas.openxmlformats.org/officeDocument/2006/relationships/image"/><Relationship Id="rId31" Target="#'MENU%20SUPREMA'.A1" Type="http://schemas.openxmlformats.org/officeDocument/2006/relationships/hyperlink"/><Relationship Id="rId32" Target="../media/image286.png" Type="http://schemas.openxmlformats.org/officeDocument/2006/relationships/image"/><Relationship Id="rId33" Target="../media/image176.jpeg" Type="http://schemas.openxmlformats.org/officeDocument/2006/relationships/image"/><Relationship Id="rId4" Target="../media/image171.jpeg" Type="http://schemas.openxmlformats.org/officeDocument/2006/relationships/image"/><Relationship Id="rId5" Target="../media/image172.jpeg" Type="http://schemas.openxmlformats.org/officeDocument/2006/relationships/image"/><Relationship Id="rId6" Target="../media/image178.jpeg" Type="http://schemas.openxmlformats.org/officeDocument/2006/relationships/image"/><Relationship Id="rId7" Target="../media/image285.jpeg" Type="http://schemas.openxmlformats.org/officeDocument/2006/relationships/image"/><Relationship Id="rId8" Target="../media/image228.jpeg" Type="http://schemas.openxmlformats.org/officeDocument/2006/relationships/image"/><Relationship Id="rId9" Target="../media/image229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4.png" Type="http://schemas.openxmlformats.org/officeDocument/2006/relationships/image"/><Relationship Id="rId11" Target="#'MENU%20GAVETAS'.A1" Type="http://schemas.openxmlformats.org/officeDocument/2006/relationships/hyperlink"/><Relationship Id="rId12" Target="../media/image11.png" Type="http://schemas.openxmlformats.org/officeDocument/2006/relationships/image"/><Relationship Id="rId2" Target="../media/image1.png" Type="http://schemas.openxmlformats.org/officeDocument/2006/relationships/image"/><Relationship Id="rId3" Target="../media/image2.jpeg" Type="http://schemas.openxmlformats.org/officeDocument/2006/relationships/image"/><Relationship Id="rId4" Target="../media/image2.jpeg" Type="http://schemas.openxmlformats.org/officeDocument/2006/relationships/image"/><Relationship Id="rId5" Target="../media/image3.png" Type="http://schemas.openxmlformats.org/officeDocument/2006/relationships/image"/><Relationship Id="rId6" Target="../media/image4.png" Type="http://schemas.openxmlformats.org/officeDocument/2006/relationships/image"/><Relationship Id="rId7" Target="../media/image1.png" Type="http://schemas.openxmlformats.org/officeDocument/2006/relationships/image"/><Relationship Id="rId8" Target="../media/image2.jpeg" Type="http://schemas.openxmlformats.org/officeDocument/2006/relationships/image"/><Relationship Id="rId9" Target="../media/image3.png" Type="http://schemas.openxmlformats.org/officeDocument/2006/relationships/image"/></Relationships>
</file>

<file path=xl/drawings/_rels/drawing50.xml.rels><?xml version="1.0" encoding="UTF-8" standalone="no"?><Relationships xmlns="http://schemas.openxmlformats.org/package/2006/relationships"><Relationship Id="rId1" Target="../media/image170.jpeg" Type="http://schemas.openxmlformats.org/officeDocument/2006/relationships/image"/><Relationship Id="rId10" Target="../media/image285.jpeg" Type="http://schemas.openxmlformats.org/officeDocument/2006/relationships/image"/><Relationship Id="rId11" Target="../media/image228.jpeg" Type="http://schemas.openxmlformats.org/officeDocument/2006/relationships/image"/><Relationship Id="rId12" Target="../media/image229.jpeg" Type="http://schemas.openxmlformats.org/officeDocument/2006/relationships/image"/><Relationship Id="rId13" Target="../media/image33.jpeg" Type="http://schemas.openxmlformats.org/officeDocument/2006/relationships/image"/><Relationship Id="rId14" Target="../media/image34.jpeg" Type="http://schemas.openxmlformats.org/officeDocument/2006/relationships/image"/><Relationship Id="rId15" Target="../media/image230.jpeg" Type="http://schemas.openxmlformats.org/officeDocument/2006/relationships/image"/><Relationship Id="rId16" Target="../media/image231.jpeg" Type="http://schemas.openxmlformats.org/officeDocument/2006/relationships/image"/><Relationship Id="rId17" Target="../media/image232.jpeg" Type="http://schemas.openxmlformats.org/officeDocument/2006/relationships/image"/><Relationship Id="rId18" Target="../media/image204.jpeg" Type="http://schemas.openxmlformats.org/officeDocument/2006/relationships/image"/><Relationship Id="rId19" Target="../media/image205.jpeg" Type="http://schemas.openxmlformats.org/officeDocument/2006/relationships/image"/><Relationship Id="rId2" Target="../media/image170.jpeg" Type="http://schemas.openxmlformats.org/officeDocument/2006/relationships/image"/><Relationship Id="rId20" Target="../media/image173.jpeg" Type="http://schemas.openxmlformats.org/officeDocument/2006/relationships/image"/><Relationship Id="rId21" Target="../media/image174.jpeg" Type="http://schemas.openxmlformats.org/officeDocument/2006/relationships/image"/><Relationship Id="rId22" Target="../media/image179.jpeg" Type="http://schemas.openxmlformats.org/officeDocument/2006/relationships/image"/><Relationship Id="rId23" Target="../media/image180.jpeg" Type="http://schemas.openxmlformats.org/officeDocument/2006/relationships/image"/><Relationship Id="rId24" Target="../media/image233.jpeg" Type="http://schemas.openxmlformats.org/officeDocument/2006/relationships/image"/><Relationship Id="rId25" Target="../media/image234.jpeg" Type="http://schemas.openxmlformats.org/officeDocument/2006/relationships/image"/><Relationship Id="rId26" Target="../media/image235.jpeg" Type="http://schemas.openxmlformats.org/officeDocument/2006/relationships/image"/><Relationship Id="rId27" Target="../media/image206.jpeg" Type="http://schemas.openxmlformats.org/officeDocument/2006/relationships/image"/><Relationship Id="rId28" Target="../media/image184.jpeg" Type="http://schemas.openxmlformats.org/officeDocument/2006/relationships/image"/><Relationship Id="rId29" Target="../media/image236.jpeg" Type="http://schemas.openxmlformats.org/officeDocument/2006/relationships/image"/><Relationship Id="rId3" Target="../media/image37.jpeg" Type="http://schemas.openxmlformats.org/officeDocument/2006/relationships/image"/><Relationship Id="rId30" Target="../media/image237.jpeg" Type="http://schemas.openxmlformats.org/officeDocument/2006/relationships/image"/><Relationship Id="rId31" Target="../media/image207.jpeg" Type="http://schemas.openxmlformats.org/officeDocument/2006/relationships/image"/><Relationship Id="rId32" Target="../media/image208.jpeg" Type="http://schemas.openxmlformats.org/officeDocument/2006/relationships/image"/><Relationship Id="rId33" Target="../media/image37.jpeg" Type="http://schemas.openxmlformats.org/officeDocument/2006/relationships/image"/><Relationship Id="rId4" Target="#'MENU%20SUPREMA'.A1" Type="http://schemas.openxmlformats.org/officeDocument/2006/relationships/hyperlink"/><Relationship Id="rId5" Target="../media/image287.png" Type="http://schemas.openxmlformats.org/officeDocument/2006/relationships/image"/><Relationship Id="rId6" Target="../media/image171.jpeg" Type="http://schemas.openxmlformats.org/officeDocument/2006/relationships/image"/><Relationship Id="rId7" Target="../media/image172.jpeg" Type="http://schemas.openxmlformats.org/officeDocument/2006/relationships/image"/><Relationship Id="rId8" Target="../media/image177.jpeg" Type="http://schemas.openxmlformats.org/officeDocument/2006/relationships/image"/><Relationship Id="rId9" Target="../media/image178.jpeg" Type="http://schemas.openxmlformats.org/officeDocument/2006/relationships/image"/></Relationships>
</file>

<file path=xl/drawings/_rels/drawing51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2.jpeg" Type="http://schemas.openxmlformats.org/officeDocument/2006/relationships/image"/><Relationship Id="rId11" Target="../media/image192.jpeg" Type="http://schemas.openxmlformats.org/officeDocument/2006/relationships/image"/><Relationship Id="rId12" Target="../media/image219.jpeg" Type="http://schemas.openxmlformats.org/officeDocument/2006/relationships/image"/><Relationship Id="rId13" Target="../media/image219.jpeg" Type="http://schemas.openxmlformats.org/officeDocument/2006/relationships/image"/><Relationship Id="rId14" Target="../media/image220.jpeg" Type="http://schemas.openxmlformats.org/officeDocument/2006/relationships/image"/><Relationship Id="rId15" Target="../media/image221.jpeg" Type="http://schemas.openxmlformats.org/officeDocument/2006/relationships/image"/><Relationship Id="rId16" Target="../media/image220.jpeg" Type="http://schemas.openxmlformats.org/officeDocument/2006/relationships/image"/><Relationship Id="rId17" Target="../media/image221.jpeg" Type="http://schemas.openxmlformats.org/officeDocument/2006/relationships/image"/><Relationship Id="rId18" Target="../media/image37.jpeg" Type="http://schemas.openxmlformats.org/officeDocument/2006/relationships/image"/><Relationship Id="rId19" Target="../media/image37.jpeg" Type="http://schemas.openxmlformats.org/officeDocument/2006/relationships/image"/><Relationship Id="rId2" Target="../media/image170.jpeg" Type="http://schemas.openxmlformats.org/officeDocument/2006/relationships/image"/><Relationship Id="rId20" Target="../media/image288.jpeg" Type="http://schemas.openxmlformats.org/officeDocument/2006/relationships/image"/><Relationship Id="rId21" Target="../media/image288.jpeg" Type="http://schemas.openxmlformats.org/officeDocument/2006/relationships/image"/><Relationship Id="rId22" Target="#'MENU%20SUPREMA'.A1" Type="http://schemas.openxmlformats.org/officeDocument/2006/relationships/hyperlink"/><Relationship Id="rId23" Target="../media/image289.pn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18.jpeg" Type="http://schemas.openxmlformats.org/officeDocument/2006/relationships/image"/><Relationship Id="rId6" Target="../media/image30.jpeg" Type="http://schemas.openxmlformats.org/officeDocument/2006/relationships/image"/><Relationship Id="rId7" Target="../media/image32.jpeg" Type="http://schemas.openxmlformats.org/officeDocument/2006/relationships/image"/><Relationship Id="rId8" Target="../media/image192.jpeg" Type="http://schemas.openxmlformats.org/officeDocument/2006/relationships/image"/><Relationship Id="rId9" Target="../media/image30.jpeg" Type="http://schemas.openxmlformats.org/officeDocument/2006/relationships/image"/></Relationships>
</file>

<file path=xl/drawings/_rels/drawing52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2.jpeg" Type="http://schemas.openxmlformats.org/officeDocument/2006/relationships/image"/><Relationship Id="rId11" Target="../media/image192.jpeg" Type="http://schemas.openxmlformats.org/officeDocument/2006/relationships/image"/><Relationship Id="rId12" Target="../media/image219.jpeg" Type="http://schemas.openxmlformats.org/officeDocument/2006/relationships/image"/><Relationship Id="rId13" Target="../media/image219.jpeg" Type="http://schemas.openxmlformats.org/officeDocument/2006/relationships/image"/><Relationship Id="rId14" Target="../media/image220.jpeg" Type="http://schemas.openxmlformats.org/officeDocument/2006/relationships/image"/><Relationship Id="rId15" Target="../media/image221.jpeg" Type="http://schemas.openxmlformats.org/officeDocument/2006/relationships/image"/><Relationship Id="rId16" Target="../media/image220.jpeg" Type="http://schemas.openxmlformats.org/officeDocument/2006/relationships/image"/><Relationship Id="rId17" Target="../media/image221.jpeg" Type="http://schemas.openxmlformats.org/officeDocument/2006/relationships/image"/><Relationship Id="rId18" Target="../media/image288.jpeg" Type="http://schemas.openxmlformats.org/officeDocument/2006/relationships/image"/><Relationship Id="rId19" Target="../media/image288.jpeg" Type="http://schemas.openxmlformats.org/officeDocument/2006/relationships/image"/><Relationship Id="rId2" Target="../media/image170.jpeg" Type="http://schemas.openxmlformats.org/officeDocument/2006/relationships/image"/><Relationship Id="rId20" Target="#'MENU%20SUPREMA'.A1" Type="http://schemas.openxmlformats.org/officeDocument/2006/relationships/hyperlink"/><Relationship Id="rId21" Target="../media/image289.pn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18.jpeg" Type="http://schemas.openxmlformats.org/officeDocument/2006/relationships/image"/><Relationship Id="rId6" Target="../media/image30.jpeg" Type="http://schemas.openxmlformats.org/officeDocument/2006/relationships/image"/><Relationship Id="rId7" Target="../media/image32.jpeg" Type="http://schemas.openxmlformats.org/officeDocument/2006/relationships/image"/><Relationship Id="rId8" Target="../media/image192.jpeg" Type="http://schemas.openxmlformats.org/officeDocument/2006/relationships/image"/><Relationship Id="rId9" Target="../media/image30.jpeg" Type="http://schemas.openxmlformats.org/officeDocument/2006/relationships/image"/></Relationships>
</file>

<file path=xl/drawings/_rels/drawing53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192.jpeg" Type="http://schemas.openxmlformats.org/officeDocument/2006/relationships/image"/><Relationship Id="rId13" Target="../media/image30.jpeg" Type="http://schemas.openxmlformats.org/officeDocument/2006/relationships/image"/><Relationship Id="rId14" Target="../media/image32.jpeg" Type="http://schemas.openxmlformats.org/officeDocument/2006/relationships/image"/><Relationship Id="rId15" Target="../media/image192.jpeg" Type="http://schemas.openxmlformats.org/officeDocument/2006/relationships/image"/><Relationship Id="rId16" Target="../media/image219.jpeg" Type="http://schemas.openxmlformats.org/officeDocument/2006/relationships/image"/><Relationship Id="rId17" Target="../media/image219.jpeg" Type="http://schemas.openxmlformats.org/officeDocument/2006/relationships/image"/><Relationship Id="rId18" Target="../media/image220.jpeg" Type="http://schemas.openxmlformats.org/officeDocument/2006/relationships/image"/><Relationship Id="rId19" Target="../media/image221.jpeg" Type="http://schemas.openxmlformats.org/officeDocument/2006/relationships/image"/><Relationship Id="rId2" Target="../media/image170.jpeg" Type="http://schemas.openxmlformats.org/officeDocument/2006/relationships/image"/><Relationship Id="rId20" Target="../media/image220.jpeg" Type="http://schemas.openxmlformats.org/officeDocument/2006/relationships/image"/><Relationship Id="rId21" Target="../media/image221.jpeg" Type="http://schemas.openxmlformats.org/officeDocument/2006/relationships/image"/><Relationship Id="rId22" Target="../media/image288.jpeg" Type="http://schemas.openxmlformats.org/officeDocument/2006/relationships/image"/><Relationship Id="rId23" Target="../media/image288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4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192.jpeg" Type="http://schemas.openxmlformats.org/officeDocument/2006/relationships/image"/><Relationship Id="rId13" Target="../media/image30.jpeg" Type="http://schemas.openxmlformats.org/officeDocument/2006/relationships/image"/><Relationship Id="rId14" Target="../media/image32.jpeg" Type="http://schemas.openxmlformats.org/officeDocument/2006/relationships/image"/><Relationship Id="rId15" Target="../media/image192.jpeg" Type="http://schemas.openxmlformats.org/officeDocument/2006/relationships/image"/><Relationship Id="rId16" Target="../media/image219.jpeg" Type="http://schemas.openxmlformats.org/officeDocument/2006/relationships/image"/><Relationship Id="rId17" Target="../media/image219.jpeg" Type="http://schemas.openxmlformats.org/officeDocument/2006/relationships/image"/><Relationship Id="rId18" Target="../media/image220.jpeg" Type="http://schemas.openxmlformats.org/officeDocument/2006/relationships/image"/><Relationship Id="rId19" Target="../media/image221.jpeg" Type="http://schemas.openxmlformats.org/officeDocument/2006/relationships/image"/><Relationship Id="rId2" Target="../media/image170.jpeg" Type="http://schemas.openxmlformats.org/officeDocument/2006/relationships/image"/><Relationship Id="rId20" Target="../media/image220.jpeg" Type="http://schemas.openxmlformats.org/officeDocument/2006/relationships/image"/><Relationship Id="rId21" Target="../media/image221.jpeg" Type="http://schemas.openxmlformats.org/officeDocument/2006/relationships/image"/><Relationship Id="rId22" Target="../media/image37.jpeg" Type="http://schemas.openxmlformats.org/officeDocument/2006/relationships/image"/><Relationship Id="rId23" Target="../media/image37.jpeg" Type="http://schemas.openxmlformats.org/officeDocument/2006/relationships/image"/><Relationship Id="rId24" Target="../media/image288.jpeg" Type="http://schemas.openxmlformats.org/officeDocument/2006/relationships/image"/><Relationship Id="rId25" Target="../media/image288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5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192.jpeg" Type="http://schemas.openxmlformats.org/officeDocument/2006/relationships/image"/><Relationship Id="rId13" Target="../media/image30.jpeg" Type="http://schemas.openxmlformats.org/officeDocument/2006/relationships/image"/><Relationship Id="rId14" Target="../media/image32.jpeg" Type="http://schemas.openxmlformats.org/officeDocument/2006/relationships/image"/><Relationship Id="rId15" Target="../media/image192.jpeg" Type="http://schemas.openxmlformats.org/officeDocument/2006/relationships/image"/><Relationship Id="rId16" Target="../media/image219.jpeg" Type="http://schemas.openxmlformats.org/officeDocument/2006/relationships/image"/><Relationship Id="rId17" Target="../media/image219.jpeg" Type="http://schemas.openxmlformats.org/officeDocument/2006/relationships/image"/><Relationship Id="rId18" Target="../media/image220.jpeg" Type="http://schemas.openxmlformats.org/officeDocument/2006/relationships/image"/><Relationship Id="rId19" Target="../media/image221.jpeg" Type="http://schemas.openxmlformats.org/officeDocument/2006/relationships/image"/><Relationship Id="rId2" Target="../media/image170.jpeg" Type="http://schemas.openxmlformats.org/officeDocument/2006/relationships/image"/><Relationship Id="rId20" Target="../media/image222.jpeg" Type="http://schemas.openxmlformats.org/officeDocument/2006/relationships/image"/><Relationship Id="rId21" Target="../media/image220.jpeg" Type="http://schemas.openxmlformats.org/officeDocument/2006/relationships/image"/><Relationship Id="rId22" Target="../media/image221.jpeg" Type="http://schemas.openxmlformats.org/officeDocument/2006/relationships/image"/><Relationship Id="rId23" Target="../media/image222.jpeg" Type="http://schemas.openxmlformats.org/officeDocument/2006/relationships/image"/><Relationship Id="rId24" Target="../media/image37.jpeg" Type="http://schemas.openxmlformats.org/officeDocument/2006/relationships/image"/><Relationship Id="rId25" Target="../media/image37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6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192.jpeg" Type="http://schemas.openxmlformats.org/officeDocument/2006/relationships/image"/><Relationship Id="rId13" Target="../media/image30.jpeg" Type="http://schemas.openxmlformats.org/officeDocument/2006/relationships/image"/><Relationship Id="rId14" Target="../media/image32.jpeg" Type="http://schemas.openxmlformats.org/officeDocument/2006/relationships/image"/><Relationship Id="rId15" Target="../media/image192.jpeg" Type="http://schemas.openxmlformats.org/officeDocument/2006/relationships/image"/><Relationship Id="rId16" Target="../media/image219.jpeg" Type="http://schemas.openxmlformats.org/officeDocument/2006/relationships/image"/><Relationship Id="rId17" Target="../media/image219.jpeg" Type="http://schemas.openxmlformats.org/officeDocument/2006/relationships/image"/><Relationship Id="rId18" Target="../media/image220.jpeg" Type="http://schemas.openxmlformats.org/officeDocument/2006/relationships/image"/><Relationship Id="rId19" Target="../media/image221.jpeg" Type="http://schemas.openxmlformats.org/officeDocument/2006/relationships/image"/><Relationship Id="rId2" Target="../media/image170.jpeg" Type="http://schemas.openxmlformats.org/officeDocument/2006/relationships/image"/><Relationship Id="rId20" Target="../media/image222.jpeg" Type="http://schemas.openxmlformats.org/officeDocument/2006/relationships/image"/><Relationship Id="rId21" Target="../media/image220.jpeg" Type="http://schemas.openxmlformats.org/officeDocument/2006/relationships/image"/><Relationship Id="rId22" Target="../media/image221.jpeg" Type="http://schemas.openxmlformats.org/officeDocument/2006/relationships/image"/><Relationship Id="rId23" Target="../media/image222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7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33.jpeg" Type="http://schemas.openxmlformats.org/officeDocument/2006/relationships/image"/><Relationship Id="rId13" Target="../media/image241.jpeg" Type="http://schemas.openxmlformats.org/officeDocument/2006/relationships/image"/><Relationship Id="rId14" Target="../media/image291.jpeg" Type="http://schemas.openxmlformats.org/officeDocument/2006/relationships/image"/><Relationship Id="rId15" Target="../media/image192.jpeg" Type="http://schemas.openxmlformats.org/officeDocument/2006/relationships/image"/><Relationship Id="rId16" Target="../media/image30.jpeg" Type="http://schemas.openxmlformats.org/officeDocument/2006/relationships/image"/><Relationship Id="rId17" Target="../media/image32.jpeg" Type="http://schemas.openxmlformats.org/officeDocument/2006/relationships/image"/><Relationship Id="rId18" Target="../media/image33.jpeg" Type="http://schemas.openxmlformats.org/officeDocument/2006/relationships/image"/><Relationship Id="rId19" Target="../media/image241.jpeg" Type="http://schemas.openxmlformats.org/officeDocument/2006/relationships/image"/><Relationship Id="rId2" Target="../media/image170.jpeg" Type="http://schemas.openxmlformats.org/officeDocument/2006/relationships/image"/><Relationship Id="rId20" Target="../media/image291.jpeg" Type="http://schemas.openxmlformats.org/officeDocument/2006/relationships/image"/><Relationship Id="rId21" Target="../media/image192.jpeg" Type="http://schemas.openxmlformats.org/officeDocument/2006/relationships/image"/><Relationship Id="rId22" Target="../media/image219.jpeg" Type="http://schemas.openxmlformats.org/officeDocument/2006/relationships/image"/><Relationship Id="rId23" Target="../media/image219.jpeg" Type="http://schemas.openxmlformats.org/officeDocument/2006/relationships/image"/><Relationship Id="rId3" Target="../media/image170.jpeg" Type="http://schemas.openxmlformats.org/officeDocument/2006/relationships/image"/><Relationship Id="rId4" Target="../media/image193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8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.jpeg" Type="http://schemas.openxmlformats.org/officeDocument/2006/relationships/image"/><Relationship Id="rId11" Target="../media/image32.jpeg" Type="http://schemas.openxmlformats.org/officeDocument/2006/relationships/image"/><Relationship Id="rId12" Target="../media/image33.jpeg" Type="http://schemas.openxmlformats.org/officeDocument/2006/relationships/image"/><Relationship Id="rId13" Target="../media/image37.jpeg" Type="http://schemas.openxmlformats.org/officeDocument/2006/relationships/image"/><Relationship Id="rId14" Target="../media/image241.jpeg" Type="http://schemas.openxmlformats.org/officeDocument/2006/relationships/image"/><Relationship Id="rId15" Target="../media/image291.jpeg" Type="http://schemas.openxmlformats.org/officeDocument/2006/relationships/image"/><Relationship Id="rId16" Target="../media/image192.jpeg" Type="http://schemas.openxmlformats.org/officeDocument/2006/relationships/image"/><Relationship Id="rId17" Target="../media/image30.jpeg" Type="http://schemas.openxmlformats.org/officeDocument/2006/relationships/image"/><Relationship Id="rId18" Target="../media/image32.jpeg" Type="http://schemas.openxmlformats.org/officeDocument/2006/relationships/image"/><Relationship Id="rId19" Target="../media/image33.jpeg" Type="http://schemas.openxmlformats.org/officeDocument/2006/relationships/image"/><Relationship Id="rId2" Target="../media/image170.jpeg" Type="http://schemas.openxmlformats.org/officeDocument/2006/relationships/image"/><Relationship Id="rId20" Target="../media/image37.jpeg" Type="http://schemas.openxmlformats.org/officeDocument/2006/relationships/image"/><Relationship Id="rId21" Target="../media/image241.jpeg" Type="http://schemas.openxmlformats.org/officeDocument/2006/relationships/image"/><Relationship Id="rId22" Target="../media/image291.jpeg" Type="http://schemas.openxmlformats.org/officeDocument/2006/relationships/image"/><Relationship Id="rId23" Target="../media/image192.jpeg" Type="http://schemas.openxmlformats.org/officeDocument/2006/relationships/image"/><Relationship Id="rId24" Target="../media/image219.jpeg" Type="http://schemas.openxmlformats.org/officeDocument/2006/relationships/image"/><Relationship Id="rId25" Target="../media/image219.jpeg" Type="http://schemas.openxmlformats.org/officeDocument/2006/relationships/image"/><Relationship Id="rId3" Target="../media/image170.jpeg" Type="http://schemas.openxmlformats.org/officeDocument/2006/relationships/image"/><Relationship Id="rId4" Target="../media/image218.jpeg" Type="http://schemas.openxmlformats.org/officeDocument/2006/relationships/image"/><Relationship Id="rId5" Target="../media/image290.jpeg" Type="http://schemas.openxmlformats.org/officeDocument/2006/relationships/image"/><Relationship Id="rId6" Target="../media/image290.jpeg" Type="http://schemas.openxmlformats.org/officeDocument/2006/relationships/image"/><Relationship Id="rId7" Target="../media/image218.jpeg" Type="http://schemas.openxmlformats.org/officeDocument/2006/relationships/image"/><Relationship Id="rId8" Target="#'MENU%20SUPREMA'.A1" Type="http://schemas.openxmlformats.org/officeDocument/2006/relationships/hyperlink"/><Relationship Id="rId9" Target="../media/image73.png" Type="http://schemas.openxmlformats.org/officeDocument/2006/relationships/image"/></Relationships>
</file>

<file path=xl/drawings/_rels/drawing59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297.jpeg" Type="http://schemas.openxmlformats.org/officeDocument/2006/relationships/image"/><Relationship Id="rId11" Target="../media/image298.jpeg" Type="http://schemas.openxmlformats.org/officeDocument/2006/relationships/image"/><Relationship Id="rId12" Target="../media/image299.jpeg" Type="http://schemas.openxmlformats.org/officeDocument/2006/relationships/image"/><Relationship Id="rId13" Target="../media/image290.jpeg" Type="http://schemas.openxmlformats.org/officeDocument/2006/relationships/image"/><Relationship Id="rId14" Target="../media/image290.jpeg" Type="http://schemas.openxmlformats.org/officeDocument/2006/relationships/image"/><Relationship Id="rId15" Target="../media/image298.jpeg" Type="http://schemas.openxmlformats.org/officeDocument/2006/relationships/image"/><Relationship Id="rId16" Target="../media/image218.jpeg" Type="http://schemas.openxmlformats.org/officeDocument/2006/relationships/image"/><Relationship Id="rId17" Target="#'MENU%20SUPREMA'.A1" Type="http://schemas.openxmlformats.org/officeDocument/2006/relationships/hyperlink"/><Relationship Id="rId18" Target="../media/image300.png" Type="http://schemas.openxmlformats.org/officeDocument/2006/relationships/image"/><Relationship Id="rId2" Target="../media/image292.jpeg" Type="http://schemas.openxmlformats.org/officeDocument/2006/relationships/image"/><Relationship Id="rId3" Target="../media/image170.jpeg" Type="http://schemas.openxmlformats.org/officeDocument/2006/relationships/image"/><Relationship Id="rId4" Target="../media/image293.jpeg" Type="http://schemas.openxmlformats.org/officeDocument/2006/relationships/image"/><Relationship Id="rId5" Target="../media/image294.jpeg" Type="http://schemas.openxmlformats.org/officeDocument/2006/relationships/image"/><Relationship Id="rId6" Target="../media/image294.jpeg" Type="http://schemas.openxmlformats.org/officeDocument/2006/relationships/image"/><Relationship Id="rId7" Target="../media/image170.jpeg" Type="http://schemas.openxmlformats.org/officeDocument/2006/relationships/image"/><Relationship Id="rId8" Target="../media/image295.jpeg" Type="http://schemas.openxmlformats.org/officeDocument/2006/relationships/image"/><Relationship Id="rId9" Target="../media/image296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3.png" Type="http://schemas.openxmlformats.org/officeDocument/2006/relationships/image"/><Relationship Id="rId11" Target="../media/image4.png" Type="http://schemas.openxmlformats.org/officeDocument/2006/relationships/image"/><Relationship Id="rId12" Target="../media/image2.jpeg" Type="http://schemas.openxmlformats.org/officeDocument/2006/relationships/image"/><Relationship Id="rId13" Target="#'MENU%20GAVETAS'.A1" Type="http://schemas.openxmlformats.org/officeDocument/2006/relationships/hyperlink"/><Relationship Id="rId14" Target="../media/image12.png" Type="http://schemas.openxmlformats.org/officeDocument/2006/relationships/image"/><Relationship Id="rId2" Target="../media/image1.png" Type="http://schemas.openxmlformats.org/officeDocument/2006/relationships/image"/><Relationship Id="rId3" Target="../media/image2.jpeg" Type="http://schemas.openxmlformats.org/officeDocument/2006/relationships/image"/><Relationship Id="rId4" Target="../media/image2.jpeg" Type="http://schemas.openxmlformats.org/officeDocument/2006/relationships/image"/><Relationship Id="rId5" Target="../media/image1.png" Type="http://schemas.openxmlformats.org/officeDocument/2006/relationships/image"/><Relationship Id="rId6" Target="../media/image3.png" Type="http://schemas.openxmlformats.org/officeDocument/2006/relationships/image"/><Relationship Id="rId7" Target="../media/image4.png" Type="http://schemas.openxmlformats.org/officeDocument/2006/relationships/image"/><Relationship Id="rId8" Target="../media/image1.png" Type="http://schemas.openxmlformats.org/officeDocument/2006/relationships/image"/><Relationship Id="rId9" Target="../media/image2.jpeg" Type="http://schemas.openxmlformats.org/officeDocument/2006/relationships/image"/></Relationships>
</file>

<file path=xl/drawings/_rels/drawing60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296.jpeg" Type="http://schemas.openxmlformats.org/officeDocument/2006/relationships/image"/><Relationship Id="rId11" Target="../media/image297.jpeg" Type="http://schemas.openxmlformats.org/officeDocument/2006/relationships/image"/><Relationship Id="rId12" Target="../media/image301.jpeg" Type="http://schemas.openxmlformats.org/officeDocument/2006/relationships/image"/><Relationship Id="rId13" Target="#'MENU%20SUPREMA'.A1" Type="http://schemas.openxmlformats.org/officeDocument/2006/relationships/hyperlink"/><Relationship Id="rId14" Target="../media/image302.png" Type="http://schemas.openxmlformats.org/officeDocument/2006/relationships/image"/><Relationship Id="rId15" Target="../media/image298.jpeg" Type="http://schemas.openxmlformats.org/officeDocument/2006/relationships/image"/><Relationship Id="rId16" Target="../media/image290.jpeg" Type="http://schemas.openxmlformats.org/officeDocument/2006/relationships/image"/><Relationship Id="rId17" Target="../media/image290.jpeg" Type="http://schemas.openxmlformats.org/officeDocument/2006/relationships/image"/><Relationship Id="rId18" Target="../media/image298.jpeg" Type="http://schemas.openxmlformats.org/officeDocument/2006/relationships/image"/><Relationship Id="rId19" Target="../media/image218.jpeg" Type="http://schemas.openxmlformats.org/officeDocument/2006/relationships/image"/><Relationship Id="rId2" Target="../media/image292.jpeg" Type="http://schemas.openxmlformats.org/officeDocument/2006/relationships/image"/><Relationship Id="rId20" Target="../media/image298.jpeg" Type="http://schemas.openxmlformats.org/officeDocument/2006/relationships/image"/><Relationship Id="rId21" Target="../media/image299.jpeg" Type="http://schemas.openxmlformats.org/officeDocument/2006/relationships/image"/><Relationship Id="rId3" Target="../media/image170.jpeg" Type="http://schemas.openxmlformats.org/officeDocument/2006/relationships/image"/><Relationship Id="rId4" Target="../media/image293.jpeg" Type="http://schemas.openxmlformats.org/officeDocument/2006/relationships/image"/><Relationship Id="rId5" Target="../media/image294.jpeg" Type="http://schemas.openxmlformats.org/officeDocument/2006/relationships/image"/><Relationship Id="rId6" Target="../media/image294.jpeg" Type="http://schemas.openxmlformats.org/officeDocument/2006/relationships/image"/><Relationship Id="rId7" Target="../media/image170.jpeg" Type="http://schemas.openxmlformats.org/officeDocument/2006/relationships/image"/><Relationship Id="rId8" Target="../media/image301.jpeg" Type="http://schemas.openxmlformats.org/officeDocument/2006/relationships/image"/><Relationship Id="rId9" Target="../media/image295.jpeg" Type="http://schemas.openxmlformats.org/officeDocument/2006/relationships/image"/></Relationships>
</file>

<file path=xl/drawings/_rels/drawing61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303.jpeg" Type="http://schemas.openxmlformats.org/officeDocument/2006/relationships/image"/><Relationship Id="rId11" Target="../media/image295.jpeg" Type="http://schemas.openxmlformats.org/officeDocument/2006/relationships/image"/><Relationship Id="rId12" Target="../media/image296.jpeg" Type="http://schemas.openxmlformats.org/officeDocument/2006/relationships/image"/><Relationship Id="rId13" Target="../media/image297.jpeg" Type="http://schemas.openxmlformats.org/officeDocument/2006/relationships/image"/><Relationship Id="rId14" Target="../media/image301.jpeg" Type="http://schemas.openxmlformats.org/officeDocument/2006/relationships/image"/><Relationship Id="rId15" Target="../media/image303.jpeg" Type="http://schemas.openxmlformats.org/officeDocument/2006/relationships/image"/><Relationship Id="rId16" Target="#'MENU%20SUPREMA'.A1" Type="http://schemas.openxmlformats.org/officeDocument/2006/relationships/hyperlink"/><Relationship Id="rId17" Target="../media/image304.png" Type="http://schemas.openxmlformats.org/officeDocument/2006/relationships/image"/><Relationship Id="rId2" Target="../media/image292.jpeg" Type="http://schemas.openxmlformats.org/officeDocument/2006/relationships/image"/><Relationship Id="rId3" Target="../media/image170.jpeg" Type="http://schemas.openxmlformats.org/officeDocument/2006/relationships/image"/><Relationship Id="rId4" Target="../media/image293.jpeg" Type="http://schemas.openxmlformats.org/officeDocument/2006/relationships/image"/><Relationship Id="rId5" Target="../media/image294.jpeg" Type="http://schemas.openxmlformats.org/officeDocument/2006/relationships/image"/><Relationship Id="rId6" Target="../media/image294.jpeg" Type="http://schemas.openxmlformats.org/officeDocument/2006/relationships/image"/><Relationship Id="rId7" Target="../media/image293.jpeg" Type="http://schemas.openxmlformats.org/officeDocument/2006/relationships/image"/><Relationship Id="rId8" Target="../media/image170.jpeg" Type="http://schemas.openxmlformats.org/officeDocument/2006/relationships/image"/><Relationship Id="rId9" Target="../media/image301.jpeg" Type="http://schemas.openxmlformats.org/officeDocument/2006/relationships/image"/></Relationships>
</file>

<file path=xl/drawings/_rels/drawing62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295.jpeg" Type="http://schemas.openxmlformats.org/officeDocument/2006/relationships/image"/><Relationship Id="rId11" Target="../media/image296.jpeg" Type="http://schemas.openxmlformats.org/officeDocument/2006/relationships/image"/><Relationship Id="rId12" Target="../media/image297.jpeg" Type="http://schemas.openxmlformats.org/officeDocument/2006/relationships/image"/><Relationship Id="rId13" Target="../media/image303.jpeg" Type="http://schemas.openxmlformats.org/officeDocument/2006/relationships/image"/><Relationship Id="rId14" Target="#'MENU%20SUPREMA'.A1" Type="http://schemas.openxmlformats.org/officeDocument/2006/relationships/hyperlink"/><Relationship Id="rId15" Target="../media/image305.png" Type="http://schemas.openxmlformats.org/officeDocument/2006/relationships/image"/><Relationship Id="rId2" Target="../media/image292.jpeg" Type="http://schemas.openxmlformats.org/officeDocument/2006/relationships/image"/><Relationship Id="rId3" Target="../media/image170.jpeg" Type="http://schemas.openxmlformats.org/officeDocument/2006/relationships/image"/><Relationship Id="rId4" Target="../media/image293.jpeg" Type="http://schemas.openxmlformats.org/officeDocument/2006/relationships/image"/><Relationship Id="rId5" Target="../media/image294.jpeg" Type="http://schemas.openxmlformats.org/officeDocument/2006/relationships/image"/><Relationship Id="rId6" Target="../media/image294.jpeg" Type="http://schemas.openxmlformats.org/officeDocument/2006/relationships/image"/><Relationship Id="rId7" Target="../media/image293.jpeg" Type="http://schemas.openxmlformats.org/officeDocument/2006/relationships/image"/><Relationship Id="rId8" Target="../media/image170.jpeg" Type="http://schemas.openxmlformats.org/officeDocument/2006/relationships/image"/><Relationship Id="rId9" Target="../media/image303.jpeg" Type="http://schemas.openxmlformats.org/officeDocument/2006/relationships/image"/></Relationships>
</file>

<file path=xl/drawings/_rels/drawing63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296.jpeg" Type="http://schemas.openxmlformats.org/officeDocument/2006/relationships/image"/><Relationship Id="rId11" Target="../media/image297.jpeg" Type="http://schemas.openxmlformats.org/officeDocument/2006/relationships/image"/><Relationship Id="rId12" Target="#'MENU%20SUPREMA'.A1" Type="http://schemas.openxmlformats.org/officeDocument/2006/relationships/hyperlink"/><Relationship Id="rId13" Target="../media/image49.jpeg" Type="http://schemas.openxmlformats.org/officeDocument/2006/relationships/image"/><Relationship Id="rId14" Target="../media/image306.jpeg" Type="http://schemas.openxmlformats.org/officeDocument/2006/relationships/image"/><Relationship Id="rId15" Target="../media/image307.jpeg" Type="http://schemas.openxmlformats.org/officeDocument/2006/relationships/image"/><Relationship Id="rId2" Target="../media/image292.jpeg" Type="http://schemas.openxmlformats.org/officeDocument/2006/relationships/image"/><Relationship Id="rId3" Target="../media/image170.jpeg" Type="http://schemas.openxmlformats.org/officeDocument/2006/relationships/image"/><Relationship Id="rId4" Target="../media/image293.jpeg" Type="http://schemas.openxmlformats.org/officeDocument/2006/relationships/image"/><Relationship Id="rId5" Target="../media/image294.jpeg" Type="http://schemas.openxmlformats.org/officeDocument/2006/relationships/image"/><Relationship Id="rId6" Target="../media/image294.jpeg" Type="http://schemas.openxmlformats.org/officeDocument/2006/relationships/image"/><Relationship Id="rId7" Target="../media/image293.jpeg" Type="http://schemas.openxmlformats.org/officeDocument/2006/relationships/image"/><Relationship Id="rId8" Target="../media/image170.jpeg" Type="http://schemas.openxmlformats.org/officeDocument/2006/relationships/image"/><Relationship Id="rId9" Target="../media/image295.jpeg" Type="http://schemas.openxmlformats.org/officeDocument/2006/relationships/image"/></Relationships>
</file>

<file path=xl/drawings/_rels/drawing64.xml.rels><?xml version="1.0" encoding="UTF-8" standalone="no"?><Relationships xmlns="http://schemas.openxmlformats.org/package/2006/relationships"><Relationship Id="rId1" Target="../media/image35.jpeg" Type="http://schemas.openxmlformats.org/officeDocument/2006/relationships/image"/><Relationship Id="rId10" Target="../media/image170.jpeg" Type="http://schemas.openxmlformats.org/officeDocument/2006/relationships/image"/><Relationship Id="rId11" Target="../media/image301.jpeg" Type="http://schemas.openxmlformats.org/officeDocument/2006/relationships/image"/><Relationship Id="rId12" Target="../media/image303.jpeg" Type="http://schemas.openxmlformats.org/officeDocument/2006/relationships/image"/><Relationship Id="rId13" Target="../media/image295.jpeg" Type="http://schemas.openxmlformats.org/officeDocument/2006/relationships/image"/><Relationship Id="rId14" Target="../media/image296.jpeg" Type="http://schemas.openxmlformats.org/officeDocument/2006/relationships/image"/><Relationship Id="rId15" Target="../media/image297.jpeg" Type="http://schemas.openxmlformats.org/officeDocument/2006/relationships/image"/><Relationship Id="rId16" Target="../media/image301.jpeg" Type="http://schemas.openxmlformats.org/officeDocument/2006/relationships/image"/><Relationship Id="rId17" Target="../media/image303.jpeg" Type="http://schemas.openxmlformats.org/officeDocument/2006/relationships/image"/><Relationship Id="rId2" Target="#'MENU%20SUPREMA'.A1" Type="http://schemas.openxmlformats.org/officeDocument/2006/relationships/hyperlink"/><Relationship Id="rId3" Target="../media/image308.jpeg" Type="http://schemas.openxmlformats.org/officeDocument/2006/relationships/image"/><Relationship Id="rId4" Target="../media/image292.jpeg" Type="http://schemas.openxmlformats.org/officeDocument/2006/relationships/image"/><Relationship Id="rId5" Target="../media/image170.jpeg" Type="http://schemas.openxmlformats.org/officeDocument/2006/relationships/image"/><Relationship Id="rId6" Target="../media/image293.jpeg" Type="http://schemas.openxmlformats.org/officeDocument/2006/relationships/image"/><Relationship Id="rId7" Target="../media/image294.jpeg" Type="http://schemas.openxmlformats.org/officeDocument/2006/relationships/image"/><Relationship Id="rId8" Target="../media/image294.jpeg" Type="http://schemas.openxmlformats.org/officeDocument/2006/relationships/image"/><Relationship Id="rId9" Target="../media/image293.jpeg" Type="http://schemas.openxmlformats.org/officeDocument/2006/relationships/image"/></Relationships>
</file>

<file path=xl/drawings/_rels/drawing65.xml.rels><?xml version="1.0" encoding="UTF-8" standalone="no"?><Relationships xmlns="http://schemas.openxmlformats.org/package/2006/relationships"><Relationship Id="rId1" Target="../media/image30.jpeg" Type="http://schemas.openxmlformats.org/officeDocument/2006/relationships/image"/><Relationship Id="rId10" Target="#'MENU%20SUPREMA'.A1" Type="http://schemas.openxmlformats.org/officeDocument/2006/relationships/hyperlink"/><Relationship Id="rId11" Target="../media/image78.jpeg" Type="http://schemas.openxmlformats.org/officeDocument/2006/relationships/image"/><Relationship Id="rId12" Target="../media/image35.jpeg" Type="http://schemas.openxmlformats.org/officeDocument/2006/relationships/image"/><Relationship Id="rId13" Target="../media/image38.jpeg" Type="http://schemas.openxmlformats.org/officeDocument/2006/relationships/image"/><Relationship Id="rId14" Target="../media/image309.jpeg" Type="http://schemas.openxmlformats.org/officeDocument/2006/relationships/image"/><Relationship Id="rId15" Target="../media/image32.jpeg" Type="http://schemas.openxmlformats.org/officeDocument/2006/relationships/image"/><Relationship Id="rId16" Target="../media/image33.jpeg" Type="http://schemas.openxmlformats.org/officeDocument/2006/relationships/image"/><Relationship Id="rId17" Target="../media/image34.jpeg" Type="http://schemas.openxmlformats.org/officeDocument/2006/relationships/image"/><Relationship Id="rId18" Target="../media/image36.jpeg" Type="http://schemas.openxmlformats.org/officeDocument/2006/relationships/image"/><Relationship Id="rId19" Target="../media/image37.jpeg" Type="http://schemas.openxmlformats.org/officeDocument/2006/relationships/image"/><Relationship Id="rId2" Target="../media/image31.jpeg" Type="http://schemas.openxmlformats.org/officeDocument/2006/relationships/image"/><Relationship Id="rId20" Target="../media/image35.jpeg" Type="http://schemas.openxmlformats.org/officeDocument/2006/relationships/image"/><Relationship Id="rId3" Target="../media/image32.jpeg" Type="http://schemas.openxmlformats.org/officeDocument/2006/relationships/image"/><Relationship Id="rId4" Target="../media/image33.jpeg" Type="http://schemas.openxmlformats.org/officeDocument/2006/relationships/image"/><Relationship Id="rId5" Target="../media/image34.jpeg" Type="http://schemas.openxmlformats.org/officeDocument/2006/relationships/image"/><Relationship Id="rId6" Target="../media/image35.jpeg" Type="http://schemas.openxmlformats.org/officeDocument/2006/relationships/image"/><Relationship Id="rId7" Target="../media/image35.jpeg" Type="http://schemas.openxmlformats.org/officeDocument/2006/relationships/image"/><Relationship Id="rId8" Target="../media/image36.jpeg" Type="http://schemas.openxmlformats.org/officeDocument/2006/relationships/image"/><Relationship Id="rId9" Target="../media/image37.jpeg" Type="http://schemas.openxmlformats.org/officeDocument/2006/relationships/image"/></Relationships>
</file>

<file path=xl/drawings/_rels/drawing66.xml.rels><?xml version="1.0" encoding="UTF-8" standalone="no"?><Relationships xmlns="http://schemas.openxmlformats.org/package/2006/relationships"><Relationship Id="rId1" Target="../media/image30.jpeg" Type="http://schemas.openxmlformats.org/officeDocument/2006/relationships/image"/><Relationship Id="rId10" Target="#'MENU%20SUPREMA'.A1" Type="http://schemas.openxmlformats.org/officeDocument/2006/relationships/hyperlink"/><Relationship Id="rId11" Target="../media/image76.png" Type="http://schemas.openxmlformats.org/officeDocument/2006/relationships/image"/><Relationship Id="rId12" Target="../media/image310.jpeg" Type="http://schemas.openxmlformats.org/officeDocument/2006/relationships/image"/><Relationship Id="rId13" Target="../media/image38.jpeg" Type="http://schemas.openxmlformats.org/officeDocument/2006/relationships/image"/><Relationship Id="rId14" Target="../media/image31.jpeg" Type="http://schemas.openxmlformats.org/officeDocument/2006/relationships/image"/><Relationship Id="rId15" Target="../media/image32.jpeg" Type="http://schemas.openxmlformats.org/officeDocument/2006/relationships/image"/><Relationship Id="rId16" Target="../media/image33.jpeg" Type="http://schemas.openxmlformats.org/officeDocument/2006/relationships/image"/><Relationship Id="rId17" Target="../media/image34.jpeg" Type="http://schemas.openxmlformats.org/officeDocument/2006/relationships/image"/><Relationship Id="rId18" Target="../media/image36.jpeg" Type="http://schemas.openxmlformats.org/officeDocument/2006/relationships/image"/><Relationship Id="rId19" Target="../media/image37.jpeg" Type="http://schemas.openxmlformats.org/officeDocument/2006/relationships/image"/><Relationship Id="rId2" Target="../media/image31.jpeg" Type="http://schemas.openxmlformats.org/officeDocument/2006/relationships/image"/><Relationship Id="rId20" Target="../media/image35.jpeg" Type="http://schemas.openxmlformats.org/officeDocument/2006/relationships/image"/><Relationship Id="rId21" Target="../media/image310.jpeg" Type="http://schemas.openxmlformats.org/officeDocument/2006/relationships/image"/><Relationship Id="rId3" Target="../media/image32.jpeg" Type="http://schemas.openxmlformats.org/officeDocument/2006/relationships/image"/><Relationship Id="rId4" Target="../media/image33.jpeg" Type="http://schemas.openxmlformats.org/officeDocument/2006/relationships/image"/><Relationship Id="rId5" Target="../media/image34.jpeg" Type="http://schemas.openxmlformats.org/officeDocument/2006/relationships/image"/><Relationship Id="rId6" Target="../media/image35.jpeg" Type="http://schemas.openxmlformats.org/officeDocument/2006/relationships/image"/><Relationship Id="rId7" Target="../media/image35.jpeg" Type="http://schemas.openxmlformats.org/officeDocument/2006/relationships/image"/><Relationship Id="rId8" Target="../media/image36.jpeg" Type="http://schemas.openxmlformats.org/officeDocument/2006/relationships/image"/><Relationship Id="rId9" Target="../media/image37.jpeg" Type="http://schemas.openxmlformats.org/officeDocument/2006/relationships/image"/></Relationships>
</file>

<file path=xl/drawings/_rels/drawing67.xml.rels><?xml version="1.0" encoding="UTF-8" standalone="no"?><Relationships xmlns="http://schemas.openxmlformats.org/package/2006/relationships"><Relationship Id="rId1" Target="#'MENU%20SUPREMA'.A1" Type="http://schemas.openxmlformats.org/officeDocument/2006/relationships/hyperlink"/><Relationship Id="rId10" Target="../media/image263.jpeg" Type="http://schemas.openxmlformats.org/officeDocument/2006/relationships/image"/><Relationship Id="rId11" Target="../media/image264.jpeg" Type="http://schemas.openxmlformats.org/officeDocument/2006/relationships/image"/><Relationship Id="rId12" Target="../media/image274.jpeg" Type="http://schemas.openxmlformats.org/officeDocument/2006/relationships/image"/><Relationship Id="rId13" Target="../media/image275.jpeg" Type="http://schemas.openxmlformats.org/officeDocument/2006/relationships/image"/><Relationship Id="rId14" Target="../media/image276.jpeg" Type="http://schemas.openxmlformats.org/officeDocument/2006/relationships/image"/><Relationship Id="rId15" Target="../media/image277.jpeg" Type="http://schemas.openxmlformats.org/officeDocument/2006/relationships/image"/><Relationship Id="rId16" Target="../media/image278.jpeg" Type="http://schemas.openxmlformats.org/officeDocument/2006/relationships/image"/><Relationship Id="rId17" Target="../media/image279.jpeg" Type="http://schemas.openxmlformats.org/officeDocument/2006/relationships/image"/><Relationship Id="rId18" Target="../media/image280.jpeg" Type="http://schemas.openxmlformats.org/officeDocument/2006/relationships/image"/><Relationship Id="rId19" Target="../media/image35.jpeg" Type="http://schemas.openxmlformats.org/officeDocument/2006/relationships/image"/><Relationship Id="rId2" Target="../media/image92.jpeg" Type="http://schemas.openxmlformats.org/officeDocument/2006/relationships/image"/><Relationship Id="rId20" Target="../media/image272.jpeg" Type="http://schemas.openxmlformats.org/officeDocument/2006/relationships/image"/><Relationship Id="rId21" Target="../media/image271.jpeg" Type="http://schemas.openxmlformats.org/officeDocument/2006/relationships/image"/><Relationship Id="rId22" Target="../media/image273.jpeg" Type="http://schemas.openxmlformats.org/officeDocument/2006/relationships/image"/><Relationship Id="rId23" Target="../media/image264.jpeg" Type="http://schemas.openxmlformats.org/officeDocument/2006/relationships/image"/><Relationship Id="rId3" Target="../media/image263.jpeg" Type="http://schemas.openxmlformats.org/officeDocument/2006/relationships/image"/><Relationship Id="rId4" Target="../media/image263.jpeg" Type="http://schemas.openxmlformats.org/officeDocument/2006/relationships/image"/><Relationship Id="rId5" Target="../media/image264.jpeg" Type="http://schemas.openxmlformats.org/officeDocument/2006/relationships/image"/><Relationship Id="rId6" Target="../media/image271.jpeg" Type="http://schemas.openxmlformats.org/officeDocument/2006/relationships/image"/><Relationship Id="rId7" Target="../media/image272.jpeg" Type="http://schemas.openxmlformats.org/officeDocument/2006/relationships/image"/><Relationship Id="rId8" Target="../media/image272.jpeg" Type="http://schemas.openxmlformats.org/officeDocument/2006/relationships/image"/><Relationship Id="rId9" Target="../media/image273.jpeg" Type="http://schemas.openxmlformats.org/officeDocument/2006/relationships/image"/></Relationships>
</file>

<file path=xl/drawings/_rels/drawing68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75.jpeg" Type="http://schemas.openxmlformats.org/officeDocument/2006/relationships/image"/><Relationship Id="rId11" Target="../media/image276.jpeg" Type="http://schemas.openxmlformats.org/officeDocument/2006/relationships/image"/><Relationship Id="rId12" Target="../media/image277.jpeg" Type="http://schemas.openxmlformats.org/officeDocument/2006/relationships/image"/><Relationship Id="rId13" Target="../media/image278.jpeg" Type="http://schemas.openxmlformats.org/officeDocument/2006/relationships/image"/><Relationship Id="rId14" Target="../media/image279.jpeg" Type="http://schemas.openxmlformats.org/officeDocument/2006/relationships/image"/><Relationship Id="rId15" Target="../media/image280.jpeg" Type="http://schemas.openxmlformats.org/officeDocument/2006/relationships/image"/><Relationship Id="rId16" Target="#'MENU%20SUPREMA'.A1" Type="http://schemas.openxmlformats.org/officeDocument/2006/relationships/hyperlink"/><Relationship Id="rId17" Target="../media/image311.jpeg" Type="http://schemas.openxmlformats.org/officeDocument/2006/relationships/image"/><Relationship Id="rId18" Target="../media/image35.jpeg" Type="http://schemas.openxmlformats.org/officeDocument/2006/relationships/image"/><Relationship Id="rId19" Target="../media/image272.jpeg" Type="http://schemas.openxmlformats.org/officeDocument/2006/relationships/image"/><Relationship Id="rId2" Target="../media/image264.jpeg" Type="http://schemas.openxmlformats.org/officeDocument/2006/relationships/image"/><Relationship Id="rId20" Target="../media/image271.jpeg" Type="http://schemas.openxmlformats.org/officeDocument/2006/relationships/image"/><Relationship Id="rId21" Target="../media/image273.jpeg" Type="http://schemas.openxmlformats.org/officeDocument/2006/relationships/image"/><Relationship Id="rId22" Target="../media/image264.jpeg" Type="http://schemas.openxmlformats.org/officeDocument/2006/relationships/image"/><Relationship Id="rId23" Target="../media/image281.jpeg" Type="http://schemas.openxmlformats.org/officeDocument/2006/relationships/image"/><Relationship Id="rId24" Target="../media/image281.jpeg" Type="http://schemas.openxmlformats.org/officeDocument/2006/relationships/image"/><Relationship Id="rId3" Target="../media/image271.jpeg" Type="http://schemas.openxmlformats.org/officeDocument/2006/relationships/image"/><Relationship Id="rId4" Target="../media/image272.jpeg" Type="http://schemas.openxmlformats.org/officeDocument/2006/relationships/image"/><Relationship Id="rId5" Target="../media/image272.jpeg" Type="http://schemas.openxmlformats.org/officeDocument/2006/relationships/image"/><Relationship Id="rId6" Target="../media/image273.jpeg" Type="http://schemas.openxmlformats.org/officeDocument/2006/relationships/image"/><Relationship Id="rId7" Target="../media/image263.jpeg" Type="http://schemas.openxmlformats.org/officeDocument/2006/relationships/image"/><Relationship Id="rId8" Target="../media/image264.jpeg" Type="http://schemas.openxmlformats.org/officeDocument/2006/relationships/image"/><Relationship Id="rId9" Target="../media/image274.jpeg" Type="http://schemas.openxmlformats.org/officeDocument/2006/relationships/image"/></Relationships>
</file>

<file path=xl/drawings/_rels/drawing69.xml.rels><?xml version="1.0" encoding="UTF-8" standalone="no"?><Relationships xmlns="http://schemas.openxmlformats.org/package/2006/relationships"><Relationship Id="rId1" Target="../media/image263.jpeg" Type="http://schemas.openxmlformats.org/officeDocument/2006/relationships/image"/><Relationship Id="rId10" Target="../media/image275.jpeg" Type="http://schemas.openxmlformats.org/officeDocument/2006/relationships/image"/><Relationship Id="rId11" Target="../media/image276.jpeg" Type="http://schemas.openxmlformats.org/officeDocument/2006/relationships/image"/><Relationship Id="rId12" Target="../media/image277.jpeg" Type="http://schemas.openxmlformats.org/officeDocument/2006/relationships/image"/><Relationship Id="rId13" Target="../media/image278.jpeg" Type="http://schemas.openxmlformats.org/officeDocument/2006/relationships/image"/><Relationship Id="rId14" Target="../media/image279.jpeg" Type="http://schemas.openxmlformats.org/officeDocument/2006/relationships/image"/><Relationship Id="rId15" Target="../media/image280.jpeg" Type="http://schemas.openxmlformats.org/officeDocument/2006/relationships/image"/><Relationship Id="rId16" Target="#'MENU%20SUPREMA'.A1" Type="http://schemas.openxmlformats.org/officeDocument/2006/relationships/hyperlink"/><Relationship Id="rId17" Target="../media/image312.jpeg" Type="http://schemas.openxmlformats.org/officeDocument/2006/relationships/image"/><Relationship Id="rId18" Target="../media/image35.jpeg" Type="http://schemas.openxmlformats.org/officeDocument/2006/relationships/image"/><Relationship Id="rId19" Target="../media/image272.jpeg" Type="http://schemas.openxmlformats.org/officeDocument/2006/relationships/image"/><Relationship Id="rId2" Target="../media/image264.jpeg" Type="http://schemas.openxmlformats.org/officeDocument/2006/relationships/image"/><Relationship Id="rId20" Target="../media/image271.jpeg" Type="http://schemas.openxmlformats.org/officeDocument/2006/relationships/image"/><Relationship Id="rId21" Target="../media/image273.jpeg" Type="http://schemas.openxmlformats.org/officeDocument/2006/relationships/image"/><Relationship Id="rId22" Target="../media/image264.jpeg" Type="http://schemas.openxmlformats.org/officeDocument/2006/relationships/image"/><Relationship Id="rId23" Target="../media/image281.jpeg" Type="http://schemas.openxmlformats.org/officeDocument/2006/relationships/image"/><Relationship Id="rId24" Target="../media/image281.jpeg" Type="http://schemas.openxmlformats.org/officeDocument/2006/relationships/image"/><Relationship Id="rId3" Target="../media/image271.jpeg" Type="http://schemas.openxmlformats.org/officeDocument/2006/relationships/image"/><Relationship Id="rId4" Target="../media/image272.jpeg" Type="http://schemas.openxmlformats.org/officeDocument/2006/relationships/image"/><Relationship Id="rId5" Target="../media/image272.jpeg" Type="http://schemas.openxmlformats.org/officeDocument/2006/relationships/image"/><Relationship Id="rId6" Target="../media/image273.jpeg" Type="http://schemas.openxmlformats.org/officeDocument/2006/relationships/image"/><Relationship Id="rId7" Target="../media/image263.jpeg" Type="http://schemas.openxmlformats.org/officeDocument/2006/relationships/image"/><Relationship Id="rId8" Target="../media/image264.jpeg" Type="http://schemas.openxmlformats.org/officeDocument/2006/relationships/image"/><Relationship Id="rId9" Target="../media/image274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#'MENU%20GAVETAS'.A1" Type="http://schemas.openxmlformats.org/officeDocument/2006/relationships/hyperlink"/><Relationship Id="rId10" Target="../media/image1.png" Type="http://schemas.openxmlformats.org/officeDocument/2006/relationships/image"/><Relationship Id="rId11" Target="../media/image2.jpeg" Type="http://schemas.openxmlformats.org/officeDocument/2006/relationships/image"/><Relationship Id="rId12" Target="../media/image3.png" Type="http://schemas.openxmlformats.org/officeDocument/2006/relationships/image"/><Relationship Id="rId13" Target="../media/image4.png" Type="http://schemas.openxmlformats.org/officeDocument/2006/relationships/image"/><Relationship Id="rId2" Target="../media/image13.png" Type="http://schemas.openxmlformats.org/officeDocument/2006/relationships/image"/><Relationship Id="rId3" Target="../media/image1.png" Type="http://schemas.openxmlformats.org/officeDocument/2006/relationships/image"/><Relationship Id="rId4" Target="../media/image1.png" Type="http://schemas.openxmlformats.org/officeDocument/2006/relationships/image"/><Relationship Id="rId5" Target="../media/image2.jpeg" Type="http://schemas.openxmlformats.org/officeDocument/2006/relationships/image"/><Relationship Id="rId6" Target="../media/image2.jpeg" Type="http://schemas.openxmlformats.org/officeDocument/2006/relationships/image"/><Relationship Id="rId7" Target="../media/image1.png" Type="http://schemas.openxmlformats.org/officeDocument/2006/relationships/image"/><Relationship Id="rId8" Target="../media/image3.png" Type="http://schemas.openxmlformats.org/officeDocument/2006/relationships/image"/><Relationship Id="rId9" Target="../media/image4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4.jpeg" Type="http://schemas.openxmlformats.org/officeDocument/2006/relationships/image"/><Relationship Id="rId10" Target="../media/image18.jpeg" Type="http://schemas.openxmlformats.org/officeDocument/2006/relationships/image"/><Relationship Id="rId11" Target="#'MENU%20PORT%C3%83O'.A1" Type="http://schemas.openxmlformats.org/officeDocument/2006/relationships/hyperlink"/><Relationship Id="rId12" Target="../media/image19.jpeg" Type="http://schemas.openxmlformats.org/officeDocument/2006/relationships/image"/><Relationship Id="rId13" Target="../media/image20.jpeg" Type="http://schemas.openxmlformats.org/officeDocument/2006/relationships/image"/><Relationship Id="rId14" Target="../media/image14.jpeg" Type="http://schemas.openxmlformats.org/officeDocument/2006/relationships/image"/><Relationship Id="rId15" Target="../media/image21.png" Type="http://schemas.openxmlformats.org/officeDocument/2006/relationships/image"/><Relationship Id="rId16" Target="../media/image21.png" Type="http://schemas.openxmlformats.org/officeDocument/2006/relationships/image"/><Relationship Id="rId2" Target="../media/image15.jpeg" Type="http://schemas.openxmlformats.org/officeDocument/2006/relationships/image"/><Relationship Id="rId3" Target="../media/image14.jpeg" Type="http://schemas.openxmlformats.org/officeDocument/2006/relationships/image"/><Relationship Id="rId4" Target="../media/image16.png" Type="http://schemas.openxmlformats.org/officeDocument/2006/relationships/image"/><Relationship Id="rId5" Target="../media/image15.jpeg" Type="http://schemas.openxmlformats.org/officeDocument/2006/relationships/image"/><Relationship Id="rId6" Target="../media/image14.jpeg" Type="http://schemas.openxmlformats.org/officeDocument/2006/relationships/image"/><Relationship Id="rId7" Target="../media/image16.png" Type="http://schemas.openxmlformats.org/officeDocument/2006/relationships/image"/><Relationship Id="rId8" Target="../media/image17.png" Type="http://schemas.openxmlformats.org/officeDocument/2006/relationships/image"/><Relationship Id="rId9" Target="../media/image18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4.jpeg" Type="http://schemas.openxmlformats.org/officeDocument/2006/relationships/image"/><Relationship Id="rId10" Target="#'MENU%20PORT%C3%83O'.A1" Type="http://schemas.openxmlformats.org/officeDocument/2006/relationships/hyperlink"/><Relationship Id="rId11" Target="../media/image22.jpeg" Type="http://schemas.openxmlformats.org/officeDocument/2006/relationships/image"/><Relationship Id="rId12" Target="../media/image18.jpeg" Type="http://schemas.openxmlformats.org/officeDocument/2006/relationships/image"/><Relationship Id="rId13" Target="../media/image23.jpeg" Type="http://schemas.openxmlformats.org/officeDocument/2006/relationships/image"/><Relationship Id="rId2" Target="../media/image15.jpeg" Type="http://schemas.openxmlformats.org/officeDocument/2006/relationships/image"/><Relationship Id="rId3" Target="../media/image14.jpeg" Type="http://schemas.openxmlformats.org/officeDocument/2006/relationships/image"/><Relationship Id="rId4" Target="../media/image16.png" Type="http://schemas.openxmlformats.org/officeDocument/2006/relationships/image"/><Relationship Id="rId5" Target="../media/image15.jpeg" Type="http://schemas.openxmlformats.org/officeDocument/2006/relationships/image"/><Relationship Id="rId6" Target="../media/image14.jpeg" Type="http://schemas.openxmlformats.org/officeDocument/2006/relationships/image"/><Relationship Id="rId7" Target="../media/image16.png" Type="http://schemas.openxmlformats.org/officeDocument/2006/relationships/image"/><Relationship Id="rId8" Target="../media/image17.png" Type="http://schemas.openxmlformats.org/officeDocument/2006/relationships/image"/><Relationship Id="rId9" Target="../media/image18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476280" y="27813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476280" y="30956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33120</xdr:rowOff>
    </xdr:from>
    <xdr:to>
      <xdr:col>1</xdr:col>
      <xdr:colOff>513360</xdr:colOff>
      <xdr:row>13</xdr:row>
      <xdr:rowOff>263520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782280" y="384300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14</xdr:row>
      <xdr:rowOff>52200</xdr:rowOff>
    </xdr:from>
    <xdr:to>
      <xdr:col>1</xdr:col>
      <xdr:colOff>513360</xdr:colOff>
      <xdr:row>14</xdr:row>
      <xdr:rowOff>282600</xdr:rowOff>
    </xdr:to>
    <xdr:pic>
      <xdr:nvPicPr>
        <xdr:cNvPr id="3" name="Imagem 4" descr=""/>
        <xdr:cNvPicPr/>
      </xdr:nvPicPr>
      <xdr:blipFill>
        <a:blip r:embed="rId4"/>
        <a:stretch/>
      </xdr:blipFill>
      <xdr:spPr>
        <a:xfrm>
          <a:off x="782280" y="41860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11</xdr:row>
      <xdr:rowOff>266760</xdr:rowOff>
    </xdr:from>
    <xdr:to>
      <xdr:col>2</xdr:col>
      <xdr:colOff>151560</xdr:colOff>
      <xdr:row>13</xdr:row>
      <xdr:rowOff>65880</xdr:rowOff>
    </xdr:to>
    <xdr:pic>
      <xdr:nvPicPr>
        <xdr:cNvPr id="4" name="Imagem 5" descr=""/>
        <xdr:cNvPicPr/>
      </xdr:nvPicPr>
      <xdr:blipFill>
        <a:blip r:embed="rId5"/>
        <a:stretch/>
      </xdr:blipFill>
      <xdr:spPr>
        <a:xfrm>
          <a:off x="476280" y="342900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15</xdr:row>
      <xdr:rowOff>38160</xdr:rowOff>
    </xdr:from>
    <xdr:to>
      <xdr:col>1</xdr:col>
      <xdr:colOff>538200</xdr:colOff>
      <xdr:row>15</xdr:row>
      <xdr:rowOff>313920</xdr:rowOff>
    </xdr:to>
    <xdr:pic>
      <xdr:nvPicPr>
        <xdr:cNvPr id="5" name="Imagem 6" descr=""/>
        <xdr:cNvPicPr/>
      </xdr:nvPicPr>
      <xdr:blipFill>
        <a:blip r:embed="rId6"/>
        <a:stretch/>
      </xdr:blipFill>
      <xdr:spPr>
        <a:xfrm>
          <a:off x="820440" y="44960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19080</xdr:rowOff>
    </xdr:from>
    <xdr:to>
      <xdr:col>1</xdr:col>
      <xdr:colOff>312480</xdr:colOff>
      <xdr:row>16</xdr:row>
      <xdr:rowOff>256680</xdr:rowOff>
    </xdr:to>
    <xdr:pic>
      <xdr:nvPicPr>
        <xdr:cNvPr id="6" name="Imagem 7" descr=""/>
        <xdr:cNvPicPr/>
      </xdr:nvPicPr>
      <xdr:blipFill>
        <a:blip r:embed="rId7"/>
        <a:stretch/>
      </xdr:blipFill>
      <xdr:spPr>
        <a:xfrm>
          <a:off x="801360" y="480060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3</xdr:row>
      <xdr:rowOff>94680</xdr:rowOff>
    </xdr:to>
    <xdr:pic>
      <xdr:nvPicPr>
        <xdr:cNvPr id="7" name="Imagem 8" descr=""/>
        <xdr:cNvPicPr/>
      </xdr:nvPicPr>
      <xdr:blipFill>
        <a:blip r:embed="rId8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8" name="Imagem 9" descr=""/>
        <xdr:cNvPicPr/>
      </xdr:nvPicPr>
      <xdr:blipFill>
        <a:blip r:embed="rId9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9" name="Imagem 10" descr=""/>
        <xdr:cNvPicPr/>
      </xdr:nvPicPr>
      <xdr:blipFill>
        <a:blip r:embed="rId10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10" name="Imagem 11" descr=""/>
        <xdr:cNvPicPr/>
      </xdr:nvPicPr>
      <xdr:blipFill>
        <a:blip r:embed="rId11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95400</xdr:colOff>
      <xdr:row>5</xdr:row>
      <xdr:rowOff>276120</xdr:rowOff>
    </xdr:from>
    <xdr:to>
      <xdr:col>9</xdr:col>
      <xdr:colOff>542880</xdr:colOff>
      <xdr:row>7</xdr:row>
      <xdr:rowOff>28080</xdr:rowOff>
    </xdr:to>
    <xdr:pic>
      <xdr:nvPicPr>
        <xdr:cNvPr id="11" name="Imagem 13" descr="">
          <a:hlinkClick r:id="rId12"/>
        </xdr:cNvPr>
        <xdr:cNvPicPr/>
      </xdr:nvPicPr>
      <xdr:blipFill>
        <a:blip r:embed="rId13"/>
        <a:stretch/>
      </xdr:blipFill>
      <xdr:spPr>
        <a:xfrm>
          <a:off x="5063040" y="1523880"/>
          <a:ext cx="105912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609480</xdr:colOff>
      <xdr:row>16</xdr:row>
      <xdr:rowOff>247680</xdr:rowOff>
    </xdr:from>
    <xdr:to>
      <xdr:col>1</xdr:col>
      <xdr:colOff>465840</xdr:colOff>
      <xdr:row>18</xdr:row>
      <xdr:rowOff>46800</xdr:rowOff>
    </xdr:to>
    <xdr:pic>
      <xdr:nvPicPr>
        <xdr:cNvPr id="12" name="Imagem 14" descr=""/>
        <xdr:cNvPicPr/>
      </xdr:nvPicPr>
      <xdr:blipFill>
        <a:blip r:embed="rId14"/>
        <a:stretch/>
      </xdr:blipFill>
      <xdr:spPr>
        <a:xfrm>
          <a:off x="609480" y="5029200"/>
          <a:ext cx="591120" cy="446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304920</xdr:colOff>
      <xdr:row>5</xdr:row>
      <xdr:rowOff>142920</xdr:rowOff>
    </xdr:from>
    <xdr:to>
      <xdr:col>9</xdr:col>
      <xdr:colOff>558360</xdr:colOff>
      <xdr:row>8</xdr:row>
      <xdr:rowOff>194400</xdr:rowOff>
    </xdr:to>
    <xdr:pic>
      <xdr:nvPicPr>
        <xdr:cNvPr id="120" name="Imagem 1" descr="">
          <a:hlinkClick r:id="rId1"/>
        </xdr:cNvPr>
        <xdr:cNvPicPr/>
      </xdr:nvPicPr>
      <xdr:blipFill>
        <a:blip r:embed="rId2"/>
        <a:stretch/>
      </xdr:blipFill>
      <xdr:spPr>
        <a:xfrm>
          <a:off x="3984840" y="1390680"/>
          <a:ext cx="1783800" cy="98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11</xdr:row>
      <xdr:rowOff>71280</xdr:rowOff>
    </xdr:from>
    <xdr:to>
      <xdr:col>1</xdr:col>
      <xdr:colOff>323280</xdr:colOff>
      <xdr:row>11</xdr:row>
      <xdr:rowOff>262440</xdr:rowOff>
    </xdr:to>
    <xdr:pic>
      <xdr:nvPicPr>
        <xdr:cNvPr id="121" name="Imagem 3" descr=""/>
        <xdr:cNvPicPr/>
      </xdr:nvPicPr>
      <xdr:blipFill>
        <a:blip r:embed="rId3"/>
        <a:stretch/>
      </xdr:blipFill>
      <xdr:spPr>
        <a:xfrm>
          <a:off x="818640" y="323352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12</xdr:row>
      <xdr:rowOff>95400</xdr:rowOff>
    </xdr:from>
    <xdr:to>
      <xdr:col>1</xdr:col>
      <xdr:colOff>294840</xdr:colOff>
      <xdr:row>12</xdr:row>
      <xdr:rowOff>263520</xdr:rowOff>
    </xdr:to>
    <xdr:pic>
      <xdr:nvPicPr>
        <xdr:cNvPr id="122" name="Imagem 4" descr=""/>
        <xdr:cNvPicPr/>
      </xdr:nvPicPr>
      <xdr:blipFill>
        <a:blip r:embed="rId4"/>
        <a:stretch/>
      </xdr:blipFill>
      <xdr:spPr>
        <a:xfrm>
          <a:off x="844920" y="358164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10</xdr:row>
      <xdr:rowOff>61560</xdr:rowOff>
    </xdr:from>
    <xdr:to>
      <xdr:col>1</xdr:col>
      <xdr:colOff>323280</xdr:colOff>
      <xdr:row>10</xdr:row>
      <xdr:rowOff>252720</xdr:rowOff>
    </xdr:to>
    <xdr:pic>
      <xdr:nvPicPr>
        <xdr:cNvPr id="123" name="Imagem 5" descr=""/>
        <xdr:cNvPicPr/>
      </xdr:nvPicPr>
      <xdr:blipFill>
        <a:blip r:embed="rId5"/>
        <a:stretch/>
      </xdr:blipFill>
      <xdr:spPr>
        <a:xfrm>
          <a:off x="818640" y="290016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19080</xdr:rowOff>
    </xdr:from>
    <xdr:to>
      <xdr:col>1</xdr:col>
      <xdr:colOff>474480</xdr:colOff>
      <xdr:row>14</xdr:row>
      <xdr:rowOff>9000</xdr:rowOff>
    </xdr:to>
    <xdr:pic>
      <xdr:nvPicPr>
        <xdr:cNvPr id="124" name="Imagem 6" descr=""/>
        <xdr:cNvPicPr/>
      </xdr:nvPicPr>
      <xdr:blipFill>
        <a:blip r:embed="rId6"/>
        <a:stretch/>
      </xdr:blipFill>
      <xdr:spPr>
        <a:xfrm>
          <a:off x="811440" y="3828960"/>
          <a:ext cx="40788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628560</xdr:colOff>
      <xdr:row>14</xdr:row>
      <xdr:rowOff>276120</xdr:rowOff>
    </xdr:from>
    <xdr:to>
      <xdr:col>1</xdr:col>
      <xdr:colOff>493560</xdr:colOff>
      <xdr:row>16</xdr:row>
      <xdr:rowOff>65880</xdr:rowOff>
    </xdr:to>
    <xdr:pic>
      <xdr:nvPicPr>
        <xdr:cNvPr id="125" name="Imagem 7" descr=""/>
        <xdr:cNvPicPr/>
      </xdr:nvPicPr>
      <xdr:blipFill>
        <a:blip r:embed="rId7"/>
        <a:stretch/>
      </xdr:blipFill>
      <xdr:spPr>
        <a:xfrm>
          <a:off x="628560" y="4410000"/>
          <a:ext cx="60984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166680</xdr:colOff>
      <xdr:row>3</xdr:row>
      <xdr:rowOff>52920</xdr:rowOff>
    </xdr:from>
    <xdr:to>
      <xdr:col>11</xdr:col>
      <xdr:colOff>361440</xdr:colOff>
      <xdr:row>3</xdr:row>
      <xdr:rowOff>221040</xdr:rowOff>
    </xdr:to>
    <xdr:pic>
      <xdr:nvPicPr>
        <xdr:cNvPr id="126" name="Imagem 9" descr=""/>
        <xdr:cNvPicPr/>
      </xdr:nvPicPr>
      <xdr:blipFill>
        <a:blip r:embed="rId8"/>
        <a:stretch/>
      </xdr:blipFill>
      <xdr:spPr>
        <a:xfrm>
          <a:off x="6766200" y="80532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2</xdr:row>
      <xdr:rowOff>47520</xdr:rowOff>
    </xdr:from>
    <xdr:to>
      <xdr:col>11</xdr:col>
      <xdr:colOff>399600</xdr:colOff>
      <xdr:row>2</xdr:row>
      <xdr:rowOff>238680</xdr:rowOff>
    </xdr:to>
    <xdr:pic>
      <xdr:nvPicPr>
        <xdr:cNvPr id="127" name="Imagem 10" descr=""/>
        <xdr:cNvPicPr/>
      </xdr:nvPicPr>
      <xdr:blipFill>
        <a:blip r:embed="rId9"/>
        <a:stretch/>
      </xdr:blipFill>
      <xdr:spPr>
        <a:xfrm>
          <a:off x="6749640" y="55224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195480</xdr:rowOff>
    </xdr:from>
    <xdr:to>
      <xdr:col>11</xdr:col>
      <xdr:colOff>493560</xdr:colOff>
      <xdr:row>5</xdr:row>
      <xdr:rowOff>13680</xdr:rowOff>
    </xdr:to>
    <xdr:pic>
      <xdr:nvPicPr>
        <xdr:cNvPr id="128" name="Imagem 11" descr=""/>
        <xdr:cNvPicPr/>
      </xdr:nvPicPr>
      <xdr:blipFill>
        <a:blip r:embed="rId10"/>
        <a:stretch/>
      </xdr:blipFill>
      <xdr:spPr>
        <a:xfrm>
          <a:off x="6685200" y="947880"/>
          <a:ext cx="40788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5</xdr:row>
      <xdr:rowOff>214560</xdr:rowOff>
    </xdr:from>
    <xdr:to>
      <xdr:col>11</xdr:col>
      <xdr:colOff>569880</xdr:colOff>
      <xdr:row>7</xdr:row>
      <xdr:rowOff>23400</xdr:rowOff>
    </xdr:to>
    <xdr:pic>
      <xdr:nvPicPr>
        <xdr:cNvPr id="129" name="Imagem 12" descr=""/>
        <xdr:cNvPicPr/>
      </xdr:nvPicPr>
      <xdr:blipFill>
        <a:blip r:embed="rId11"/>
        <a:stretch/>
      </xdr:blipFill>
      <xdr:spPr>
        <a:xfrm>
          <a:off x="6599520" y="1462320"/>
          <a:ext cx="56988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123840</xdr:colOff>
      <xdr:row>44</xdr:row>
      <xdr:rowOff>112320</xdr:rowOff>
    </xdr:from>
    <xdr:to>
      <xdr:col>19</xdr:col>
      <xdr:colOff>513720</xdr:colOff>
      <xdr:row>48</xdr:row>
      <xdr:rowOff>159840</xdr:rowOff>
    </xdr:to>
    <xdr:pic>
      <xdr:nvPicPr>
        <xdr:cNvPr id="130" name="Imagem 13" descr=""/>
        <xdr:cNvPicPr/>
      </xdr:nvPicPr>
      <xdr:blipFill>
        <a:blip r:embed="rId12"/>
        <a:stretch/>
      </xdr:blipFill>
      <xdr:spPr>
        <a:xfrm>
          <a:off x="9529560" y="12523320"/>
          <a:ext cx="2048400" cy="115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28440</xdr:colOff>
      <xdr:row>33</xdr:row>
      <xdr:rowOff>123840</xdr:rowOff>
    </xdr:from>
    <xdr:to>
      <xdr:col>14</xdr:col>
      <xdr:colOff>232200</xdr:colOff>
      <xdr:row>38</xdr:row>
      <xdr:rowOff>9360</xdr:rowOff>
    </xdr:to>
    <xdr:pic>
      <xdr:nvPicPr>
        <xdr:cNvPr id="131" name="Imagem 14" descr=""/>
        <xdr:cNvPicPr/>
      </xdr:nvPicPr>
      <xdr:blipFill>
        <a:blip r:embed="rId13"/>
        <a:stretch/>
      </xdr:blipFill>
      <xdr:spPr>
        <a:xfrm>
          <a:off x="5993640" y="9572760"/>
          <a:ext cx="2599560" cy="119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123840</xdr:rowOff>
    </xdr:from>
    <xdr:to>
      <xdr:col>2</xdr:col>
      <xdr:colOff>2880</xdr:colOff>
      <xdr:row>14</xdr:row>
      <xdr:rowOff>196200</xdr:rowOff>
    </xdr:to>
    <xdr:pic>
      <xdr:nvPicPr>
        <xdr:cNvPr id="132" name="Imagem 15" descr=""/>
        <xdr:cNvPicPr/>
      </xdr:nvPicPr>
      <xdr:blipFill>
        <a:blip r:embed="rId14"/>
        <a:stretch/>
      </xdr:blipFill>
      <xdr:spPr>
        <a:xfrm>
          <a:off x="783000" y="4257720"/>
          <a:ext cx="576360" cy="7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95400</xdr:rowOff>
    </xdr:from>
    <xdr:to>
      <xdr:col>11</xdr:col>
      <xdr:colOff>561600</xdr:colOff>
      <xdr:row>5</xdr:row>
      <xdr:rowOff>161280</xdr:rowOff>
    </xdr:to>
    <xdr:pic>
      <xdr:nvPicPr>
        <xdr:cNvPr id="133" name="Imagem 16" descr=""/>
        <xdr:cNvPicPr/>
      </xdr:nvPicPr>
      <xdr:blipFill>
        <a:blip r:embed="rId15"/>
        <a:stretch/>
      </xdr:blipFill>
      <xdr:spPr>
        <a:xfrm>
          <a:off x="6637680" y="1343160"/>
          <a:ext cx="523440" cy="6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304920</xdr:colOff>
      <xdr:row>5</xdr:row>
      <xdr:rowOff>142920</xdr:rowOff>
    </xdr:from>
    <xdr:to>
      <xdr:col>9</xdr:col>
      <xdr:colOff>558360</xdr:colOff>
      <xdr:row>8</xdr:row>
      <xdr:rowOff>194400</xdr:rowOff>
    </xdr:to>
    <xdr:pic>
      <xdr:nvPicPr>
        <xdr:cNvPr id="134" name="Imagem 16" descr="">
          <a:hlinkClick r:id="rId1"/>
        </xdr:cNvPr>
        <xdr:cNvPicPr/>
      </xdr:nvPicPr>
      <xdr:blipFill>
        <a:blip r:embed="rId2"/>
        <a:stretch/>
      </xdr:blipFill>
      <xdr:spPr>
        <a:xfrm>
          <a:off x="3984840" y="1390680"/>
          <a:ext cx="1783800" cy="98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14</xdr:row>
      <xdr:rowOff>129240</xdr:rowOff>
    </xdr:from>
    <xdr:to>
      <xdr:col>2</xdr:col>
      <xdr:colOff>75600</xdr:colOff>
      <xdr:row>14</xdr:row>
      <xdr:rowOff>209160</xdr:rowOff>
    </xdr:to>
    <xdr:pic>
      <xdr:nvPicPr>
        <xdr:cNvPr id="135" name="Imagem 17" descr=""/>
        <xdr:cNvPicPr/>
      </xdr:nvPicPr>
      <xdr:blipFill>
        <a:blip r:embed="rId3"/>
        <a:stretch/>
      </xdr:blipFill>
      <xdr:spPr>
        <a:xfrm>
          <a:off x="821160" y="4263120"/>
          <a:ext cx="610920" cy="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11</xdr:row>
      <xdr:rowOff>71280</xdr:rowOff>
    </xdr:from>
    <xdr:to>
      <xdr:col>1</xdr:col>
      <xdr:colOff>323280</xdr:colOff>
      <xdr:row>11</xdr:row>
      <xdr:rowOff>262440</xdr:rowOff>
    </xdr:to>
    <xdr:pic>
      <xdr:nvPicPr>
        <xdr:cNvPr id="136" name="Imagem 18" descr=""/>
        <xdr:cNvPicPr/>
      </xdr:nvPicPr>
      <xdr:blipFill>
        <a:blip r:embed="rId4"/>
        <a:stretch/>
      </xdr:blipFill>
      <xdr:spPr>
        <a:xfrm>
          <a:off x="818640" y="323352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12</xdr:row>
      <xdr:rowOff>95400</xdr:rowOff>
    </xdr:from>
    <xdr:to>
      <xdr:col>1</xdr:col>
      <xdr:colOff>294840</xdr:colOff>
      <xdr:row>12</xdr:row>
      <xdr:rowOff>263520</xdr:rowOff>
    </xdr:to>
    <xdr:pic>
      <xdr:nvPicPr>
        <xdr:cNvPr id="137" name="Imagem 19" descr=""/>
        <xdr:cNvPicPr/>
      </xdr:nvPicPr>
      <xdr:blipFill>
        <a:blip r:embed="rId5"/>
        <a:stretch/>
      </xdr:blipFill>
      <xdr:spPr>
        <a:xfrm>
          <a:off x="844920" y="358164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10</xdr:row>
      <xdr:rowOff>61560</xdr:rowOff>
    </xdr:from>
    <xdr:to>
      <xdr:col>1</xdr:col>
      <xdr:colOff>323280</xdr:colOff>
      <xdr:row>10</xdr:row>
      <xdr:rowOff>252720</xdr:rowOff>
    </xdr:to>
    <xdr:pic>
      <xdr:nvPicPr>
        <xdr:cNvPr id="138" name="Imagem 20" descr=""/>
        <xdr:cNvPicPr/>
      </xdr:nvPicPr>
      <xdr:blipFill>
        <a:blip r:embed="rId6"/>
        <a:stretch/>
      </xdr:blipFill>
      <xdr:spPr>
        <a:xfrm>
          <a:off x="818640" y="290016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19080</xdr:rowOff>
    </xdr:from>
    <xdr:to>
      <xdr:col>1</xdr:col>
      <xdr:colOff>474480</xdr:colOff>
      <xdr:row>14</xdr:row>
      <xdr:rowOff>9000</xdr:rowOff>
    </xdr:to>
    <xdr:pic>
      <xdr:nvPicPr>
        <xdr:cNvPr id="139" name="Imagem 21" descr=""/>
        <xdr:cNvPicPr/>
      </xdr:nvPicPr>
      <xdr:blipFill>
        <a:blip r:embed="rId7"/>
        <a:stretch/>
      </xdr:blipFill>
      <xdr:spPr>
        <a:xfrm>
          <a:off x="811440" y="3828960"/>
          <a:ext cx="40788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628560</xdr:colOff>
      <xdr:row>14</xdr:row>
      <xdr:rowOff>276120</xdr:rowOff>
    </xdr:from>
    <xdr:to>
      <xdr:col>1</xdr:col>
      <xdr:colOff>493560</xdr:colOff>
      <xdr:row>16</xdr:row>
      <xdr:rowOff>65880</xdr:rowOff>
    </xdr:to>
    <xdr:pic>
      <xdr:nvPicPr>
        <xdr:cNvPr id="140" name="Imagem 22" descr=""/>
        <xdr:cNvPicPr/>
      </xdr:nvPicPr>
      <xdr:blipFill>
        <a:blip r:embed="rId8"/>
        <a:stretch/>
      </xdr:blipFill>
      <xdr:spPr>
        <a:xfrm>
          <a:off x="628560" y="4410000"/>
          <a:ext cx="60984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5</xdr:row>
      <xdr:rowOff>123840</xdr:rowOff>
    </xdr:from>
    <xdr:to>
      <xdr:col>11</xdr:col>
      <xdr:colOff>493920</xdr:colOff>
      <xdr:row>5</xdr:row>
      <xdr:rowOff>175680</xdr:rowOff>
    </xdr:to>
    <xdr:pic>
      <xdr:nvPicPr>
        <xdr:cNvPr id="141" name="Imagem 24" descr=""/>
        <xdr:cNvPicPr/>
      </xdr:nvPicPr>
      <xdr:blipFill>
        <a:blip r:embed="rId9"/>
        <a:stretch/>
      </xdr:blipFill>
      <xdr:spPr>
        <a:xfrm>
          <a:off x="6694920" y="1371600"/>
          <a:ext cx="398520" cy="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166680</xdr:colOff>
      <xdr:row>3</xdr:row>
      <xdr:rowOff>52920</xdr:rowOff>
    </xdr:from>
    <xdr:to>
      <xdr:col>11</xdr:col>
      <xdr:colOff>361440</xdr:colOff>
      <xdr:row>3</xdr:row>
      <xdr:rowOff>221040</xdr:rowOff>
    </xdr:to>
    <xdr:pic>
      <xdr:nvPicPr>
        <xdr:cNvPr id="142" name="Imagem 25" descr=""/>
        <xdr:cNvPicPr/>
      </xdr:nvPicPr>
      <xdr:blipFill>
        <a:blip r:embed="rId10"/>
        <a:stretch/>
      </xdr:blipFill>
      <xdr:spPr>
        <a:xfrm>
          <a:off x="6766200" y="80532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2</xdr:row>
      <xdr:rowOff>47520</xdr:rowOff>
    </xdr:from>
    <xdr:to>
      <xdr:col>11</xdr:col>
      <xdr:colOff>399600</xdr:colOff>
      <xdr:row>2</xdr:row>
      <xdr:rowOff>238680</xdr:rowOff>
    </xdr:to>
    <xdr:pic>
      <xdr:nvPicPr>
        <xdr:cNvPr id="143" name="Imagem 26" descr=""/>
        <xdr:cNvPicPr/>
      </xdr:nvPicPr>
      <xdr:blipFill>
        <a:blip r:embed="rId11"/>
        <a:stretch/>
      </xdr:blipFill>
      <xdr:spPr>
        <a:xfrm>
          <a:off x="6749640" y="55224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195480</xdr:rowOff>
    </xdr:from>
    <xdr:to>
      <xdr:col>11</xdr:col>
      <xdr:colOff>493560</xdr:colOff>
      <xdr:row>5</xdr:row>
      <xdr:rowOff>13680</xdr:rowOff>
    </xdr:to>
    <xdr:pic>
      <xdr:nvPicPr>
        <xdr:cNvPr id="144" name="Imagem 27" descr=""/>
        <xdr:cNvPicPr/>
      </xdr:nvPicPr>
      <xdr:blipFill>
        <a:blip r:embed="rId12"/>
        <a:stretch/>
      </xdr:blipFill>
      <xdr:spPr>
        <a:xfrm>
          <a:off x="6685200" y="947880"/>
          <a:ext cx="40788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5</xdr:row>
      <xdr:rowOff>214560</xdr:rowOff>
    </xdr:from>
    <xdr:to>
      <xdr:col>11</xdr:col>
      <xdr:colOff>569880</xdr:colOff>
      <xdr:row>7</xdr:row>
      <xdr:rowOff>23400</xdr:rowOff>
    </xdr:to>
    <xdr:pic>
      <xdr:nvPicPr>
        <xdr:cNvPr id="145" name="Imagem 28" descr=""/>
        <xdr:cNvPicPr/>
      </xdr:nvPicPr>
      <xdr:blipFill>
        <a:blip r:embed="rId13"/>
        <a:stretch/>
      </xdr:blipFill>
      <xdr:spPr>
        <a:xfrm>
          <a:off x="6599520" y="1462320"/>
          <a:ext cx="56988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123840</xdr:colOff>
      <xdr:row>44</xdr:row>
      <xdr:rowOff>112320</xdr:rowOff>
    </xdr:from>
    <xdr:to>
      <xdr:col>19</xdr:col>
      <xdr:colOff>513720</xdr:colOff>
      <xdr:row>48</xdr:row>
      <xdr:rowOff>159840</xdr:rowOff>
    </xdr:to>
    <xdr:pic>
      <xdr:nvPicPr>
        <xdr:cNvPr id="146" name="Imagem 41" descr=""/>
        <xdr:cNvPicPr/>
      </xdr:nvPicPr>
      <xdr:blipFill>
        <a:blip r:embed="rId14"/>
        <a:stretch/>
      </xdr:blipFill>
      <xdr:spPr>
        <a:xfrm>
          <a:off x="9529560" y="12523320"/>
          <a:ext cx="2048400" cy="115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28440</xdr:colOff>
      <xdr:row>33</xdr:row>
      <xdr:rowOff>123840</xdr:rowOff>
    </xdr:from>
    <xdr:to>
      <xdr:col>14</xdr:col>
      <xdr:colOff>232200</xdr:colOff>
      <xdr:row>38</xdr:row>
      <xdr:rowOff>9360</xdr:rowOff>
    </xdr:to>
    <xdr:pic>
      <xdr:nvPicPr>
        <xdr:cNvPr id="147" name="Imagem 42" descr=""/>
        <xdr:cNvPicPr/>
      </xdr:nvPicPr>
      <xdr:blipFill>
        <a:blip r:embed="rId15"/>
        <a:stretch/>
      </xdr:blipFill>
      <xdr:spPr>
        <a:xfrm>
          <a:off x="5993640" y="9572760"/>
          <a:ext cx="2599560" cy="119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10</xdr:row>
      <xdr:rowOff>95400</xdr:rowOff>
    </xdr:from>
    <xdr:to>
      <xdr:col>1</xdr:col>
      <xdr:colOff>456480</xdr:colOff>
      <xdr:row>10</xdr:row>
      <xdr:rowOff>240480</xdr:rowOff>
    </xdr:to>
    <xdr:pic>
      <xdr:nvPicPr>
        <xdr:cNvPr id="148" name="Imagem 1" descr=""/>
        <xdr:cNvPicPr/>
      </xdr:nvPicPr>
      <xdr:blipFill>
        <a:blip r:embed="rId1"/>
        <a:stretch/>
      </xdr:blipFill>
      <xdr:spPr>
        <a:xfrm>
          <a:off x="887760" y="29340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11</xdr:row>
      <xdr:rowOff>38880</xdr:rowOff>
    </xdr:from>
    <xdr:to>
      <xdr:col>1</xdr:col>
      <xdr:colOff>471960</xdr:colOff>
      <xdr:row>11</xdr:row>
      <xdr:rowOff>250920</xdr:rowOff>
    </xdr:to>
    <xdr:pic>
      <xdr:nvPicPr>
        <xdr:cNvPr id="149" name="Imagem 2" descr=""/>
        <xdr:cNvPicPr/>
      </xdr:nvPicPr>
      <xdr:blipFill>
        <a:blip r:embed="rId2"/>
        <a:stretch/>
      </xdr:blipFill>
      <xdr:spPr>
        <a:xfrm>
          <a:off x="894960" y="320112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12</xdr:row>
      <xdr:rowOff>114840</xdr:rowOff>
    </xdr:from>
    <xdr:to>
      <xdr:col>1</xdr:col>
      <xdr:colOff>481680</xdr:colOff>
      <xdr:row>12</xdr:row>
      <xdr:rowOff>238320</xdr:rowOff>
    </xdr:to>
    <xdr:pic>
      <xdr:nvPicPr>
        <xdr:cNvPr id="150" name="Imagem 3" descr=""/>
        <xdr:cNvPicPr/>
      </xdr:nvPicPr>
      <xdr:blipFill>
        <a:blip r:embed="rId3"/>
        <a:stretch/>
      </xdr:blipFill>
      <xdr:spPr>
        <a:xfrm>
          <a:off x="887760" y="360108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13</xdr:row>
      <xdr:rowOff>95760</xdr:rowOff>
    </xdr:from>
    <xdr:to>
      <xdr:col>1</xdr:col>
      <xdr:colOff>449280</xdr:colOff>
      <xdr:row>13</xdr:row>
      <xdr:rowOff>232200</xdr:rowOff>
    </xdr:to>
    <xdr:pic>
      <xdr:nvPicPr>
        <xdr:cNvPr id="151" name="Imagem 4" descr=""/>
        <xdr:cNvPicPr/>
      </xdr:nvPicPr>
      <xdr:blipFill>
        <a:blip r:embed="rId4"/>
        <a:stretch/>
      </xdr:blipFill>
      <xdr:spPr>
        <a:xfrm>
          <a:off x="906840" y="390564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186840</xdr:colOff>
      <xdr:row>15</xdr:row>
      <xdr:rowOff>86400</xdr:rowOff>
    </xdr:from>
    <xdr:to>
      <xdr:col>1</xdr:col>
      <xdr:colOff>447120</xdr:colOff>
      <xdr:row>15</xdr:row>
      <xdr:rowOff>274680</xdr:rowOff>
    </xdr:to>
    <xdr:pic>
      <xdr:nvPicPr>
        <xdr:cNvPr id="152" name="Imagem 5" descr=""/>
        <xdr:cNvPicPr/>
      </xdr:nvPicPr>
      <xdr:blipFill>
        <a:blip r:embed="rId5"/>
        <a:stretch/>
      </xdr:blipFill>
      <xdr:spPr>
        <a:xfrm>
          <a:off x="931680" y="454428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124920</xdr:colOff>
      <xdr:row>18</xdr:row>
      <xdr:rowOff>47160</xdr:rowOff>
    </xdr:from>
    <xdr:to>
      <xdr:col>1</xdr:col>
      <xdr:colOff>401400</xdr:colOff>
      <xdr:row>19</xdr:row>
      <xdr:rowOff>9720</xdr:rowOff>
    </xdr:to>
    <xdr:pic>
      <xdr:nvPicPr>
        <xdr:cNvPr id="153" name="Imagem 6" descr=""/>
        <xdr:cNvPicPr/>
      </xdr:nvPicPr>
      <xdr:blipFill>
        <a:blip r:embed="rId6"/>
        <a:stretch/>
      </xdr:blipFill>
      <xdr:spPr>
        <a:xfrm>
          <a:off x="869760" y="5476320"/>
          <a:ext cx="276480" cy="24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115560</xdr:colOff>
      <xdr:row>19</xdr:row>
      <xdr:rowOff>28080</xdr:rowOff>
    </xdr:from>
    <xdr:to>
      <xdr:col>1</xdr:col>
      <xdr:colOff>392040</xdr:colOff>
      <xdr:row>19</xdr:row>
      <xdr:rowOff>276120</xdr:rowOff>
    </xdr:to>
    <xdr:pic>
      <xdr:nvPicPr>
        <xdr:cNvPr id="154" name="Imagem 7" descr=""/>
        <xdr:cNvPicPr/>
      </xdr:nvPicPr>
      <xdr:blipFill>
        <a:blip r:embed="rId7"/>
        <a:stretch/>
      </xdr:blipFill>
      <xdr:spPr>
        <a:xfrm>
          <a:off x="860400" y="574308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134640</xdr:colOff>
      <xdr:row>16</xdr:row>
      <xdr:rowOff>75600</xdr:rowOff>
    </xdr:from>
    <xdr:to>
      <xdr:col>1</xdr:col>
      <xdr:colOff>403200</xdr:colOff>
      <xdr:row>16</xdr:row>
      <xdr:rowOff>284400</xdr:rowOff>
    </xdr:to>
    <xdr:pic>
      <xdr:nvPicPr>
        <xdr:cNvPr id="155" name="Imagem 8" descr=""/>
        <xdr:cNvPicPr/>
      </xdr:nvPicPr>
      <xdr:blipFill>
        <a:blip r:embed="rId8"/>
        <a:stretch/>
      </xdr:blipFill>
      <xdr:spPr>
        <a:xfrm>
          <a:off x="879480" y="485712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203760</xdr:colOff>
      <xdr:row>17</xdr:row>
      <xdr:rowOff>54360</xdr:rowOff>
    </xdr:from>
    <xdr:to>
      <xdr:col>1</xdr:col>
      <xdr:colOff>433080</xdr:colOff>
      <xdr:row>17</xdr:row>
      <xdr:rowOff>239040</xdr:rowOff>
    </xdr:to>
    <xdr:pic>
      <xdr:nvPicPr>
        <xdr:cNvPr id="156" name="Imagem 9" descr=""/>
        <xdr:cNvPicPr/>
      </xdr:nvPicPr>
      <xdr:blipFill>
        <a:blip r:embed="rId9"/>
        <a:stretch/>
      </xdr:blipFill>
      <xdr:spPr>
        <a:xfrm>
          <a:off x="948600" y="515988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2</xdr:row>
      <xdr:rowOff>47520</xdr:rowOff>
    </xdr:from>
    <xdr:to>
      <xdr:col>11</xdr:col>
      <xdr:colOff>469080</xdr:colOff>
      <xdr:row>2</xdr:row>
      <xdr:rowOff>189720</xdr:rowOff>
    </xdr:to>
    <xdr:pic>
      <xdr:nvPicPr>
        <xdr:cNvPr id="157" name="Imagem 12" descr=""/>
        <xdr:cNvPicPr/>
      </xdr:nvPicPr>
      <xdr:blipFill>
        <a:blip r:embed="rId10"/>
        <a:stretch/>
      </xdr:blipFill>
      <xdr:spPr>
        <a:xfrm>
          <a:off x="6761520" y="552240"/>
          <a:ext cx="30708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3</xdr:row>
      <xdr:rowOff>19800</xdr:rowOff>
    </xdr:from>
    <xdr:to>
      <xdr:col>11</xdr:col>
      <xdr:colOff>471960</xdr:colOff>
      <xdr:row>3</xdr:row>
      <xdr:rowOff>231840</xdr:rowOff>
    </xdr:to>
    <xdr:pic>
      <xdr:nvPicPr>
        <xdr:cNvPr id="158" name="Imagem 13" descr=""/>
        <xdr:cNvPicPr/>
      </xdr:nvPicPr>
      <xdr:blipFill>
        <a:blip r:embed="rId11"/>
        <a:stretch/>
      </xdr:blipFill>
      <xdr:spPr>
        <a:xfrm>
          <a:off x="6749640" y="77220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57960</xdr:rowOff>
    </xdr:from>
    <xdr:to>
      <xdr:col>11</xdr:col>
      <xdr:colOff>500760</xdr:colOff>
      <xdr:row>4</xdr:row>
      <xdr:rowOff>181440</xdr:rowOff>
    </xdr:to>
    <xdr:pic>
      <xdr:nvPicPr>
        <xdr:cNvPr id="159" name="Imagem 14" descr=""/>
        <xdr:cNvPicPr/>
      </xdr:nvPicPr>
      <xdr:blipFill>
        <a:blip r:embed="rId12"/>
        <a:stretch/>
      </xdr:blipFill>
      <xdr:spPr>
        <a:xfrm>
          <a:off x="6761520" y="105804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200160</xdr:colOff>
      <xdr:row>5</xdr:row>
      <xdr:rowOff>48240</xdr:rowOff>
    </xdr:from>
    <xdr:to>
      <xdr:col>11</xdr:col>
      <xdr:colOff>487440</xdr:colOff>
      <xdr:row>5</xdr:row>
      <xdr:rowOff>184680</xdr:rowOff>
    </xdr:to>
    <xdr:pic>
      <xdr:nvPicPr>
        <xdr:cNvPr id="160" name="Imagem 15" descr=""/>
        <xdr:cNvPicPr/>
      </xdr:nvPicPr>
      <xdr:blipFill>
        <a:blip r:embed="rId13"/>
        <a:stretch/>
      </xdr:blipFill>
      <xdr:spPr>
        <a:xfrm>
          <a:off x="6799680" y="129600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177120</xdr:colOff>
      <xdr:row>7</xdr:row>
      <xdr:rowOff>86400</xdr:rowOff>
    </xdr:from>
    <xdr:to>
      <xdr:col>11</xdr:col>
      <xdr:colOff>437400</xdr:colOff>
      <xdr:row>7</xdr:row>
      <xdr:rowOff>274680</xdr:rowOff>
    </xdr:to>
    <xdr:pic>
      <xdr:nvPicPr>
        <xdr:cNvPr id="161" name="Imagem 16" descr=""/>
        <xdr:cNvPicPr/>
      </xdr:nvPicPr>
      <xdr:blipFill>
        <a:blip r:embed="rId14"/>
        <a:stretch/>
      </xdr:blipFill>
      <xdr:spPr>
        <a:xfrm>
          <a:off x="6776640" y="196272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144000</xdr:colOff>
      <xdr:row>8</xdr:row>
      <xdr:rowOff>84960</xdr:rowOff>
    </xdr:from>
    <xdr:to>
      <xdr:col>11</xdr:col>
      <xdr:colOff>412560</xdr:colOff>
      <xdr:row>8</xdr:row>
      <xdr:rowOff>293760</xdr:rowOff>
    </xdr:to>
    <xdr:pic>
      <xdr:nvPicPr>
        <xdr:cNvPr id="162" name="Imagem 17" descr=""/>
        <xdr:cNvPicPr/>
      </xdr:nvPicPr>
      <xdr:blipFill>
        <a:blip r:embed="rId15"/>
        <a:stretch/>
      </xdr:blipFill>
      <xdr:spPr>
        <a:xfrm>
          <a:off x="6743520" y="226620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213120</xdr:colOff>
      <xdr:row>9</xdr:row>
      <xdr:rowOff>73440</xdr:rowOff>
    </xdr:from>
    <xdr:to>
      <xdr:col>11</xdr:col>
      <xdr:colOff>442440</xdr:colOff>
      <xdr:row>9</xdr:row>
      <xdr:rowOff>258120</xdr:rowOff>
    </xdr:to>
    <xdr:pic>
      <xdr:nvPicPr>
        <xdr:cNvPr id="163" name="Imagem 18" descr=""/>
        <xdr:cNvPicPr/>
      </xdr:nvPicPr>
      <xdr:blipFill>
        <a:blip r:embed="rId16"/>
        <a:stretch/>
      </xdr:blipFill>
      <xdr:spPr>
        <a:xfrm>
          <a:off x="6812640" y="258804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191880</xdr:colOff>
      <xdr:row>10</xdr:row>
      <xdr:rowOff>37440</xdr:rowOff>
    </xdr:from>
    <xdr:to>
      <xdr:col>11</xdr:col>
      <xdr:colOff>468360</xdr:colOff>
      <xdr:row>10</xdr:row>
      <xdr:rowOff>285480</xdr:rowOff>
    </xdr:to>
    <xdr:pic>
      <xdr:nvPicPr>
        <xdr:cNvPr id="164" name="Imagem 19" descr=""/>
        <xdr:cNvPicPr/>
      </xdr:nvPicPr>
      <xdr:blipFill>
        <a:blip r:embed="rId17"/>
        <a:stretch/>
      </xdr:blipFill>
      <xdr:spPr>
        <a:xfrm>
          <a:off x="679140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14</xdr:row>
      <xdr:rowOff>20880</xdr:rowOff>
    </xdr:from>
    <xdr:to>
      <xdr:col>1</xdr:col>
      <xdr:colOff>513720</xdr:colOff>
      <xdr:row>14</xdr:row>
      <xdr:rowOff>281520</xdr:rowOff>
    </xdr:to>
    <xdr:pic>
      <xdr:nvPicPr>
        <xdr:cNvPr id="165" name="Imagem 21" descr=""/>
        <xdr:cNvPicPr/>
      </xdr:nvPicPr>
      <xdr:blipFill>
        <a:blip r:embed="rId18"/>
        <a:stretch/>
      </xdr:blipFill>
      <xdr:spPr>
        <a:xfrm>
          <a:off x="887760" y="4154760"/>
          <a:ext cx="370800" cy="26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6</xdr:row>
      <xdr:rowOff>30240</xdr:rowOff>
    </xdr:from>
    <xdr:to>
      <xdr:col>11</xdr:col>
      <xdr:colOff>475560</xdr:colOff>
      <xdr:row>6</xdr:row>
      <xdr:rowOff>290880</xdr:rowOff>
    </xdr:to>
    <xdr:pic>
      <xdr:nvPicPr>
        <xdr:cNvPr id="166" name="Imagem 22" descr=""/>
        <xdr:cNvPicPr/>
      </xdr:nvPicPr>
      <xdr:blipFill>
        <a:blip r:embed="rId19"/>
        <a:stretch/>
      </xdr:blipFill>
      <xdr:spPr>
        <a:xfrm>
          <a:off x="6704280" y="1563840"/>
          <a:ext cx="370800" cy="26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190440</xdr:colOff>
      <xdr:row>3</xdr:row>
      <xdr:rowOff>209520</xdr:rowOff>
    </xdr:from>
    <xdr:to>
      <xdr:col>9</xdr:col>
      <xdr:colOff>484920</xdr:colOff>
      <xdr:row>10</xdr:row>
      <xdr:rowOff>40320</xdr:rowOff>
    </xdr:to>
    <xdr:pic>
      <xdr:nvPicPr>
        <xdr:cNvPr id="167" name="Imagem 23" descr="">
          <a:hlinkClick r:id="rId20"/>
        </xdr:cNvPr>
        <xdr:cNvPicPr/>
      </xdr:nvPicPr>
      <xdr:blipFill>
        <a:blip r:embed="rId21"/>
        <a:stretch/>
      </xdr:blipFill>
      <xdr:spPr>
        <a:xfrm>
          <a:off x="3870360" y="961920"/>
          <a:ext cx="1824840" cy="191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12</xdr:row>
      <xdr:rowOff>75240</xdr:rowOff>
    </xdr:from>
    <xdr:to>
      <xdr:col>1</xdr:col>
      <xdr:colOff>237600</xdr:colOff>
      <xdr:row>12</xdr:row>
      <xdr:rowOff>256320</xdr:rowOff>
    </xdr:to>
    <xdr:pic>
      <xdr:nvPicPr>
        <xdr:cNvPr id="168" name="Imagem 1" descr=""/>
        <xdr:cNvPicPr/>
      </xdr:nvPicPr>
      <xdr:blipFill>
        <a:blip r:embed="rId1"/>
        <a:stretch/>
      </xdr:blipFill>
      <xdr:spPr>
        <a:xfrm>
          <a:off x="821160" y="356148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16</xdr:row>
      <xdr:rowOff>68400</xdr:rowOff>
    </xdr:from>
    <xdr:to>
      <xdr:col>1</xdr:col>
      <xdr:colOff>561240</xdr:colOff>
      <xdr:row>16</xdr:row>
      <xdr:rowOff>209520</xdr:rowOff>
    </xdr:to>
    <xdr:pic>
      <xdr:nvPicPr>
        <xdr:cNvPr id="169" name="Imagem 2" descr=""/>
        <xdr:cNvPicPr/>
      </xdr:nvPicPr>
      <xdr:blipFill>
        <a:blip r:embed="rId2"/>
        <a:stretch/>
      </xdr:blipFill>
      <xdr:spPr>
        <a:xfrm>
          <a:off x="837720" y="4849920"/>
          <a:ext cx="468360" cy="14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14</xdr:row>
      <xdr:rowOff>80640</xdr:rowOff>
    </xdr:from>
    <xdr:to>
      <xdr:col>1</xdr:col>
      <xdr:colOff>494640</xdr:colOff>
      <xdr:row>14</xdr:row>
      <xdr:rowOff>216720</xdr:rowOff>
    </xdr:to>
    <xdr:pic>
      <xdr:nvPicPr>
        <xdr:cNvPr id="170" name="Imagem 3" descr=""/>
        <xdr:cNvPicPr/>
      </xdr:nvPicPr>
      <xdr:blipFill>
        <a:blip r:embed="rId3"/>
        <a:stretch/>
      </xdr:blipFill>
      <xdr:spPr>
        <a:xfrm>
          <a:off x="787680" y="421452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30960</xdr:colOff>
      <xdr:row>10</xdr:row>
      <xdr:rowOff>106920</xdr:rowOff>
    </xdr:from>
    <xdr:to>
      <xdr:col>1</xdr:col>
      <xdr:colOff>523080</xdr:colOff>
      <xdr:row>10</xdr:row>
      <xdr:rowOff>249120</xdr:rowOff>
    </xdr:to>
    <xdr:pic>
      <xdr:nvPicPr>
        <xdr:cNvPr id="171" name="Imagem 4" descr=""/>
        <xdr:cNvPicPr/>
      </xdr:nvPicPr>
      <xdr:blipFill>
        <a:blip r:embed="rId4"/>
        <a:stretch/>
      </xdr:blipFill>
      <xdr:spPr>
        <a:xfrm>
          <a:off x="775800" y="294552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50400</xdr:rowOff>
    </xdr:from>
    <xdr:to>
      <xdr:col>1</xdr:col>
      <xdr:colOff>313560</xdr:colOff>
      <xdr:row>18</xdr:row>
      <xdr:rowOff>218160</xdr:rowOff>
    </xdr:to>
    <xdr:pic>
      <xdr:nvPicPr>
        <xdr:cNvPr id="172" name="Imagem 5" descr=""/>
        <xdr:cNvPicPr/>
      </xdr:nvPicPr>
      <xdr:blipFill>
        <a:blip r:embed="rId5"/>
        <a:stretch/>
      </xdr:blipFill>
      <xdr:spPr>
        <a:xfrm>
          <a:off x="849600" y="547956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95040</xdr:colOff>
      <xdr:row>19</xdr:row>
      <xdr:rowOff>69480</xdr:rowOff>
    </xdr:from>
    <xdr:to>
      <xdr:col>1</xdr:col>
      <xdr:colOff>303840</xdr:colOff>
      <xdr:row>19</xdr:row>
      <xdr:rowOff>237240</xdr:rowOff>
    </xdr:to>
    <xdr:pic>
      <xdr:nvPicPr>
        <xdr:cNvPr id="173" name="Imagem 7" descr=""/>
        <xdr:cNvPicPr/>
      </xdr:nvPicPr>
      <xdr:blipFill>
        <a:blip r:embed="rId6"/>
        <a:stretch/>
      </xdr:blipFill>
      <xdr:spPr>
        <a:xfrm>
          <a:off x="839880" y="578448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13</xdr:row>
      <xdr:rowOff>84600</xdr:rowOff>
    </xdr:from>
    <xdr:to>
      <xdr:col>1</xdr:col>
      <xdr:colOff>256680</xdr:colOff>
      <xdr:row>13</xdr:row>
      <xdr:rowOff>265680</xdr:rowOff>
    </xdr:to>
    <xdr:pic>
      <xdr:nvPicPr>
        <xdr:cNvPr id="174" name="Imagem 8" descr=""/>
        <xdr:cNvPicPr/>
      </xdr:nvPicPr>
      <xdr:blipFill>
        <a:blip r:embed="rId7"/>
        <a:stretch/>
      </xdr:blipFill>
      <xdr:spPr>
        <a:xfrm>
          <a:off x="840240" y="389448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40320</xdr:colOff>
      <xdr:row>11</xdr:row>
      <xdr:rowOff>97560</xdr:rowOff>
    </xdr:from>
    <xdr:to>
      <xdr:col>1</xdr:col>
      <xdr:colOff>532440</xdr:colOff>
      <xdr:row>11</xdr:row>
      <xdr:rowOff>239760</xdr:rowOff>
    </xdr:to>
    <xdr:pic>
      <xdr:nvPicPr>
        <xdr:cNvPr id="175" name="Imagem 9" descr=""/>
        <xdr:cNvPicPr/>
      </xdr:nvPicPr>
      <xdr:blipFill>
        <a:blip r:embed="rId8"/>
        <a:stretch/>
      </xdr:blipFill>
      <xdr:spPr>
        <a:xfrm>
          <a:off x="785160" y="325980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15</xdr:row>
      <xdr:rowOff>99720</xdr:rowOff>
    </xdr:from>
    <xdr:to>
      <xdr:col>1</xdr:col>
      <xdr:colOff>504000</xdr:colOff>
      <xdr:row>15</xdr:row>
      <xdr:rowOff>235800</xdr:rowOff>
    </xdr:to>
    <xdr:pic>
      <xdr:nvPicPr>
        <xdr:cNvPr id="176" name="Imagem 10" descr=""/>
        <xdr:cNvPicPr/>
      </xdr:nvPicPr>
      <xdr:blipFill>
        <a:blip r:embed="rId9"/>
        <a:stretch/>
      </xdr:blipFill>
      <xdr:spPr>
        <a:xfrm>
          <a:off x="797040" y="455760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3</xdr:row>
      <xdr:rowOff>27720</xdr:rowOff>
    </xdr:from>
    <xdr:to>
      <xdr:col>11</xdr:col>
      <xdr:colOff>323280</xdr:colOff>
      <xdr:row>3</xdr:row>
      <xdr:rowOff>208800</xdr:rowOff>
    </xdr:to>
    <xdr:pic>
      <xdr:nvPicPr>
        <xdr:cNvPr id="177" name="Imagem 11" descr=""/>
        <xdr:cNvPicPr/>
      </xdr:nvPicPr>
      <xdr:blipFill>
        <a:blip r:embed="rId10"/>
        <a:stretch/>
      </xdr:blipFill>
      <xdr:spPr>
        <a:xfrm>
          <a:off x="6761520" y="78012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5</xdr:row>
      <xdr:rowOff>59040</xdr:rowOff>
    </xdr:from>
    <xdr:to>
      <xdr:col>11</xdr:col>
      <xdr:colOff>542160</xdr:colOff>
      <xdr:row>5</xdr:row>
      <xdr:rowOff>200160</xdr:rowOff>
    </xdr:to>
    <xdr:pic>
      <xdr:nvPicPr>
        <xdr:cNvPr id="178" name="Imagem 12" descr=""/>
        <xdr:cNvPicPr/>
      </xdr:nvPicPr>
      <xdr:blipFill>
        <a:blip r:embed="rId11"/>
        <a:stretch/>
      </xdr:blipFill>
      <xdr:spPr>
        <a:xfrm>
          <a:off x="6673320" y="1306800"/>
          <a:ext cx="468360" cy="14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71280</xdr:colOff>
      <xdr:row>4</xdr:row>
      <xdr:rowOff>42480</xdr:rowOff>
    </xdr:from>
    <xdr:to>
      <xdr:col>11</xdr:col>
      <xdr:colOff>523080</xdr:colOff>
      <xdr:row>4</xdr:row>
      <xdr:rowOff>178560</xdr:rowOff>
    </xdr:to>
    <xdr:pic>
      <xdr:nvPicPr>
        <xdr:cNvPr id="179" name="Imagem 13" descr=""/>
        <xdr:cNvPicPr/>
      </xdr:nvPicPr>
      <xdr:blipFill>
        <a:blip r:embed="rId12"/>
        <a:stretch/>
      </xdr:blipFill>
      <xdr:spPr>
        <a:xfrm>
          <a:off x="6670800" y="104256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2</xdr:row>
      <xdr:rowOff>30960</xdr:rowOff>
    </xdr:from>
    <xdr:to>
      <xdr:col>11</xdr:col>
      <xdr:colOff>542160</xdr:colOff>
      <xdr:row>2</xdr:row>
      <xdr:rowOff>173160</xdr:rowOff>
    </xdr:to>
    <xdr:pic>
      <xdr:nvPicPr>
        <xdr:cNvPr id="180" name="Imagem 14" descr=""/>
        <xdr:cNvPicPr/>
      </xdr:nvPicPr>
      <xdr:blipFill>
        <a:blip r:embed="rId13"/>
        <a:stretch/>
      </xdr:blipFill>
      <xdr:spPr>
        <a:xfrm>
          <a:off x="6649560" y="53568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190440</xdr:colOff>
      <xdr:row>7</xdr:row>
      <xdr:rowOff>41040</xdr:rowOff>
    </xdr:from>
    <xdr:to>
      <xdr:col>11</xdr:col>
      <xdr:colOff>399240</xdr:colOff>
      <xdr:row>7</xdr:row>
      <xdr:rowOff>208800</xdr:rowOff>
    </xdr:to>
    <xdr:pic>
      <xdr:nvPicPr>
        <xdr:cNvPr id="181" name="Imagem 15" descr=""/>
        <xdr:cNvPicPr/>
      </xdr:nvPicPr>
      <xdr:blipFill>
        <a:blip r:embed="rId14"/>
        <a:stretch/>
      </xdr:blipFill>
      <xdr:spPr>
        <a:xfrm>
          <a:off x="6789960" y="191736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47520</xdr:colOff>
      <xdr:row>5</xdr:row>
      <xdr:rowOff>0</xdr:rowOff>
    </xdr:from>
    <xdr:to>
      <xdr:col>9</xdr:col>
      <xdr:colOff>246960</xdr:colOff>
      <xdr:row>8</xdr:row>
      <xdr:rowOff>332640</xdr:rowOff>
    </xdr:to>
    <xdr:pic>
      <xdr:nvPicPr>
        <xdr:cNvPr id="182" name="Imagem 17" descr="">
          <a:hlinkClick r:id="rId15"/>
        </xdr:cNvPr>
        <xdr:cNvPicPr/>
      </xdr:nvPicPr>
      <xdr:blipFill>
        <a:blip r:embed="rId16"/>
        <a:stretch/>
      </xdr:blipFill>
      <xdr:spPr>
        <a:xfrm>
          <a:off x="4129920" y="1247760"/>
          <a:ext cx="1327320" cy="1266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12</xdr:row>
      <xdr:rowOff>75240</xdr:rowOff>
    </xdr:from>
    <xdr:to>
      <xdr:col>1</xdr:col>
      <xdr:colOff>237600</xdr:colOff>
      <xdr:row>12</xdr:row>
      <xdr:rowOff>256320</xdr:rowOff>
    </xdr:to>
    <xdr:pic>
      <xdr:nvPicPr>
        <xdr:cNvPr id="183" name="Imagem 10" descr=""/>
        <xdr:cNvPicPr/>
      </xdr:nvPicPr>
      <xdr:blipFill>
        <a:blip r:embed="rId1"/>
        <a:stretch/>
      </xdr:blipFill>
      <xdr:spPr>
        <a:xfrm>
          <a:off x="821160" y="356148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16</xdr:row>
      <xdr:rowOff>68400</xdr:rowOff>
    </xdr:from>
    <xdr:to>
      <xdr:col>1</xdr:col>
      <xdr:colOff>561240</xdr:colOff>
      <xdr:row>16</xdr:row>
      <xdr:rowOff>209520</xdr:rowOff>
    </xdr:to>
    <xdr:pic>
      <xdr:nvPicPr>
        <xdr:cNvPr id="184" name="Imagem 11" descr=""/>
        <xdr:cNvPicPr/>
      </xdr:nvPicPr>
      <xdr:blipFill>
        <a:blip r:embed="rId2"/>
        <a:stretch/>
      </xdr:blipFill>
      <xdr:spPr>
        <a:xfrm>
          <a:off x="837720" y="4849920"/>
          <a:ext cx="468360" cy="14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14</xdr:row>
      <xdr:rowOff>80640</xdr:rowOff>
    </xdr:from>
    <xdr:to>
      <xdr:col>1</xdr:col>
      <xdr:colOff>494640</xdr:colOff>
      <xdr:row>14</xdr:row>
      <xdr:rowOff>216720</xdr:rowOff>
    </xdr:to>
    <xdr:pic>
      <xdr:nvPicPr>
        <xdr:cNvPr id="185" name="Imagem 12" descr=""/>
        <xdr:cNvPicPr/>
      </xdr:nvPicPr>
      <xdr:blipFill>
        <a:blip r:embed="rId3"/>
        <a:stretch/>
      </xdr:blipFill>
      <xdr:spPr>
        <a:xfrm>
          <a:off x="787680" y="421452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30960</xdr:colOff>
      <xdr:row>10</xdr:row>
      <xdr:rowOff>106920</xdr:rowOff>
    </xdr:from>
    <xdr:to>
      <xdr:col>1</xdr:col>
      <xdr:colOff>523080</xdr:colOff>
      <xdr:row>10</xdr:row>
      <xdr:rowOff>249120</xdr:rowOff>
    </xdr:to>
    <xdr:pic>
      <xdr:nvPicPr>
        <xdr:cNvPr id="186" name="Imagem 13" descr=""/>
        <xdr:cNvPicPr/>
      </xdr:nvPicPr>
      <xdr:blipFill>
        <a:blip r:embed="rId4"/>
        <a:stretch/>
      </xdr:blipFill>
      <xdr:spPr>
        <a:xfrm>
          <a:off x="775800" y="294552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50400</xdr:rowOff>
    </xdr:from>
    <xdr:to>
      <xdr:col>1</xdr:col>
      <xdr:colOff>313560</xdr:colOff>
      <xdr:row>18</xdr:row>
      <xdr:rowOff>218160</xdr:rowOff>
    </xdr:to>
    <xdr:pic>
      <xdr:nvPicPr>
        <xdr:cNvPr id="187" name="Imagem 14" descr=""/>
        <xdr:cNvPicPr/>
      </xdr:nvPicPr>
      <xdr:blipFill>
        <a:blip r:embed="rId5"/>
        <a:stretch/>
      </xdr:blipFill>
      <xdr:spPr>
        <a:xfrm>
          <a:off x="849600" y="547956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17</xdr:row>
      <xdr:rowOff>142920</xdr:rowOff>
    </xdr:from>
    <xdr:to>
      <xdr:col>2</xdr:col>
      <xdr:colOff>128160</xdr:colOff>
      <xdr:row>17</xdr:row>
      <xdr:rowOff>235080</xdr:rowOff>
    </xdr:to>
    <xdr:pic>
      <xdr:nvPicPr>
        <xdr:cNvPr id="188" name="Imagem 15" descr=""/>
        <xdr:cNvPicPr/>
      </xdr:nvPicPr>
      <xdr:blipFill>
        <a:blip r:embed="rId6"/>
        <a:stretch/>
      </xdr:blipFill>
      <xdr:spPr>
        <a:xfrm>
          <a:off x="780480" y="5248440"/>
          <a:ext cx="704160" cy="9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95040</xdr:colOff>
      <xdr:row>19</xdr:row>
      <xdr:rowOff>69480</xdr:rowOff>
    </xdr:from>
    <xdr:to>
      <xdr:col>1</xdr:col>
      <xdr:colOff>303840</xdr:colOff>
      <xdr:row>19</xdr:row>
      <xdr:rowOff>237240</xdr:rowOff>
    </xdr:to>
    <xdr:pic>
      <xdr:nvPicPr>
        <xdr:cNvPr id="189" name="Imagem 16" descr=""/>
        <xdr:cNvPicPr/>
      </xdr:nvPicPr>
      <xdr:blipFill>
        <a:blip r:embed="rId7"/>
        <a:stretch/>
      </xdr:blipFill>
      <xdr:spPr>
        <a:xfrm>
          <a:off x="839880" y="578448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13</xdr:row>
      <xdr:rowOff>84600</xdr:rowOff>
    </xdr:from>
    <xdr:to>
      <xdr:col>1</xdr:col>
      <xdr:colOff>256680</xdr:colOff>
      <xdr:row>13</xdr:row>
      <xdr:rowOff>265680</xdr:rowOff>
    </xdr:to>
    <xdr:pic>
      <xdr:nvPicPr>
        <xdr:cNvPr id="190" name="Imagem 17" descr=""/>
        <xdr:cNvPicPr/>
      </xdr:nvPicPr>
      <xdr:blipFill>
        <a:blip r:embed="rId8"/>
        <a:stretch/>
      </xdr:blipFill>
      <xdr:spPr>
        <a:xfrm>
          <a:off x="840240" y="389448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40320</xdr:colOff>
      <xdr:row>11</xdr:row>
      <xdr:rowOff>97560</xdr:rowOff>
    </xdr:from>
    <xdr:to>
      <xdr:col>1</xdr:col>
      <xdr:colOff>532440</xdr:colOff>
      <xdr:row>11</xdr:row>
      <xdr:rowOff>239760</xdr:rowOff>
    </xdr:to>
    <xdr:pic>
      <xdr:nvPicPr>
        <xdr:cNvPr id="191" name="Imagem 18" descr=""/>
        <xdr:cNvPicPr/>
      </xdr:nvPicPr>
      <xdr:blipFill>
        <a:blip r:embed="rId9"/>
        <a:stretch/>
      </xdr:blipFill>
      <xdr:spPr>
        <a:xfrm>
          <a:off x="785160" y="325980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15</xdr:row>
      <xdr:rowOff>99720</xdr:rowOff>
    </xdr:from>
    <xdr:to>
      <xdr:col>1</xdr:col>
      <xdr:colOff>504000</xdr:colOff>
      <xdr:row>15</xdr:row>
      <xdr:rowOff>235800</xdr:rowOff>
    </xdr:to>
    <xdr:pic>
      <xdr:nvPicPr>
        <xdr:cNvPr id="192" name="Imagem 19" descr=""/>
        <xdr:cNvPicPr/>
      </xdr:nvPicPr>
      <xdr:blipFill>
        <a:blip r:embed="rId10"/>
        <a:stretch/>
      </xdr:blipFill>
      <xdr:spPr>
        <a:xfrm>
          <a:off x="797040" y="455760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3</xdr:row>
      <xdr:rowOff>27720</xdr:rowOff>
    </xdr:from>
    <xdr:to>
      <xdr:col>11</xdr:col>
      <xdr:colOff>323280</xdr:colOff>
      <xdr:row>3</xdr:row>
      <xdr:rowOff>208800</xdr:rowOff>
    </xdr:to>
    <xdr:pic>
      <xdr:nvPicPr>
        <xdr:cNvPr id="193" name="Imagem 20" descr=""/>
        <xdr:cNvPicPr/>
      </xdr:nvPicPr>
      <xdr:blipFill>
        <a:blip r:embed="rId11"/>
        <a:stretch/>
      </xdr:blipFill>
      <xdr:spPr>
        <a:xfrm>
          <a:off x="6761520" y="780120"/>
          <a:ext cx="161280" cy="18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5</xdr:row>
      <xdr:rowOff>59040</xdr:rowOff>
    </xdr:from>
    <xdr:to>
      <xdr:col>11</xdr:col>
      <xdr:colOff>542160</xdr:colOff>
      <xdr:row>5</xdr:row>
      <xdr:rowOff>200160</xdr:rowOff>
    </xdr:to>
    <xdr:pic>
      <xdr:nvPicPr>
        <xdr:cNvPr id="194" name="Imagem 21" descr=""/>
        <xdr:cNvPicPr/>
      </xdr:nvPicPr>
      <xdr:blipFill>
        <a:blip r:embed="rId12"/>
        <a:stretch/>
      </xdr:blipFill>
      <xdr:spPr>
        <a:xfrm>
          <a:off x="6673320" y="1306800"/>
          <a:ext cx="468360" cy="14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71280</xdr:colOff>
      <xdr:row>4</xdr:row>
      <xdr:rowOff>42480</xdr:rowOff>
    </xdr:from>
    <xdr:to>
      <xdr:col>11</xdr:col>
      <xdr:colOff>523080</xdr:colOff>
      <xdr:row>4</xdr:row>
      <xdr:rowOff>178560</xdr:rowOff>
    </xdr:to>
    <xdr:pic>
      <xdr:nvPicPr>
        <xdr:cNvPr id="195" name="Imagem 22" descr=""/>
        <xdr:cNvPicPr/>
      </xdr:nvPicPr>
      <xdr:blipFill>
        <a:blip r:embed="rId13"/>
        <a:stretch/>
      </xdr:blipFill>
      <xdr:spPr>
        <a:xfrm>
          <a:off x="6670800" y="1042560"/>
          <a:ext cx="451800" cy="13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2</xdr:row>
      <xdr:rowOff>30960</xdr:rowOff>
    </xdr:from>
    <xdr:to>
      <xdr:col>11</xdr:col>
      <xdr:colOff>542160</xdr:colOff>
      <xdr:row>2</xdr:row>
      <xdr:rowOff>173160</xdr:rowOff>
    </xdr:to>
    <xdr:pic>
      <xdr:nvPicPr>
        <xdr:cNvPr id="196" name="Imagem 23" descr=""/>
        <xdr:cNvPicPr/>
      </xdr:nvPicPr>
      <xdr:blipFill>
        <a:blip r:embed="rId14"/>
        <a:stretch/>
      </xdr:blipFill>
      <xdr:spPr>
        <a:xfrm>
          <a:off x="6649560" y="535680"/>
          <a:ext cx="492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190440</xdr:colOff>
      <xdr:row>7</xdr:row>
      <xdr:rowOff>41040</xdr:rowOff>
    </xdr:from>
    <xdr:to>
      <xdr:col>11</xdr:col>
      <xdr:colOff>399240</xdr:colOff>
      <xdr:row>7</xdr:row>
      <xdr:rowOff>208800</xdr:rowOff>
    </xdr:to>
    <xdr:pic>
      <xdr:nvPicPr>
        <xdr:cNvPr id="197" name="Imagem 24" descr=""/>
        <xdr:cNvPicPr/>
      </xdr:nvPicPr>
      <xdr:blipFill>
        <a:blip r:embed="rId15"/>
        <a:stretch/>
      </xdr:blipFill>
      <xdr:spPr>
        <a:xfrm>
          <a:off x="6789960" y="1917360"/>
          <a:ext cx="208800" cy="16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65520</xdr:colOff>
      <xdr:row>6</xdr:row>
      <xdr:rowOff>85680</xdr:rowOff>
    </xdr:from>
    <xdr:to>
      <xdr:col>11</xdr:col>
      <xdr:colOff>551160</xdr:colOff>
      <xdr:row>6</xdr:row>
      <xdr:rowOff>149040</xdr:rowOff>
    </xdr:to>
    <xdr:pic>
      <xdr:nvPicPr>
        <xdr:cNvPr id="198" name="Imagem 25" descr=""/>
        <xdr:cNvPicPr/>
      </xdr:nvPicPr>
      <xdr:blipFill>
        <a:blip r:embed="rId16"/>
        <a:stretch/>
      </xdr:blipFill>
      <xdr:spPr>
        <a:xfrm>
          <a:off x="6665040" y="1619280"/>
          <a:ext cx="485640" cy="6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419040</xdr:colOff>
      <xdr:row>5</xdr:row>
      <xdr:rowOff>47520</xdr:rowOff>
    </xdr:from>
    <xdr:to>
      <xdr:col>8</xdr:col>
      <xdr:colOff>289080</xdr:colOff>
      <xdr:row>8</xdr:row>
      <xdr:rowOff>284760</xdr:rowOff>
    </xdr:to>
    <xdr:pic>
      <xdr:nvPicPr>
        <xdr:cNvPr id="199" name="Imagem 27" descr="">
          <a:hlinkClick r:id="rId17"/>
        </xdr:cNvPr>
        <xdr:cNvPicPr/>
      </xdr:nvPicPr>
      <xdr:blipFill>
        <a:blip r:embed="rId18"/>
        <a:stretch/>
      </xdr:blipFill>
      <xdr:spPr>
        <a:xfrm>
          <a:off x="4501440" y="1295280"/>
          <a:ext cx="454320" cy="1170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14</xdr:row>
      <xdr:rowOff>69120</xdr:rowOff>
    </xdr:from>
    <xdr:to>
      <xdr:col>1</xdr:col>
      <xdr:colOff>484920</xdr:colOff>
      <xdr:row>14</xdr:row>
      <xdr:rowOff>196920</xdr:rowOff>
    </xdr:to>
    <xdr:pic>
      <xdr:nvPicPr>
        <xdr:cNvPr id="200" name="Imagem 2" descr=""/>
        <xdr:cNvPicPr/>
      </xdr:nvPicPr>
      <xdr:blipFill>
        <a:blip r:embed="rId1"/>
        <a:stretch/>
      </xdr:blipFill>
      <xdr:spPr>
        <a:xfrm>
          <a:off x="897120" y="4203000"/>
          <a:ext cx="332640" cy="1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12</xdr:row>
      <xdr:rowOff>104760</xdr:rowOff>
    </xdr:from>
    <xdr:to>
      <xdr:col>1</xdr:col>
      <xdr:colOff>514440</xdr:colOff>
      <xdr:row>12</xdr:row>
      <xdr:rowOff>269280</xdr:rowOff>
    </xdr:to>
    <xdr:pic>
      <xdr:nvPicPr>
        <xdr:cNvPr id="201" name="Imagem 3" descr=""/>
        <xdr:cNvPicPr/>
      </xdr:nvPicPr>
      <xdr:blipFill>
        <a:blip r:embed="rId2"/>
        <a:stretch/>
      </xdr:blipFill>
      <xdr:spPr>
        <a:xfrm>
          <a:off x="856800" y="3591000"/>
          <a:ext cx="402480" cy="16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166680</xdr:colOff>
      <xdr:row>10</xdr:row>
      <xdr:rowOff>51120</xdr:rowOff>
    </xdr:from>
    <xdr:to>
      <xdr:col>1</xdr:col>
      <xdr:colOff>380160</xdr:colOff>
      <xdr:row>10</xdr:row>
      <xdr:rowOff>318240</xdr:rowOff>
    </xdr:to>
    <xdr:pic>
      <xdr:nvPicPr>
        <xdr:cNvPr id="202" name="Imagem 4" descr=""/>
        <xdr:cNvPicPr/>
      </xdr:nvPicPr>
      <xdr:blipFill>
        <a:blip r:embed="rId3"/>
        <a:stretch/>
      </xdr:blipFill>
      <xdr:spPr>
        <a:xfrm>
          <a:off x="911520" y="2889720"/>
          <a:ext cx="213480" cy="26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11</xdr:row>
      <xdr:rowOff>60480</xdr:rowOff>
    </xdr:from>
    <xdr:to>
      <xdr:col>1</xdr:col>
      <xdr:colOff>361080</xdr:colOff>
      <xdr:row>12</xdr:row>
      <xdr:rowOff>3960</xdr:rowOff>
    </xdr:to>
    <xdr:pic>
      <xdr:nvPicPr>
        <xdr:cNvPr id="203" name="Imagem 6" descr=""/>
        <xdr:cNvPicPr/>
      </xdr:nvPicPr>
      <xdr:blipFill>
        <a:blip r:embed="rId4"/>
        <a:stretch/>
      </xdr:blipFill>
      <xdr:spPr>
        <a:xfrm>
          <a:off x="892440" y="3222720"/>
          <a:ext cx="213480" cy="26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13</xdr:row>
      <xdr:rowOff>85680</xdr:rowOff>
    </xdr:from>
    <xdr:to>
      <xdr:col>1</xdr:col>
      <xdr:colOff>514440</xdr:colOff>
      <xdr:row>13</xdr:row>
      <xdr:rowOff>250200</xdr:rowOff>
    </xdr:to>
    <xdr:pic>
      <xdr:nvPicPr>
        <xdr:cNvPr id="204" name="Imagem 7" descr=""/>
        <xdr:cNvPicPr/>
      </xdr:nvPicPr>
      <xdr:blipFill>
        <a:blip r:embed="rId5"/>
        <a:stretch/>
      </xdr:blipFill>
      <xdr:spPr>
        <a:xfrm>
          <a:off x="856800" y="3895560"/>
          <a:ext cx="402480" cy="16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78480</xdr:rowOff>
    </xdr:from>
    <xdr:to>
      <xdr:col>11</xdr:col>
      <xdr:colOff>399600</xdr:colOff>
      <xdr:row>4</xdr:row>
      <xdr:rowOff>169920</xdr:rowOff>
    </xdr:to>
    <xdr:pic>
      <xdr:nvPicPr>
        <xdr:cNvPr id="205" name="Imagem 8" descr=""/>
        <xdr:cNvPicPr/>
      </xdr:nvPicPr>
      <xdr:blipFill>
        <a:blip r:embed="rId6"/>
        <a:stretch/>
      </xdr:blipFill>
      <xdr:spPr>
        <a:xfrm>
          <a:off x="6761520" y="1078560"/>
          <a:ext cx="237600" cy="9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3</xdr:row>
      <xdr:rowOff>57240</xdr:rowOff>
    </xdr:from>
    <xdr:to>
      <xdr:col>11</xdr:col>
      <xdr:colOff>408600</xdr:colOff>
      <xdr:row>3</xdr:row>
      <xdr:rowOff>174600</xdr:rowOff>
    </xdr:to>
    <xdr:pic>
      <xdr:nvPicPr>
        <xdr:cNvPr id="206" name="Imagem 9" descr=""/>
        <xdr:cNvPicPr/>
      </xdr:nvPicPr>
      <xdr:blipFill>
        <a:blip r:embed="rId7"/>
        <a:stretch/>
      </xdr:blipFill>
      <xdr:spPr>
        <a:xfrm>
          <a:off x="6720840" y="809640"/>
          <a:ext cx="287280" cy="11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176040</xdr:colOff>
      <xdr:row>2</xdr:row>
      <xdr:rowOff>32040</xdr:rowOff>
    </xdr:from>
    <xdr:to>
      <xdr:col>11</xdr:col>
      <xdr:colOff>328680</xdr:colOff>
      <xdr:row>2</xdr:row>
      <xdr:rowOff>222840</xdr:rowOff>
    </xdr:to>
    <xdr:pic>
      <xdr:nvPicPr>
        <xdr:cNvPr id="207" name="Imagem 10" descr=""/>
        <xdr:cNvPicPr/>
      </xdr:nvPicPr>
      <xdr:blipFill>
        <a:blip r:embed="rId8"/>
        <a:stretch/>
      </xdr:blipFill>
      <xdr:spPr>
        <a:xfrm>
          <a:off x="6775560" y="536760"/>
          <a:ext cx="152640" cy="19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447840</xdr:colOff>
      <xdr:row>5</xdr:row>
      <xdr:rowOff>38160</xdr:rowOff>
    </xdr:from>
    <xdr:to>
      <xdr:col>8</xdr:col>
      <xdr:colOff>390600</xdr:colOff>
      <xdr:row>8</xdr:row>
      <xdr:rowOff>266040</xdr:rowOff>
    </xdr:to>
    <xdr:pic>
      <xdr:nvPicPr>
        <xdr:cNvPr id="208" name="Imagem 12" descr="">
          <a:hlinkClick r:id="rId9"/>
        </xdr:cNvPr>
        <xdr:cNvPicPr/>
      </xdr:nvPicPr>
      <xdr:blipFill>
        <a:blip r:embed="rId10"/>
        <a:stretch/>
      </xdr:blipFill>
      <xdr:spPr>
        <a:xfrm>
          <a:off x="4530240" y="1285920"/>
          <a:ext cx="527040" cy="116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399960</xdr:colOff>
      <xdr:row>5</xdr:row>
      <xdr:rowOff>38160</xdr:rowOff>
    </xdr:from>
    <xdr:to>
      <xdr:col>8</xdr:col>
      <xdr:colOff>389880</xdr:colOff>
      <xdr:row>8</xdr:row>
      <xdr:rowOff>298440</xdr:rowOff>
    </xdr:to>
    <xdr:pic>
      <xdr:nvPicPr>
        <xdr:cNvPr id="209" name="Imagem 18" descr="">
          <a:hlinkClick r:id="rId1"/>
        </xdr:cNvPr>
        <xdr:cNvPicPr/>
      </xdr:nvPicPr>
      <xdr:blipFill>
        <a:blip r:embed="rId2"/>
        <a:stretch/>
      </xdr:blipFill>
      <xdr:spPr>
        <a:xfrm>
          <a:off x="4482360" y="1285920"/>
          <a:ext cx="574200" cy="1193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14</xdr:row>
      <xdr:rowOff>69120</xdr:rowOff>
    </xdr:from>
    <xdr:to>
      <xdr:col>1</xdr:col>
      <xdr:colOff>484920</xdr:colOff>
      <xdr:row>14</xdr:row>
      <xdr:rowOff>196920</xdr:rowOff>
    </xdr:to>
    <xdr:pic>
      <xdr:nvPicPr>
        <xdr:cNvPr id="210" name="Imagem 19" descr=""/>
        <xdr:cNvPicPr/>
      </xdr:nvPicPr>
      <xdr:blipFill>
        <a:blip r:embed="rId3"/>
        <a:stretch/>
      </xdr:blipFill>
      <xdr:spPr>
        <a:xfrm>
          <a:off x="897120" y="4203000"/>
          <a:ext cx="332640" cy="1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12</xdr:row>
      <xdr:rowOff>104760</xdr:rowOff>
    </xdr:from>
    <xdr:to>
      <xdr:col>1</xdr:col>
      <xdr:colOff>514440</xdr:colOff>
      <xdr:row>12</xdr:row>
      <xdr:rowOff>269280</xdr:rowOff>
    </xdr:to>
    <xdr:pic>
      <xdr:nvPicPr>
        <xdr:cNvPr id="211" name="Imagem 20" descr=""/>
        <xdr:cNvPicPr/>
      </xdr:nvPicPr>
      <xdr:blipFill>
        <a:blip r:embed="rId4"/>
        <a:stretch/>
      </xdr:blipFill>
      <xdr:spPr>
        <a:xfrm>
          <a:off x="856800" y="3591000"/>
          <a:ext cx="402480" cy="16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166680</xdr:colOff>
      <xdr:row>10</xdr:row>
      <xdr:rowOff>51120</xdr:rowOff>
    </xdr:from>
    <xdr:to>
      <xdr:col>1</xdr:col>
      <xdr:colOff>380160</xdr:colOff>
      <xdr:row>10</xdr:row>
      <xdr:rowOff>318240</xdr:rowOff>
    </xdr:to>
    <xdr:pic>
      <xdr:nvPicPr>
        <xdr:cNvPr id="212" name="Imagem 21" descr=""/>
        <xdr:cNvPicPr/>
      </xdr:nvPicPr>
      <xdr:blipFill>
        <a:blip r:embed="rId5"/>
        <a:stretch/>
      </xdr:blipFill>
      <xdr:spPr>
        <a:xfrm>
          <a:off x="911520" y="2889720"/>
          <a:ext cx="213480" cy="26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88200</xdr:colOff>
      <xdr:row>15</xdr:row>
      <xdr:rowOff>9360</xdr:rowOff>
    </xdr:from>
    <xdr:to>
      <xdr:col>1</xdr:col>
      <xdr:colOff>550800</xdr:colOff>
      <xdr:row>15</xdr:row>
      <xdr:rowOff>296640</xdr:rowOff>
    </xdr:to>
    <xdr:pic>
      <xdr:nvPicPr>
        <xdr:cNvPr id="213" name="Imagem 22" descr=""/>
        <xdr:cNvPicPr/>
      </xdr:nvPicPr>
      <xdr:blipFill>
        <a:blip r:embed="rId6"/>
        <a:stretch/>
      </xdr:blipFill>
      <xdr:spPr>
        <a:xfrm>
          <a:off x="833040" y="4467240"/>
          <a:ext cx="462600" cy="28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11</xdr:row>
      <xdr:rowOff>60480</xdr:rowOff>
    </xdr:from>
    <xdr:to>
      <xdr:col>1</xdr:col>
      <xdr:colOff>361080</xdr:colOff>
      <xdr:row>12</xdr:row>
      <xdr:rowOff>3960</xdr:rowOff>
    </xdr:to>
    <xdr:pic>
      <xdr:nvPicPr>
        <xdr:cNvPr id="214" name="Imagem 23" descr=""/>
        <xdr:cNvPicPr/>
      </xdr:nvPicPr>
      <xdr:blipFill>
        <a:blip r:embed="rId7"/>
        <a:stretch/>
      </xdr:blipFill>
      <xdr:spPr>
        <a:xfrm>
          <a:off x="892440" y="3222720"/>
          <a:ext cx="213480" cy="26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13</xdr:row>
      <xdr:rowOff>85680</xdr:rowOff>
    </xdr:from>
    <xdr:to>
      <xdr:col>1</xdr:col>
      <xdr:colOff>514440</xdr:colOff>
      <xdr:row>13</xdr:row>
      <xdr:rowOff>250200</xdr:rowOff>
    </xdr:to>
    <xdr:pic>
      <xdr:nvPicPr>
        <xdr:cNvPr id="215" name="Imagem 24" descr=""/>
        <xdr:cNvPicPr/>
      </xdr:nvPicPr>
      <xdr:blipFill>
        <a:blip r:embed="rId8"/>
        <a:stretch/>
      </xdr:blipFill>
      <xdr:spPr>
        <a:xfrm>
          <a:off x="856800" y="3895560"/>
          <a:ext cx="402480" cy="16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78480</xdr:rowOff>
    </xdr:from>
    <xdr:to>
      <xdr:col>11</xdr:col>
      <xdr:colOff>399600</xdr:colOff>
      <xdr:row>4</xdr:row>
      <xdr:rowOff>169920</xdr:rowOff>
    </xdr:to>
    <xdr:pic>
      <xdr:nvPicPr>
        <xdr:cNvPr id="216" name="Imagem 25" descr=""/>
        <xdr:cNvPicPr/>
      </xdr:nvPicPr>
      <xdr:blipFill>
        <a:blip r:embed="rId9"/>
        <a:stretch/>
      </xdr:blipFill>
      <xdr:spPr>
        <a:xfrm>
          <a:off x="6761520" y="1078560"/>
          <a:ext cx="237600" cy="9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3</xdr:row>
      <xdr:rowOff>57240</xdr:rowOff>
    </xdr:from>
    <xdr:to>
      <xdr:col>11</xdr:col>
      <xdr:colOff>408600</xdr:colOff>
      <xdr:row>3</xdr:row>
      <xdr:rowOff>174600</xdr:rowOff>
    </xdr:to>
    <xdr:pic>
      <xdr:nvPicPr>
        <xdr:cNvPr id="217" name="Imagem 26" descr=""/>
        <xdr:cNvPicPr/>
      </xdr:nvPicPr>
      <xdr:blipFill>
        <a:blip r:embed="rId10"/>
        <a:stretch/>
      </xdr:blipFill>
      <xdr:spPr>
        <a:xfrm>
          <a:off x="6720840" y="809640"/>
          <a:ext cx="287280" cy="11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176040</xdr:colOff>
      <xdr:row>2</xdr:row>
      <xdr:rowOff>32040</xdr:rowOff>
    </xdr:from>
    <xdr:to>
      <xdr:col>11</xdr:col>
      <xdr:colOff>328680</xdr:colOff>
      <xdr:row>2</xdr:row>
      <xdr:rowOff>222840</xdr:rowOff>
    </xdr:to>
    <xdr:pic>
      <xdr:nvPicPr>
        <xdr:cNvPr id="218" name="Imagem 27" descr=""/>
        <xdr:cNvPicPr/>
      </xdr:nvPicPr>
      <xdr:blipFill>
        <a:blip r:embed="rId11"/>
        <a:stretch/>
      </xdr:blipFill>
      <xdr:spPr>
        <a:xfrm>
          <a:off x="6775560" y="536760"/>
          <a:ext cx="152640" cy="19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107280</xdr:colOff>
      <xdr:row>5</xdr:row>
      <xdr:rowOff>38160</xdr:rowOff>
    </xdr:from>
    <xdr:to>
      <xdr:col>11</xdr:col>
      <xdr:colOff>437760</xdr:colOff>
      <xdr:row>5</xdr:row>
      <xdr:rowOff>243360</xdr:rowOff>
    </xdr:to>
    <xdr:pic>
      <xdr:nvPicPr>
        <xdr:cNvPr id="219" name="Imagem 28" descr=""/>
        <xdr:cNvPicPr/>
      </xdr:nvPicPr>
      <xdr:blipFill>
        <a:blip r:embed="rId12"/>
        <a:stretch/>
      </xdr:blipFill>
      <xdr:spPr>
        <a:xfrm>
          <a:off x="6706800" y="1285920"/>
          <a:ext cx="330480" cy="205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10</xdr:row>
      <xdr:rowOff>85680</xdr:rowOff>
    </xdr:from>
    <xdr:to>
      <xdr:col>1</xdr:col>
      <xdr:colOff>361440</xdr:colOff>
      <xdr:row>10</xdr:row>
      <xdr:rowOff>227880</xdr:rowOff>
    </xdr:to>
    <xdr:pic>
      <xdr:nvPicPr>
        <xdr:cNvPr id="220" name="Imagem 1" descr=""/>
        <xdr:cNvPicPr/>
      </xdr:nvPicPr>
      <xdr:blipFill>
        <a:blip r:embed="rId1"/>
        <a:stretch/>
      </xdr:blipFill>
      <xdr:spPr>
        <a:xfrm>
          <a:off x="821160" y="292428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12</xdr:row>
      <xdr:rowOff>104760</xdr:rowOff>
    </xdr:from>
    <xdr:to>
      <xdr:col>1</xdr:col>
      <xdr:colOff>419400</xdr:colOff>
      <xdr:row>12</xdr:row>
      <xdr:rowOff>241560</xdr:rowOff>
    </xdr:to>
    <xdr:pic>
      <xdr:nvPicPr>
        <xdr:cNvPr id="221" name="Imagem 2" descr=""/>
        <xdr:cNvPicPr/>
      </xdr:nvPicPr>
      <xdr:blipFill>
        <a:blip r:embed="rId2"/>
        <a:stretch/>
      </xdr:blipFill>
      <xdr:spPr>
        <a:xfrm>
          <a:off x="825840" y="35910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117360</xdr:rowOff>
    </xdr:from>
    <xdr:to>
      <xdr:col>1</xdr:col>
      <xdr:colOff>446760</xdr:colOff>
      <xdr:row>15</xdr:row>
      <xdr:rowOff>263880</xdr:rowOff>
    </xdr:to>
    <xdr:pic>
      <xdr:nvPicPr>
        <xdr:cNvPr id="222" name="Imagem 3" descr=""/>
        <xdr:cNvPicPr/>
      </xdr:nvPicPr>
      <xdr:blipFill>
        <a:blip r:embed="rId3"/>
        <a:stretch/>
      </xdr:blipFill>
      <xdr:spPr>
        <a:xfrm>
          <a:off x="811440" y="457524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13</xdr:row>
      <xdr:rowOff>95400</xdr:rowOff>
    </xdr:from>
    <xdr:to>
      <xdr:col>1</xdr:col>
      <xdr:colOff>424800</xdr:colOff>
      <xdr:row>13</xdr:row>
      <xdr:rowOff>244800</xdr:rowOff>
    </xdr:to>
    <xdr:pic>
      <xdr:nvPicPr>
        <xdr:cNvPr id="223" name="Imagem 4" descr=""/>
        <xdr:cNvPicPr/>
      </xdr:nvPicPr>
      <xdr:blipFill>
        <a:blip r:embed="rId4"/>
        <a:stretch/>
      </xdr:blipFill>
      <xdr:spPr>
        <a:xfrm>
          <a:off x="828000" y="390528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114480</xdr:colOff>
      <xdr:row>2</xdr:row>
      <xdr:rowOff>47520</xdr:rowOff>
    </xdr:from>
    <xdr:to>
      <xdr:col>11</xdr:col>
      <xdr:colOff>399600</xdr:colOff>
      <xdr:row>2</xdr:row>
      <xdr:rowOff>189720</xdr:rowOff>
    </xdr:to>
    <xdr:pic>
      <xdr:nvPicPr>
        <xdr:cNvPr id="224" name="Imagem 5" descr=""/>
        <xdr:cNvPicPr/>
      </xdr:nvPicPr>
      <xdr:blipFill>
        <a:blip r:embed="rId5"/>
        <a:stretch/>
      </xdr:blipFill>
      <xdr:spPr>
        <a:xfrm>
          <a:off x="6714000" y="55224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4</xdr:row>
      <xdr:rowOff>47520</xdr:rowOff>
    </xdr:from>
    <xdr:to>
      <xdr:col>11</xdr:col>
      <xdr:colOff>457560</xdr:colOff>
      <xdr:row>4</xdr:row>
      <xdr:rowOff>184320</xdr:rowOff>
    </xdr:to>
    <xdr:pic>
      <xdr:nvPicPr>
        <xdr:cNvPr id="225" name="Imagem 6" descr=""/>
        <xdr:cNvPicPr/>
      </xdr:nvPicPr>
      <xdr:blipFill>
        <a:blip r:embed="rId6"/>
        <a:stretch/>
      </xdr:blipFill>
      <xdr:spPr>
        <a:xfrm>
          <a:off x="6718680" y="10476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7</xdr:row>
      <xdr:rowOff>79200</xdr:rowOff>
    </xdr:from>
    <xdr:to>
      <xdr:col>11</xdr:col>
      <xdr:colOff>484920</xdr:colOff>
      <xdr:row>7</xdr:row>
      <xdr:rowOff>225720</xdr:rowOff>
    </xdr:to>
    <xdr:pic>
      <xdr:nvPicPr>
        <xdr:cNvPr id="226" name="Imagem 7" descr=""/>
        <xdr:cNvPicPr/>
      </xdr:nvPicPr>
      <xdr:blipFill>
        <a:blip r:embed="rId7"/>
        <a:stretch/>
      </xdr:blipFill>
      <xdr:spPr>
        <a:xfrm>
          <a:off x="6704280" y="195552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5</xdr:row>
      <xdr:rowOff>66600</xdr:rowOff>
    </xdr:from>
    <xdr:to>
      <xdr:col>11</xdr:col>
      <xdr:colOff>462960</xdr:colOff>
      <xdr:row>5</xdr:row>
      <xdr:rowOff>216000</xdr:rowOff>
    </xdr:to>
    <xdr:pic>
      <xdr:nvPicPr>
        <xdr:cNvPr id="227" name="Imagem 8" descr=""/>
        <xdr:cNvPicPr/>
      </xdr:nvPicPr>
      <xdr:blipFill>
        <a:blip r:embed="rId8"/>
        <a:stretch/>
      </xdr:blipFill>
      <xdr:spPr>
        <a:xfrm>
          <a:off x="6720840" y="131436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14</xdr:row>
      <xdr:rowOff>12240</xdr:rowOff>
    </xdr:from>
    <xdr:to>
      <xdr:col>1</xdr:col>
      <xdr:colOff>323280</xdr:colOff>
      <xdr:row>15</xdr:row>
      <xdr:rowOff>65880</xdr:rowOff>
    </xdr:to>
    <xdr:pic>
      <xdr:nvPicPr>
        <xdr:cNvPr id="228" name="Imagem 10" descr=""/>
        <xdr:cNvPicPr/>
      </xdr:nvPicPr>
      <xdr:blipFill>
        <a:blip r:embed="rId9"/>
        <a:stretch/>
      </xdr:blipFill>
      <xdr:spPr>
        <a:xfrm>
          <a:off x="859320" y="4146120"/>
          <a:ext cx="208800" cy="37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11</xdr:row>
      <xdr:rowOff>76320</xdr:rowOff>
    </xdr:from>
    <xdr:to>
      <xdr:col>1</xdr:col>
      <xdr:colOff>417240</xdr:colOff>
      <xdr:row>11</xdr:row>
      <xdr:rowOff>235080</xdr:rowOff>
    </xdr:to>
    <xdr:pic>
      <xdr:nvPicPr>
        <xdr:cNvPr id="229" name="Imagem 11" descr=""/>
        <xdr:cNvPicPr/>
      </xdr:nvPicPr>
      <xdr:blipFill>
        <a:blip r:embed="rId10"/>
        <a:stretch/>
      </xdr:blipFill>
      <xdr:spPr>
        <a:xfrm>
          <a:off x="790200" y="3238560"/>
          <a:ext cx="371880" cy="15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17</xdr:row>
      <xdr:rowOff>99720</xdr:rowOff>
    </xdr:from>
    <xdr:to>
      <xdr:col>1</xdr:col>
      <xdr:colOff>456480</xdr:colOff>
      <xdr:row>17</xdr:row>
      <xdr:rowOff>235080</xdr:rowOff>
    </xdr:to>
    <xdr:pic>
      <xdr:nvPicPr>
        <xdr:cNvPr id="230" name="Imagem 12" descr=""/>
        <xdr:cNvPicPr/>
      </xdr:nvPicPr>
      <xdr:blipFill>
        <a:blip r:embed="rId11"/>
        <a:stretch/>
      </xdr:blipFill>
      <xdr:spPr>
        <a:xfrm>
          <a:off x="849600" y="5205240"/>
          <a:ext cx="351720" cy="13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16</xdr:row>
      <xdr:rowOff>115200</xdr:rowOff>
    </xdr:from>
    <xdr:to>
      <xdr:col>2</xdr:col>
      <xdr:colOff>28080</xdr:colOff>
      <xdr:row>16</xdr:row>
      <xdr:rowOff>214200</xdr:rowOff>
    </xdr:to>
    <xdr:pic>
      <xdr:nvPicPr>
        <xdr:cNvPr id="231" name="Imagem 13" descr=""/>
        <xdr:cNvPicPr/>
      </xdr:nvPicPr>
      <xdr:blipFill>
        <a:blip r:embed="rId12"/>
        <a:stretch/>
      </xdr:blipFill>
      <xdr:spPr>
        <a:xfrm>
          <a:off x="809280" y="4896720"/>
          <a:ext cx="575280" cy="9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152280</xdr:colOff>
      <xdr:row>5</xdr:row>
      <xdr:rowOff>271440</xdr:rowOff>
    </xdr:from>
    <xdr:to>
      <xdr:col>11</xdr:col>
      <xdr:colOff>322920</xdr:colOff>
      <xdr:row>6</xdr:row>
      <xdr:rowOff>294480</xdr:rowOff>
    </xdr:to>
    <xdr:pic>
      <xdr:nvPicPr>
        <xdr:cNvPr id="232" name="Imagem 14" descr=""/>
        <xdr:cNvPicPr/>
      </xdr:nvPicPr>
      <xdr:blipFill>
        <a:blip r:embed="rId13"/>
        <a:stretch/>
      </xdr:blipFill>
      <xdr:spPr>
        <a:xfrm>
          <a:off x="6751800" y="1519200"/>
          <a:ext cx="170640" cy="30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9</xdr:row>
      <xdr:rowOff>71280</xdr:rowOff>
    </xdr:from>
    <xdr:to>
      <xdr:col>11</xdr:col>
      <xdr:colOff>447120</xdr:colOff>
      <xdr:row>9</xdr:row>
      <xdr:rowOff>206640</xdr:rowOff>
    </xdr:to>
    <xdr:pic>
      <xdr:nvPicPr>
        <xdr:cNvPr id="233" name="Imagem 15" descr=""/>
        <xdr:cNvPicPr/>
      </xdr:nvPicPr>
      <xdr:blipFill>
        <a:blip r:embed="rId14"/>
        <a:stretch/>
      </xdr:blipFill>
      <xdr:spPr>
        <a:xfrm>
          <a:off x="6694920" y="2585880"/>
          <a:ext cx="351720" cy="13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64440</xdr:colOff>
      <xdr:row>8</xdr:row>
      <xdr:rowOff>128880</xdr:rowOff>
    </xdr:from>
    <xdr:to>
      <xdr:col>11</xdr:col>
      <xdr:colOff>504360</xdr:colOff>
      <xdr:row>8</xdr:row>
      <xdr:rowOff>204840</xdr:rowOff>
    </xdr:to>
    <xdr:pic>
      <xdr:nvPicPr>
        <xdr:cNvPr id="234" name="Imagem 16" descr=""/>
        <xdr:cNvPicPr/>
      </xdr:nvPicPr>
      <xdr:blipFill>
        <a:blip r:embed="rId15"/>
        <a:stretch/>
      </xdr:blipFill>
      <xdr:spPr>
        <a:xfrm>
          <a:off x="6663960" y="2310120"/>
          <a:ext cx="43992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102240</xdr:colOff>
      <xdr:row>3</xdr:row>
      <xdr:rowOff>28440</xdr:rowOff>
    </xdr:from>
    <xdr:to>
      <xdr:col>11</xdr:col>
      <xdr:colOff>474120</xdr:colOff>
      <xdr:row>3</xdr:row>
      <xdr:rowOff>187200</xdr:rowOff>
    </xdr:to>
    <xdr:pic>
      <xdr:nvPicPr>
        <xdr:cNvPr id="235" name="Imagem 17" descr=""/>
        <xdr:cNvPicPr/>
      </xdr:nvPicPr>
      <xdr:blipFill>
        <a:blip r:embed="rId16"/>
        <a:stretch/>
      </xdr:blipFill>
      <xdr:spPr>
        <a:xfrm>
          <a:off x="6701760" y="780840"/>
          <a:ext cx="371880" cy="15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47520</xdr:colOff>
      <xdr:row>3</xdr:row>
      <xdr:rowOff>104760</xdr:rowOff>
    </xdr:from>
    <xdr:to>
      <xdr:col>9</xdr:col>
      <xdr:colOff>266040</xdr:colOff>
      <xdr:row>10</xdr:row>
      <xdr:rowOff>123120</xdr:rowOff>
    </xdr:to>
    <xdr:pic>
      <xdr:nvPicPr>
        <xdr:cNvPr id="236" name="Imagem 18" descr="">
          <a:hlinkClick r:id="rId17"/>
        </xdr:cNvPr>
        <xdr:cNvPicPr/>
      </xdr:nvPicPr>
      <xdr:blipFill>
        <a:blip r:embed="rId18"/>
        <a:stretch/>
      </xdr:blipFill>
      <xdr:spPr>
        <a:xfrm>
          <a:off x="4129920" y="857160"/>
          <a:ext cx="1346400" cy="210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19</xdr:row>
      <xdr:rowOff>45360</xdr:rowOff>
    </xdr:from>
    <xdr:to>
      <xdr:col>1</xdr:col>
      <xdr:colOff>342360</xdr:colOff>
      <xdr:row>19</xdr:row>
      <xdr:rowOff>275760</xdr:rowOff>
    </xdr:to>
    <xdr:pic>
      <xdr:nvPicPr>
        <xdr:cNvPr id="237" name="Imagem 19" descr=""/>
        <xdr:cNvPicPr/>
      </xdr:nvPicPr>
      <xdr:blipFill>
        <a:blip r:embed="rId19"/>
        <a:stretch/>
      </xdr:blipFill>
      <xdr:spPr>
        <a:xfrm>
          <a:off x="887760" y="5760360"/>
          <a:ext cx="1994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18</xdr:row>
      <xdr:rowOff>31680</xdr:rowOff>
    </xdr:from>
    <xdr:to>
      <xdr:col>1</xdr:col>
      <xdr:colOff>466200</xdr:colOff>
      <xdr:row>18</xdr:row>
      <xdr:rowOff>263880</xdr:rowOff>
    </xdr:to>
    <xdr:pic>
      <xdr:nvPicPr>
        <xdr:cNvPr id="238" name="Imagem 20" descr=""/>
        <xdr:cNvPicPr/>
      </xdr:nvPicPr>
      <xdr:blipFill>
        <a:blip r:embed="rId20"/>
        <a:stretch/>
      </xdr:blipFill>
      <xdr:spPr>
        <a:xfrm>
          <a:off x="856800" y="5460840"/>
          <a:ext cx="354240" cy="232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10</xdr:row>
      <xdr:rowOff>85680</xdr:rowOff>
    </xdr:from>
    <xdr:to>
      <xdr:col>1</xdr:col>
      <xdr:colOff>361440</xdr:colOff>
      <xdr:row>10</xdr:row>
      <xdr:rowOff>227880</xdr:rowOff>
    </xdr:to>
    <xdr:pic>
      <xdr:nvPicPr>
        <xdr:cNvPr id="239" name="Imagem 2" descr=""/>
        <xdr:cNvPicPr/>
      </xdr:nvPicPr>
      <xdr:blipFill>
        <a:blip r:embed="rId1"/>
        <a:stretch/>
      </xdr:blipFill>
      <xdr:spPr>
        <a:xfrm>
          <a:off x="821160" y="292428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12</xdr:row>
      <xdr:rowOff>104760</xdr:rowOff>
    </xdr:from>
    <xdr:to>
      <xdr:col>1</xdr:col>
      <xdr:colOff>419400</xdr:colOff>
      <xdr:row>12</xdr:row>
      <xdr:rowOff>241560</xdr:rowOff>
    </xdr:to>
    <xdr:pic>
      <xdr:nvPicPr>
        <xdr:cNvPr id="240" name="Imagem 4" descr=""/>
        <xdr:cNvPicPr/>
      </xdr:nvPicPr>
      <xdr:blipFill>
        <a:blip r:embed="rId2"/>
        <a:stretch/>
      </xdr:blipFill>
      <xdr:spPr>
        <a:xfrm>
          <a:off x="825840" y="35910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117360</xdr:rowOff>
    </xdr:from>
    <xdr:to>
      <xdr:col>1</xdr:col>
      <xdr:colOff>446760</xdr:colOff>
      <xdr:row>15</xdr:row>
      <xdr:rowOff>263880</xdr:rowOff>
    </xdr:to>
    <xdr:pic>
      <xdr:nvPicPr>
        <xdr:cNvPr id="241" name="Imagem 5" descr=""/>
        <xdr:cNvPicPr/>
      </xdr:nvPicPr>
      <xdr:blipFill>
        <a:blip r:embed="rId3"/>
        <a:stretch/>
      </xdr:blipFill>
      <xdr:spPr>
        <a:xfrm>
          <a:off x="811440" y="457524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13</xdr:row>
      <xdr:rowOff>95400</xdr:rowOff>
    </xdr:from>
    <xdr:to>
      <xdr:col>1</xdr:col>
      <xdr:colOff>424800</xdr:colOff>
      <xdr:row>13</xdr:row>
      <xdr:rowOff>244800</xdr:rowOff>
    </xdr:to>
    <xdr:pic>
      <xdr:nvPicPr>
        <xdr:cNvPr id="242" name="Imagem 6" descr=""/>
        <xdr:cNvPicPr/>
      </xdr:nvPicPr>
      <xdr:blipFill>
        <a:blip r:embed="rId4"/>
        <a:stretch/>
      </xdr:blipFill>
      <xdr:spPr>
        <a:xfrm>
          <a:off x="828000" y="390528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114480</xdr:colOff>
      <xdr:row>2</xdr:row>
      <xdr:rowOff>47520</xdr:rowOff>
    </xdr:from>
    <xdr:to>
      <xdr:col>11</xdr:col>
      <xdr:colOff>399600</xdr:colOff>
      <xdr:row>2</xdr:row>
      <xdr:rowOff>189720</xdr:rowOff>
    </xdr:to>
    <xdr:pic>
      <xdr:nvPicPr>
        <xdr:cNvPr id="243" name="Imagem 8" descr=""/>
        <xdr:cNvPicPr/>
      </xdr:nvPicPr>
      <xdr:blipFill>
        <a:blip r:embed="rId5"/>
        <a:stretch/>
      </xdr:blipFill>
      <xdr:spPr>
        <a:xfrm>
          <a:off x="6714000" y="55224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4</xdr:row>
      <xdr:rowOff>47520</xdr:rowOff>
    </xdr:from>
    <xdr:to>
      <xdr:col>11</xdr:col>
      <xdr:colOff>457560</xdr:colOff>
      <xdr:row>4</xdr:row>
      <xdr:rowOff>184320</xdr:rowOff>
    </xdr:to>
    <xdr:pic>
      <xdr:nvPicPr>
        <xdr:cNvPr id="244" name="Imagem 10" descr=""/>
        <xdr:cNvPicPr/>
      </xdr:nvPicPr>
      <xdr:blipFill>
        <a:blip r:embed="rId6"/>
        <a:stretch/>
      </xdr:blipFill>
      <xdr:spPr>
        <a:xfrm>
          <a:off x="6718680" y="10476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7</xdr:row>
      <xdr:rowOff>79200</xdr:rowOff>
    </xdr:from>
    <xdr:to>
      <xdr:col>11</xdr:col>
      <xdr:colOff>484920</xdr:colOff>
      <xdr:row>7</xdr:row>
      <xdr:rowOff>225720</xdr:rowOff>
    </xdr:to>
    <xdr:pic>
      <xdr:nvPicPr>
        <xdr:cNvPr id="245" name="Imagem 11" descr=""/>
        <xdr:cNvPicPr/>
      </xdr:nvPicPr>
      <xdr:blipFill>
        <a:blip r:embed="rId7"/>
        <a:stretch/>
      </xdr:blipFill>
      <xdr:spPr>
        <a:xfrm>
          <a:off x="6704280" y="195552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5</xdr:row>
      <xdr:rowOff>66600</xdr:rowOff>
    </xdr:from>
    <xdr:to>
      <xdr:col>11</xdr:col>
      <xdr:colOff>462960</xdr:colOff>
      <xdr:row>5</xdr:row>
      <xdr:rowOff>216000</xdr:rowOff>
    </xdr:to>
    <xdr:pic>
      <xdr:nvPicPr>
        <xdr:cNvPr id="246" name="Imagem 12" descr=""/>
        <xdr:cNvPicPr/>
      </xdr:nvPicPr>
      <xdr:blipFill>
        <a:blip r:embed="rId8"/>
        <a:stretch/>
      </xdr:blipFill>
      <xdr:spPr>
        <a:xfrm>
          <a:off x="6720840" y="131436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230040</xdr:rowOff>
    </xdr:from>
    <xdr:to>
      <xdr:col>9</xdr:col>
      <xdr:colOff>56520</xdr:colOff>
      <xdr:row>9</xdr:row>
      <xdr:rowOff>1440</xdr:rowOff>
    </xdr:to>
    <xdr:pic>
      <xdr:nvPicPr>
        <xdr:cNvPr id="247" name="Imagem 14" descr="">
          <a:hlinkClick r:id="rId9"/>
        </xdr:cNvPr>
        <xdr:cNvPicPr/>
      </xdr:nvPicPr>
      <xdr:blipFill>
        <a:blip r:embed="rId10"/>
        <a:stretch/>
      </xdr:blipFill>
      <xdr:spPr>
        <a:xfrm>
          <a:off x="4272840" y="1230120"/>
          <a:ext cx="993960" cy="1285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14</xdr:row>
      <xdr:rowOff>12240</xdr:rowOff>
    </xdr:from>
    <xdr:to>
      <xdr:col>1</xdr:col>
      <xdr:colOff>323280</xdr:colOff>
      <xdr:row>15</xdr:row>
      <xdr:rowOff>65880</xdr:rowOff>
    </xdr:to>
    <xdr:pic>
      <xdr:nvPicPr>
        <xdr:cNvPr id="248" name="Imagem 15" descr=""/>
        <xdr:cNvPicPr/>
      </xdr:nvPicPr>
      <xdr:blipFill>
        <a:blip r:embed="rId11"/>
        <a:stretch/>
      </xdr:blipFill>
      <xdr:spPr>
        <a:xfrm>
          <a:off x="859320" y="4146120"/>
          <a:ext cx="208800" cy="37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11</xdr:row>
      <xdr:rowOff>76320</xdr:rowOff>
    </xdr:from>
    <xdr:to>
      <xdr:col>1</xdr:col>
      <xdr:colOff>417240</xdr:colOff>
      <xdr:row>11</xdr:row>
      <xdr:rowOff>235080</xdr:rowOff>
    </xdr:to>
    <xdr:pic>
      <xdr:nvPicPr>
        <xdr:cNvPr id="249" name="Imagem 16" descr=""/>
        <xdr:cNvPicPr/>
      </xdr:nvPicPr>
      <xdr:blipFill>
        <a:blip r:embed="rId12"/>
        <a:stretch/>
      </xdr:blipFill>
      <xdr:spPr>
        <a:xfrm>
          <a:off x="790200" y="3238560"/>
          <a:ext cx="371880" cy="15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17</xdr:row>
      <xdr:rowOff>99720</xdr:rowOff>
    </xdr:from>
    <xdr:to>
      <xdr:col>1</xdr:col>
      <xdr:colOff>456480</xdr:colOff>
      <xdr:row>17</xdr:row>
      <xdr:rowOff>235080</xdr:rowOff>
    </xdr:to>
    <xdr:pic>
      <xdr:nvPicPr>
        <xdr:cNvPr id="250" name="Imagem 17" descr=""/>
        <xdr:cNvPicPr/>
      </xdr:nvPicPr>
      <xdr:blipFill>
        <a:blip r:embed="rId13"/>
        <a:stretch/>
      </xdr:blipFill>
      <xdr:spPr>
        <a:xfrm>
          <a:off x="849600" y="5205240"/>
          <a:ext cx="351720" cy="13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16</xdr:row>
      <xdr:rowOff>115200</xdr:rowOff>
    </xdr:from>
    <xdr:to>
      <xdr:col>2</xdr:col>
      <xdr:colOff>28080</xdr:colOff>
      <xdr:row>16</xdr:row>
      <xdr:rowOff>214200</xdr:rowOff>
    </xdr:to>
    <xdr:pic>
      <xdr:nvPicPr>
        <xdr:cNvPr id="251" name="Imagem 18" descr=""/>
        <xdr:cNvPicPr/>
      </xdr:nvPicPr>
      <xdr:blipFill>
        <a:blip r:embed="rId14"/>
        <a:stretch/>
      </xdr:blipFill>
      <xdr:spPr>
        <a:xfrm>
          <a:off x="809280" y="4896720"/>
          <a:ext cx="575280" cy="9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152280</xdr:colOff>
      <xdr:row>5</xdr:row>
      <xdr:rowOff>271440</xdr:rowOff>
    </xdr:from>
    <xdr:to>
      <xdr:col>11</xdr:col>
      <xdr:colOff>322920</xdr:colOff>
      <xdr:row>6</xdr:row>
      <xdr:rowOff>294480</xdr:rowOff>
    </xdr:to>
    <xdr:pic>
      <xdr:nvPicPr>
        <xdr:cNvPr id="252" name="Imagem 19" descr=""/>
        <xdr:cNvPicPr/>
      </xdr:nvPicPr>
      <xdr:blipFill>
        <a:blip r:embed="rId15"/>
        <a:stretch/>
      </xdr:blipFill>
      <xdr:spPr>
        <a:xfrm>
          <a:off x="6751800" y="1519200"/>
          <a:ext cx="170640" cy="30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9</xdr:row>
      <xdr:rowOff>71280</xdr:rowOff>
    </xdr:from>
    <xdr:to>
      <xdr:col>11</xdr:col>
      <xdr:colOff>447120</xdr:colOff>
      <xdr:row>9</xdr:row>
      <xdr:rowOff>206640</xdr:rowOff>
    </xdr:to>
    <xdr:pic>
      <xdr:nvPicPr>
        <xdr:cNvPr id="253" name="Imagem 20" descr=""/>
        <xdr:cNvPicPr/>
      </xdr:nvPicPr>
      <xdr:blipFill>
        <a:blip r:embed="rId16"/>
        <a:stretch/>
      </xdr:blipFill>
      <xdr:spPr>
        <a:xfrm>
          <a:off x="6694920" y="2585880"/>
          <a:ext cx="351720" cy="13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64440</xdr:colOff>
      <xdr:row>8</xdr:row>
      <xdr:rowOff>128880</xdr:rowOff>
    </xdr:from>
    <xdr:to>
      <xdr:col>11</xdr:col>
      <xdr:colOff>504360</xdr:colOff>
      <xdr:row>8</xdr:row>
      <xdr:rowOff>204840</xdr:rowOff>
    </xdr:to>
    <xdr:pic>
      <xdr:nvPicPr>
        <xdr:cNvPr id="254" name="Imagem 21" descr=""/>
        <xdr:cNvPicPr/>
      </xdr:nvPicPr>
      <xdr:blipFill>
        <a:blip r:embed="rId17"/>
        <a:stretch/>
      </xdr:blipFill>
      <xdr:spPr>
        <a:xfrm>
          <a:off x="6663960" y="2310120"/>
          <a:ext cx="43992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102240</xdr:colOff>
      <xdr:row>3</xdr:row>
      <xdr:rowOff>28440</xdr:rowOff>
    </xdr:from>
    <xdr:to>
      <xdr:col>11</xdr:col>
      <xdr:colOff>474120</xdr:colOff>
      <xdr:row>3</xdr:row>
      <xdr:rowOff>187200</xdr:rowOff>
    </xdr:to>
    <xdr:pic>
      <xdr:nvPicPr>
        <xdr:cNvPr id="255" name="Imagem 22" descr=""/>
        <xdr:cNvPicPr/>
      </xdr:nvPicPr>
      <xdr:blipFill>
        <a:blip r:embed="rId18"/>
        <a:stretch/>
      </xdr:blipFill>
      <xdr:spPr>
        <a:xfrm>
          <a:off x="6701760" y="780840"/>
          <a:ext cx="371880" cy="15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10</xdr:row>
      <xdr:rowOff>85680</xdr:rowOff>
    </xdr:from>
    <xdr:to>
      <xdr:col>1</xdr:col>
      <xdr:colOff>361440</xdr:colOff>
      <xdr:row>10</xdr:row>
      <xdr:rowOff>227880</xdr:rowOff>
    </xdr:to>
    <xdr:pic>
      <xdr:nvPicPr>
        <xdr:cNvPr id="256" name="Imagem 2" descr=""/>
        <xdr:cNvPicPr/>
      </xdr:nvPicPr>
      <xdr:blipFill>
        <a:blip r:embed="rId1"/>
        <a:stretch/>
      </xdr:blipFill>
      <xdr:spPr>
        <a:xfrm>
          <a:off x="821160" y="292428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11</xdr:row>
      <xdr:rowOff>7560</xdr:rowOff>
    </xdr:from>
    <xdr:to>
      <xdr:col>1</xdr:col>
      <xdr:colOff>361080</xdr:colOff>
      <xdr:row>11</xdr:row>
      <xdr:rowOff>273240</xdr:rowOff>
    </xdr:to>
    <xdr:pic>
      <xdr:nvPicPr>
        <xdr:cNvPr id="257" name="Imagem 3" descr=""/>
        <xdr:cNvPicPr/>
      </xdr:nvPicPr>
      <xdr:blipFill>
        <a:blip r:embed="rId2"/>
        <a:stretch/>
      </xdr:blipFill>
      <xdr:spPr>
        <a:xfrm>
          <a:off x="828000" y="3169800"/>
          <a:ext cx="277920" cy="26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12</xdr:row>
      <xdr:rowOff>104760</xdr:rowOff>
    </xdr:from>
    <xdr:to>
      <xdr:col>1</xdr:col>
      <xdr:colOff>419400</xdr:colOff>
      <xdr:row>12</xdr:row>
      <xdr:rowOff>241560</xdr:rowOff>
    </xdr:to>
    <xdr:pic>
      <xdr:nvPicPr>
        <xdr:cNvPr id="258" name="Imagem 4" descr=""/>
        <xdr:cNvPicPr/>
      </xdr:nvPicPr>
      <xdr:blipFill>
        <a:blip r:embed="rId3"/>
        <a:stretch/>
      </xdr:blipFill>
      <xdr:spPr>
        <a:xfrm>
          <a:off x="825840" y="35910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117360</xdr:rowOff>
    </xdr:from>
    <xdr:to>
      <xdr:col>1</xdr:col>
      <xdr:colOff>446760</xdr:colOff>
      <xdr:row>15</xdr:row>
      <xdr:rowOff>263880</xdr:rowOff>
    </xdr:to>
    <xdr:pic>
      <xdr:nvPicPr>
        <xdr:cNvPr id="259" name="Imagem 5" descr=""/>
        <xdr:cNvPicPr/>
      </xdr:nvPicPr>
      <xdr:blipFill>
        <a:blip r:embed="rId4"/>
        <a:stretch/>
      </xdr:blipFill>
      <xdr:spPr>
        <a:xfrm>
          <a:off x="811440" y="457524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13</xdr:row>
      <xdr:rowOff>95400</xdr:rowOff>
    </xdr:from>
    <xdr:to>
      <xdr:col>1</xdr:col>
      <xdr:colOff>424800</xdr:colOff>
      <xdr:row>13</xdr:row>
      <xdr:rowOff>244800</xdr:rowOff>
    </xdr:to>
    <xdr:pic>
      <xdr:nvPicPr>
        <xdr:cNvPr id="260" name="Imagem 6" descr=""/>
        <xdr:cNvPicPr/>
      </xdr:nvPicPr>
      <xdr:blipFill>
        <a:blip r:embed="rId5"/>
        <a:stretch/>
      </xdr:blipFill>
      <xdr:spPr>
        <a:xfrm>
          <a:off x="828000" y="390528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14</xdr:row>
      <xdr:rowOff>57240</xdr:rowOff>
    </xdr:from>
    <xdr:to>
      <xdr:col>1</xdr:col>
      <xdr:colOff>376200</xdr:colOff>
      <xdr:row>14</xdr:row>
      <xdr:rowOff>280440</xdr:rowOff>
    </xdr:to>
    <xdr:pic>
      <xdr:nvPicPr>
        <xdr:cNvPr id="261" name="Imagem 7" descr=""/>
        <xdr:cNvPicPr/>
      </xdr:nvPicPr>
      <xdr:blipFill>
        <a:blip r:embed="rId6"/>
        <a:stretch/>
      </xdr:blipFill>
      <xdr:spPr>
        <a:xfrm>
          <a:off x="825840" y="4191120"/>
          <a:ext cx="295200" cy="22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114480</xdr:colOff>
      <xdr:row>2</xdr:row>
      <xdr:rowOff>47520</xdr:rowOff>
    </xdr:from>
    <xdr:to>
      <xdr:col>11</xdr:col>
      <xdr:colOff>399600</xdr:colOff>
      <xdr:row>2</xdr:row>
      <xdr:rowOff>189720</xdr:rowOff>
    </xdr:to>
    <xdr:pic>
      <xdr:nvPicPr>
        <xdr:cNvPr id="262" name="Imagem 8" descr=""/>
        <xdr:cNvPicPr/>
      </xdr:nvPicPr>
      <xdr:blipFill>
        <a:blip r:embed="rId7"/>
        <a:stretch/>
      </xdr:blipFill>
      <xdr:spPr>
        <a:xfrm>
          <a:off x="6714000" y="55224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2</xdr:row>
      <xdr:rowOff>217080</xdr:rowOff>
    </xdr:from>
    <xdr:to>
      <xdr:col>11</xdr:col>
      <xdr:colOff>399240</xdr:colOff>
      <xdr:row>3</xdr:row>
      <xdr:rowOff>235080</xdr:rowOff>
    </xdr:to>
    <xdr:pic>
      <xdr:nvPicPr>
        <xdr:cNvPr id="263" name="Imagem 9" descr=""/>
        <xdr:cNvPicPr/>
      </xdr:nvPicPr>
      <xdr:blipFill>
        <a:blip r:embed="rId8"/>
        <a:stretch/>
      </xdr:blipFill>
      <xdr:spPr>
        <a:xfrm>
          <a:off x="6720840" y="721800"/>
          <a:ext cx="277920" cy="26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4</xdr:row>
      <xdr:rowOff>47520</xdr:rowOff>
    </xdr:from>
    <xdr:to>
      <xdr:col>11</xdr:col>
      <xdr:colOff>457560</xdr:colOff>
      <xdr:row>4</xdr:row>
      <xdr:rowOff>184320</xdr:rowOff>
    </xdr:to>
    <xdr:pic>
      <xdr:nvPicPr>
        <xdr:cNvPr id="264" name="Imagem 10" descr=""/>
        <xdr:cNvPicPr/>
      </xdr:nvPicPr>
      <xdr:blipFill>
        <a:blip r:embed="rId9"/>
        <a:stretch/>
      </xdr:blipFill>
      <xdr:spPr>
        <a:xfrm>
          <a:off x="6718680" y="10476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7</xdr:row>
      <xdr:rowOff>79200</xdr:rowOff>
    </xdr:from>
    <xdr:to>
      <xdr:col>11</xdr:col>
      <xdr:colOff>484920</xdr:colOff>
      <xdr:row>7</xdr:row>
      <xdr:rowOff>225720</xdr:rowOff>
    </xdr:to>
    <xdr:pic>
      <xdr:nvPicPr>
        <xdr:cNvPr id="265" name="Imagem 11" descr=""/>
        <xdr:cNvPicPr/>
      </xdr:nvPicPr>
      <xdr:blipFill>
        <a:blip r:embed="rId10"/>
        <a:stretch/>
      </xdr:blipFill>
      <xdr:spPr>
        <a:xfrm>
          <a:off x="6704280" y="195552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5</xdr:row>
      <xdr:rowOff>66600</xdr:rowOff>
    </xdr:from>
    <xdr:to>
      <xdr:col>11</xdr:col>
      <xdr:colOff>462960</xdr:colOff>
      <xdr:row>5</xdr:row>
      <xdr:rowOff>216000</xdr:rowOff>
    </xdr:to>
    <xdr:pic>
      <xdr:nvPicPr>
        <xdr:cNvPr id="266" name="Imagem 12" descr=""/>
        <xdr:cNvPicPr/>
      </xdr:nvPicPr>
      <xdr:blipFill>
        <a:blip r:embed="rId11"/>
        <a:stretch/>
      </xdr:blipFill>
      <xdr:spPr>
        <a:xfrm>
          <a:off x="6720840" y="131436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6</xdr:row>
      <xdr:rowOff>47520</xdr:rowOff>
    </xdr:from>
    <xdr:to>
      <xdr:col>11</xdr:col>
      <xdr:colOff>414360</xdr:colOff>
      <xdr:row>6</xdr:row>
      <xdr:rowOff>270720</xdr:rowOff>
    </xdr:to>
    <xdr:pic>
      <xdr:nvPicPr>
        <xdr:cNvPr id="267" name="Imagem 13" descr=""/>
        <xdr:cNvPicPr/>
      </xdr:nvPicPr>
      <xdr:blipFill>
        <a:blip r:embed="rId12"/>
        <a:stretch/>
      </xdr:blipFill>
      <xdr:spPr>
        <a:xfrm>
          <a:off x="6718680" y="1581120"/>
          <a:ext cx="295200" cy="22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190440</xdr:colOff>
      <xdr:row>5</xdr:row>
      <xdr:rowOff>162000</xdr:rowOff>
    </xdr:from>
    <xdr:to>
      <xdr:col>9</xdr:col>
      <xdr:colOff>536040</xdr:colOff>
      <xdr:row>8</xdr:row>
      <xdr:rowOff>170640</xdr:rowOff>
    </xdr:to>
    <xdr:pic>
      <xdr:nvPicPr>
        <xdr:cNvPr id="268" name="Imagem 14" descr="">
          <a:hlinkClick r:id="rId13"/>
        </xdr:cNvPr>
        <xdr:cNvPicPr/>
      </xdr:nvPicPr>
      <xdr:blipFill>
        <a:blip r:embed="rId14"/>
        <a:stretch/>
      </xdr:blipFill>
      <xdr:spPr>
        <a:xfrm>
          <a:off x="3870360" y="1409760"/>
          <a:ext cx="1875960" cy="94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16</xdr:row>
      <xdr:rowOff>64440</xdr:rowOff>
    </xdr:from>
    <xdr:to>
      <xdr:col>1</xdr:col>
      <xdr:colOff>285120</xdr:colOff>
      <xdr:row>16</xdr:row>
      <xdr:rowOff>261720</xdr:rowOff>
    </xdr:to>
    <xdr:pic>
      <xdr:nvPicPr>
        <xdr:cNvPr id="269" name="Imagem 15" descr=""/>
        <xdr:cNvPicPr/>
      </xdr:nvPicPr>
      <xdr:blipFill>
        <a:blip r:embed="rId15"/>
        <a:stretch/>
      </xdr:blipFill>
      <xdr:spPr>
        <a:xfrm>
          <a:off x="859320" y="4845960"/>
          <a:ext cx="170640" cy="19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181080</xdr:colOff>
      <xdr:row>8</xdr:row>
      <xdr:rowOff>83520</xdr:rowOff>
    </xdr:from>
    <xdr:to>
      <xdr:col>11</xdr:col>
      <xdr:colOff>351720</xdr:colOff>
      <xdr:row>8</xdr:row>
      <xdr:rowOff>280800</xdr:rowOff>
    </xdr:to>
    <xdr:pic>
      <xdr:nvPicPr>
        <xdr:cNvPr id="270" name="Imagem 16" descr=""/>
        <xdr:cNvPicPr/>
      </xdr:nvPicPr>
      <xdr:blipFill>
        <a:blip r:embed="rId16"/>
        <a:stretch/>
      </xdr:blipFill>
      <xdr:spPr>
        <a:xfrm>
          <a:off x="6780600" y="2264760"/>
          <a:ext cx="170640" cy="19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13" name="Imagem 2" descr=""/>
        <xdr:cNvPicPr/>
      </xdr:nvPicPr>
      <xdr:blipFill>
        <a:blip r:embed="rId1"/>
        <a:stretch/>
      </xdr:blipFill>
      <xdr:spPr>
        <a:xfrm>
          <a:off x="476280" y="27813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14" name="Imagem 3" descr=""/>
        <xdr:cNvPicPr/>
      </xdr:nvPicPr>
      <xdr:blipFill>
        <a:blip r:embed="rId2"/>
        <a:stretch/>
      </xdr:blipFill>
      <xdr:spPr>
        <a:xfrm>
          <a:off x="476280" y="30956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33120</xdr:rowOff>
    </xdr:from>
    <xdr:to>
      <xdr:col>1</xdr:col>
      <xdr:colOff>513360</xdr:colOff>
      <xdr:row>13</xdr:row>
      <xdr:rowOff>263520</xdr:rowOff>
    </xdr:to>
    <xdr:pic>
      <xdr:nvPicPr>
        <xdr:cNvPr id="15" name="Imagem 4" descr=""/>
        <xdr:cNvPicPr/>
      </xdr:nvPicPr>
      <xdr:blipFill>
        <a:blip r:embed="rId3"/>
        <a:stretch/>
      </xdr:blipFill>
      <xdr:spPr>
        <a:xfrm>
          <a:off x="782280" y="384300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14</xdr:row>
      <xdr:rowOff>52200</xdr:rowOff>
    </xdr:from>
    <xdr:to>
      <xdr:col>1</xdr:col>
      <xdr:colOff>513360</xdr:colOff>
      <xdr:row>14</xdr:row>
      <xdr:rowOff>282600</xdr:rowOff>
    </xdr:to>
    <xdr:pic>
      <xdr:nvPicPr>
        <xdr:cNvPr id="16" name="Imagem 5" descr=""/>
        <xdr:cNvPicPr/>
      </xdr:nvPicPr>
      <xdr:blipFill>
        <a:blip r:embed="rId4"/>
        <a:stretch/>
      </xdr:blipFill>
      <xdr:spPr>
        <a:xfrm>
          <a:off x="782280" y="41860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11</xdr:row>
      <xdr:rowOff>266760</xdr:rowOff>
    </xdr:from>
    <xdr:to>
      <xdr:col>2</xdr:col>
      <xdr:colOff>151560</xdr:colOff>
      <xdr:row>13</xdr:row>
      <xdr:rowOff>65880</xdr:rowOff>
    </xdr:to>
    <xdr:pic>
      <xdr:nvPicPr>
        <xdr:cNvPr id="17" name="Imagem 6" descr=""/>
        <xdr:cNvPicPr/>
      </xdr:nvPicPr>
      <xdr:blipFill>
        <a:blip r:embed="rId5"/>
        <a:stretch/>
      </xdr:blipFill>
      <xdr:spPr>
        <a:xfrm>
          <a:off x="476280" y="342900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15</xdr:row>
      <xdr:rowOff>38160</xdr:rowOff>
    </xdr:from>
    <xdr:to>
      <xdr:col>1</xdr:col>
      <xdr:colOff>538200</xdr:colOff>
      <xdr:row>15</xdr:row>
      <xdr:rowOff>313920</xdr:rowOff>
    </xdr:to>
    <xdr:pic>
      <xdr:nvPicPr>
        <xdr:cNvPr id="18" name="Imagem 7" descr=""/>
        <xdr:cNvPicPr/>
      </xdr:nvPicPr>
      <xdr:blipFill>
        <a:blip r:embed="rId6"/>
        <a:stretch/>
      </xdr:blipFill>
      <xdr:spPr>
        <a:xfrm>
          <a:off x="820440" y="44960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19080</xdr:rowOff>
    </xdr:from>
    <xdr:to>
      <xdr:col>1</xdr:col>
      <xdr:colOff>312480</xdr:colOff>
      <xdr:row>16</xdr:row>
      <xdr:rowOff>256680</xdr:rowOff>
    </xdr:to>
    <xdr:pic>
      <xdr:nvPicPr>
        <xdr:cNvPr id="19" name="Imagem 8" descr=""/>
        <xdr:cNvPicPr/>
      </xdr:nvPicPr>
      <xdr:blipFill>
        <a:blip r:embed="rId7"/>
        <a:stretch/>
      </xdr:blipFill>
      <xdr:spPr>
        <a:xfrm>
          <a:off x="801360" y="480060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3</xdr:row>
      <xdr:rowOff>94680</xdr:rowOff>
    </xdr:to>
    <xdr:pic>
      <xdr:nvPicPr>
        <xdr:cNvPr id="20" name="Imagem 9" descr=""/>
        <xdr:cNvPicPr/>
      </xdr:nvPicPr>
      <xdr:blipFill>
        <a:blip r:embed="rId8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21" name="Imagem 10" descr=""/>
        <xdr:cNvPicPr/>
      </xdr:nvPicPr>
      <xdr:blipFill>
        <a:blip r:embed="rId9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22" name="Imagem 11" descr=""/>
        <xdr:cNvPicPr/>
      </xdr:nvPicPr>
      <xdr:blipFill>
        <a:blip r:embed="rId10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23" name="Imagem 12" descr=""/>
        <xdr:cNvPicPr/>
      </xdr:nvPicPr>
      <xdr:blipFill>
        <a:blip r:embed="rId11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47520</xdr:colOff>
      <xdr:row>4</xdr:row>
      <xdr:rowOff>218880</xdr:rowOff>
    </xdr:from>
    <xdr:to>
      <xdr:col>9</xdr:col>
      <xdr:colOff>542520</xdr:colOff>
      <xdr:row>8</xdr:row>
      <xdr:rowOff>180720</xdr:rowOff>
    </xdr:to>
    <xdr:pic>
      <xdr:nvPicPr>
        <xdr:cNvPr id="24" name="Imagem 14" descr="">
          <a:hlinkClick r:id="rId12"/>
        </xdr:cNvPr>
        <xdr:cNvPicPr/>
      </xdr:nvPicPr>
      <xdr:blipFill>
        <a:blip r:embed="rId13"/>
        <a:stretch/>
      </xdr:blipFill>
      <xdr:spPr>
        <a:xfrm>
          <a:off x="5015160" y="1218960"/>
          <a:ext cx="1106640" cy="114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5</xdr:row>
      <xdr:rowOff>57240</xdr:rowOff>
    </xdr:from>
    <xdr:to>
      <xdr:col>9</xdr:col>
      <xdr:colOff>275400</xdr:colOff>
      <xdr:row>8</xdr:row>
      <xdr:rowOff>251280</xdr:rowOff>
    </xdr:to>
    <xdr:pic>
      <xdr:nvPicPr>
        <xdr:cNvPr id="271" name="Imagem 1" descr="">
          <a:hlinkClick r:id="rId1"/>
        </xdr:cNvPr>
        <xdr:cNvPicPr/>
      </xdr:nvPicPr>
      <xdr:blipFill>
        <a:blip r:embed="rId2"/>
        <a:stretch/>
      </xdr:blipFill>
      <xdr:spPr>
        <a:xfrm>
          <a:off x="4110840" y="1305000"/>
          <a:ext cx="1374840" cy="11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10</xdr:row>
      <xdr:rowOff>85680</xdr:rowOff>
    </xdr:from>
    <xdr:to>
      <xdr:col>1</xdr:col>
      <xdr:colOff>361440</xdr:colOff>
      <xdr:row>10</xdr:row>
      <xdr:rowOff>227880</xdr:rowOff>
    </xdr:to>
    <xdr:pic>
      <xdr:nvPicPr>
        <xdr:cNvPr id="272" name="Imagem 19" descr=""/>
        <xdr:cNvPicPr/>
      </xdr:nvPicPr>
      <xdr:blipFill>
        <a:blip r:embed="rId3"/>
        <a:stretch/>
      </xdr:blipFill>
      <xdr:spPr>
        <a:xfrm>
          <a:off x="821160" y="292428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11</xdr:row>
      <xdr:rowOff>7560</xdr:rowOff>
    </xdr:from>
    <xdr:to>
      <xdr:col>1</xdr:col>
      <xdr:colOff>361080</xdr:colOff>
      <xdr:row>11</xdr:row>
      <xdr:rowOff>273240</xdr:rowOff>
    </xdr:to>
    <xdr:pic>
      <xdr:nvPicPr>
        <xdr:cNvPr id="273" name="Imagem 20" descr=""/>
        <xdr:cNvPicPr/>
      </xdr:nvPicPr>
      <xdr:blipFill>
        <a:blip r:embed="rId4"/>
        <a:stretch/>
      </xdr:blipFill>
      <xdr:spPr>
        <a:xfrm>
          <a:off x="828000" y="3169800"/>
          <a:ext cx="277920" cy="26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12</xdr:row>
      <xdr:rowOff>104760</xdr:rowOff>
    </xdr:from>
    <xdr:to>
      <xdr:col>1</xdr:col>
      <xdr:colOff>419400</xdr:colOff>
      <xdr:row>12</xdr:row>
      <xdr:rowOff>241560</xdr:rowOff>
    </xdr:to>
    <xdr:pic>
      <xdr:nvPicPr>
        <xdr:cNvPr id="274" name="Imagem 21" descr=""/>
        <xdr:cNvPicPr/>
      </xdr:nvPicPr>
      <xdr:blipFill>
        <a:blip r:embed="rId5"/>
        <a:stretch/>
      </xdr:blipFill>
      <xdr:spPr>
        <a:xfrm>
          <a:off x="825840" y="35910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117360</xdr:rowOff>
    </xdr:from>
    <xdr:to>
      <xdr:col>1</xdr:col>
      <xdr:colOff>446760</xdr:colOff>
      <xdr:row>15</xdr:row>
      <xdr:rowOff>263880</xdr:rowOff>
    </xdr:to>
    <xdr:pic>
      <xdr:nvPicPr>
        <xdr:cNvPr id="275" name="Imagem 22" descr=""/>
        <xdr:cNvPicPr/>
      </xdr:nvPicPr>
      <xdr:blipFill>
        <a:blip r:embed="rId6"/>
        <a:stretch/>
      </xdr:blipFill>
      <xdr:spPr>
        <a:xfrm>
          <a:off x="811440" y="457524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83160</xdr:colOff>
      <xdr:row>13</xdr:row>
      <xdr:rowOff>95400</xdr:rowOff>
    </xdr:from>
    <xdr:to>
      <xdr:col>1</xdr:col>
      <xdr:colOff>424800</xdr:colOff>
      <xdr:row>13</xdr:row>
      <xdr:rowOff>244800</xdr:rowOff>
    </xdr:to>
    <xdr:pic>
      <xdr:nvPicPr>
        <xdr:cNvPr id="276" name="Imagem 23" descr=""/>
        <xdr:cNvPicPr/>
      </xdr:nvPicPr>
      <xdr:blipFill>
        <a:blip r:embed="rId7"/>
        <a:stretch/>
      </xdr:blipFill>
      <xdr:spPr>
        <a:xfrm>
          <a:off x="828000" y="390528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14</xdr:row>
      <xdr:rowOff>57240</xdr:rowOff>
    </xdr:from>
    <xdr:to>
      <xdr:col>1</xdr:col>
      <xdr:colOff>376200</xdr:colOff>
      <xdr:row>14</xdr:row>
      <xdr:rowOff>280440</xdr:rowOff>
    </xdr:to>
    <xdr:pic>
      <xdr:nvPicPr>
        <xdr:cNvPr id="277" name="Imagem 24" descr=""/>
        <xdr:cNvPicPr/>
      </xdr:nvPicPr>
      <xdr:blipFill>
        <a:blip r:embed="rId8"/>
        <a:stretch/>
      </xdr:blipFill>
      <xdr:spPr>
        <a:xfrm>
          <a:off x="825840" y="4191120"/>
          <a:ext cx="295200" cy="22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114480</xdr:colOff>
      <xdr:row>2</xdr:row>
      <xdr:rowOff>47520</xdr:rowOff>
    </xdr:from>
    <xdr:to>
      <xdr:col>11</xdr:col>
      <xdr:colOff>399600</xdr:colOff>
      <xdr:row>2</xdr:row>
      <xdr:rowOff>189720</xdr:rowOff>
    </xdr:to>
    <xdr:pic>
      <xdr:nvPicPr>
        <xdr:cNvPr id="278" name="Imagem 25" descr=""/>
        <xdr:cNvPicPr/>
      </xdr:nvPicPr>
      <xdr:blipFill>
        <a:blip r:embed="rId9"/>
        <a:stretch/>
      </xdr:blipFill>
      <xdr:spPr>
        <a:xfrm>
          <a:off x="6714000" y="552240"/>
          <a:ext cx="28512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2</xdr:row>
      <xdr:rowOff>217080</xdr:rowOff>
    </xdr:from>
    <xdr:to>
      <xdr:col>11</xdr:col>
      <xdr:colOff>399240</xdr:colOff>
      <xdr:row>3</xdr:row>
      <xdr:rowOff>235080</xdr:rowOff>
    </xdr:to>
    <xdr:pic>
      <xdr:nvPicPr>
        <xdr:cNvPr id="279" name="Imagem 26" descr=""/>
        <xdr:cNvPicPr/>
      </xdr:nvPicPr>
      <xdr:blipFill>
        <a:blip r:embed="rId10"/>
        <a:stretch/>
      </xdr:blipFill>
      <xdr:spPr>
        <a:xfrm>
          <a:off x="6720840" y="721800"/>
          <a:ext cx="277920" cy="26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4</xdr:row>
      <xdr:rowOff>47520</xdr:rowOff>
    </xdr:from>
    <xdr:to>
      <xdr:col>11</xdr:col>
      <xdr:colOff>457560</xdr:colOff>
      <xdr:row>4</xdr:row>
      <xdr:rowOff>184320</xdr:rowOff>
    </xdr:to>
    <xdr:pic>
      <xdr:nvPicPr>
        <xdr:cNvPr id="280" name="Imagem 27" descr=""/>
        <xdr:cNvPicPr/>
      </xdr:nvPicPr>
      <xdr:blipFill>
        <a:blip r:embed="rId11"/>
        <a:stretch/>
      </xdr:blipFill>
      <xdr:spPr>
        <a:xfrm>
          <a:off x="6718680" y="1047600"/>
          <a:ext cx="338400" cy="13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7</xdr:row>
      <xdr:rowOff>79200</xdr:rowOff>
    </xdr:from>
    <xdr:to>
      <xdr:col>11</xdr:col>
      <xdr:colOff>484920</xdr:colOff>
      <xdr:row>7</xdr:row>
      <xdr:rowOff>225720</xdr:rowOff>
    </xdr:to>
    <xdr:pic>
      <xdr:nvPicPr>
        <xdr:cNvPr id="281" name="Imagem 28" descr=""/>
        <xdr:cNvPicPr/>
      </xdr:nvPicPr>
      <xdr:blipFill>
        <a:blip r:embed="rId12"/>
        <a:stretch/>
      </xdr:blipFill>
      <xdr:spPr>
        <a:xfrm>
          <a:off x="6704280" y="1955520"/>
          <a:ext cx="38016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121320</xdr:colOff>
      <xdr:row>5</xdr:row>
      <xdr:rowOff>66600</xdr:rowOff>
    </xdr:from>
    <xdr:to>
      <xdr:col>11</xdr:col>
      <xdr:colOff>462960</xdr:colOff>
      <xdr:row>5</xdr:row>
      <xdr:rowOff>216000</xdr:rowOff>
    </xdr:to>
    <xdr:pic>
      <xdr:nvPicPr>
        <xdr:cNvPr id="282" name="Imagem 29" descr=""/>
        <xdr:cNvPicPr/>
      </xdr:nvPicPr>
      <xdr:blipFill>
        <a:blip r:embed="rId13"/>
        <a:stretch/>
      </xdr:blipFill>
      <xdr:spPr>
        <a:xfrm>
          <a:off x="6720840" y="1314360"/>
          <a:ext cx="34164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119160</xdr:colOff>
      <xdr:row>6</xdr:row>
      <xdr:rowOff>47520</xdr:rowOff>
    </xdr:from>
    <xdr:to>
      <xdr:col>11</xdr:col>
      <xdr:colOff>414360</xdr:colOff>
      <xdr:row>6</xdr:row>
      <xdr:rowOff>270720</xdr:rowOff>
    </xdr:to>
    <xdr:pic>
      <xdr:nvPicPr>
        <xdr:cNvPr id="283" name="Imagem 30" descr=""/>
        <xdr:cNvPicPr/>
      </xdr:nvPicPr>
      <xdr:blipFill>
        <a:blip r:embed="rId14"/>
        <a:stretch/>
      </xdr:blipFill>
      <xdr:spPr>
        <a:xfrm>
          <a:off x="6718680" y="1581120"/>
          <a:ext cx="295200" cy="223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640080</xdr:colOff>
      <xdr:row>12</xdr:row>
      <xdr:rowOff>66600</xdr:rowOff>
    </xdr:from>
    <xdr:to>
      <xdr:col>1</xdr:col>
      <xdr:colOff>189720</xdr:colOff>
      <xdr:row>13</xdr:row>
      <xdr:rowOff>57960</xdr:rowOff>
    </xdr:to>
    <xdr:pic>
      <xdr:nvPicPr>
        <xdr:cNvPr id="284" name="Imagem 1" descr=""/>
        <xdr:cNvPicPr/>
      </xdr:nvPicPr>
      <xdr:blipFill>
        <a:blip r:embed="rId1"/>
        <a:stretch/>
      </xdr:blipFill>
      <xdr:spPr>
        <a:xfrm>
          <a:off x="640080" y="355284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737640</xdr:colOff>
      <xdr:row>10</xdr:row>
      <xdr:rowOff>206280</xdr:rowOff>
    </xdr:from>
    <xdr:to>
      <xdr:col>1</xdr:col>
      <xdr:colOff>246960</xdr:colOff>
      <xdr:row>11</xdr:row>
      <xdr:rowOff>81720</xdr:rowOff>
    </xdr:to>
    <xdr:pic>
      <xdr:nvPicPr>
        <xdr:cNvPr id="285" name="Imagem 2" descr=""/>
        <xdr:cNvPicPr/>
      </xdr:nvPicPr>
      <xdr:blipFill>
        <a:blip r:embed="rId2"/>
        <a:stretch/>
      </xdr:blipFill>
      <xdr:spPr>
        <a:xfrm>
          <a:off x="737640" y="304488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675720</xdr:colOff>
      <xdr:row>7</xdr:row>
      <xdr:rowOff>34560</xdr:rowOff>
    </xdr:from>
    <xdr:to>
      <xdr:col>1</xdr:col>
      <xdr:colOff>304200</xdr:colOff>
      <xdr:row>7</xdr:row>
      <xdr:rowOff>197640</xdr:rowOff>
    </xdr:to>
    <xdr:pic>
      <xdr:nvPicPr>
        <xdr:cNvPr id="286" name="Imagem 3" descr=""/>
        <xdr:cNvPicPr/>
      </xdr:nvPicPr>
      <xdr:blipFill>
        <a:blip r:embed="rId3"/>
        <a:stretch/>
      </xdr:blipFill>
      <xdr:spPr>
        <a:xfrm>
          <a:off x="675720" y="191088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690120</xdr:colOff>
      <xdr:row>8</xdr:row>
      <xdr:rowOff>133560</xdr:rowOff>
    </xdr:from>
    <xdr:to>
      <xdr:col>1</xdr:col>
      <xdr:colOff>352080</xdr:colOff>
      <xdr:row>8</xdr:row>
      <xdr:rowOff>302400</xdr:rowOff>
    </xdr:to>
    <xdr:pic>
      <xdr:nvPicPr>
        <xdr:cNvPr id="287" name="Imagem 4" descr=""/>
        <xdr:cNvPicPr/>
      </xdr:nvPicPr>
      <xdr:blipFill>
        <a:blip r:embed="rId4"/>
        <a:stretch/>
      </xdr:blipFill>
      <xdr:spPr>
        <a:xfrm>
          <a:off x="690120" y="231480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649800</xdr:colOff>
      <xdr:row>12</xdr:row>
      <xdr:rowOff>275040</xdr:rowOff>
    </xdr:from>
    <xdr:to>
      <xdr:col>1</xdr:col>
      <xdr:colOff>199440</xdr:colOff>
      <xdr:row>13</xdr:row>
      <xdr:rowOff>266040</xdr:rowOff>
    </xdr:to>
    <xdr:pic>
      <xdr:nvPicPr>
        <xdr:cNvPr id="288" name="Imagem 5" descr=""/>
        <xdr:cNvPicPr/>
      </xdr:nvPicPr>
      <xdr:blipFill>
        <a:blip r:embed="rId5"/>
        <a:stretch/>
      </xdr:blipFill>
      <xdr:spPr>
        <a:xfrm>
          <a:off x="649800" y="376128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184320</xdr:colOff>
      <xdr:row>7</xdr:row>
      <xdr:rowOff>199080</xdr:rowOff>
    </xdr:from>
    <xdr:to>
      <xdr:col>11</xdr:col>
      <xdr:colOff>478800</xdr:colOff>
      <xdr:row>8</xdr:row>
      <xdr:rowOff>209160</xdr:rowOff>
    </xdr:to>
    <xdr:pic>
      <xdr:nvPicPr>
        <xdr:cNvPr id="289" name="Imagem 6" descr=""/>
        <xdr:cNvPicPr/>
      </xdr:nvPicPr>
      <xdr:blipFill>
        <a:blip r:embed="rId6"/>
        <a:stretch/>
      </xdr:blipFill>
      <xdr:spPr>
        <a:xfrm>
          <a:off x="6783840" y="207540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224640</xdr:colOff>
      <xdr:row>5</xdr:row>
      <xdr:rowOff>254520</xdr:rowOff>
    </xdr:from>
    <xdr:to>
      <xdr:col>11</xdr:col>
      <xdr:colOff>478800</xdr:colOff>
      <xdr:row>6</xdr:row>
      <xdr:rowOff>167760</xdr:rowOff>
    </xdr:to>
    <xdr:pic>
      <xdr:nvPicPr>
        <xdr:cNvPr id="290" name="Imagem 7" descr=""/>
        <xdr:cNvPicPr/>
      </xdr:nvPicPr>
      <xdr:blipFill>
        <a:blip r:embed="rId7"/>
        <a:stretch/>
      </xdr:blipFill>
      <xdr:spPr>
        <a:xfrm>
          <a:off x="6824160" y="150228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210240</xdr:colOff>
      <xdr:row>1</xdr:row>
      <xdr:rowOff>177480</xdr:rowOff>
    </xdr:from>
    <xdr:to>
      <xdr:col>11</xdr:col>
      <xdr:colOff>583560</xdr:colOff>
      <xdr:row>2</xdr:row>
      <xdr:rowOff>92880</xdr:rowOff>
    </xdr:to>
    <xdr:pic>
      <xdr:nvPicPr>
        <xdr:cNvPr id="291" name="Imagem 8" descr=""/>
        <xdr:cNvPicPr/>
      </xdr:nvPicPr>
      <xdr:blipFill>
        <a:blip r:embed="rId8"/>
        <a:stretch/>
      </xdr:blipFill>
      <xdr:spPr>
        <a:xfrm>
          <a:off x="6809760" y="43452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195840</xdr:colOff>
      <xdr:row>2</xdr:row>
      <xdr:rowOff>152640</xdr:rowOff>
    </xdr:from>
    <xdr:to>
      <xdr:col>11</xdr:col>
      <xdr:colOff>602640</xdr:colOff>
      <xdr:row>3</xdr:row>
      <xdr:rowOff>73800</xdr:rowOff>
    </xdr:to>
    <xdr:pic>
      <xdr:nvPicPr>
        <xdr:cNvPr id="292" name="Imagem 9" descr=""/>
        <xdr:cNvPicPr/>
      </xdr:nvPicPr>
      <xdr:blipFill>
        <a:blip r:embed="rId9"/>
        <a:stretch/>
      </xdr:blipFill>
      <xdr:spPr>
        <a:xfrm>
          <a:off x="6795360" y="65736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687960</xdr:colOff>
      <xdr:row>9</xdr:row>
      <xdr:rowOff>304560</xdr:rowOff>
    </xdr:from>
    <xdr:to>
      <xdr:col>1</xdr:col>
      <xdr:colOff>312120</xdr:colOff>
      <xdr:row>10</xdr:row>
      <xdr:rowOff>269640</xdr:rowOff>
    </xdr:to>
    <xdr:pic>
      <xdr:nvPicPr>
        <xdr:cNvPr id="293" name="Imagem 11" descr=""/>
        <xdr:cNvPicPr/>
      </xdr:nvPicPr>
      <xdr:blipFill>
        <a:blip r:embed="rId10"/>
        <a:stretch/>
      </xdr:blipFill>
      <xdr:spPr>
        <a:xfrm>
          <a:off x="687960" y="2819160"/>
          <a:ext cx="369000" cy="28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676080</xdr:colOff>
      <xdr:row>9</xdr:row>
      <xdr:rowOff>133200</xdr:rowOff>
    </xdr:from>
    <xdr:to>
      <xdr:col>1</xdr:col>
      <xdr:colOff>381960</xdr:colOff>
      <xdr:row>10</xdr:row>
      <xdr:rowOff>18000</xdr:rowOff>
    </xdr:to>
    <xdr:pic>
      <xdr:nvPicPr>
        <xdr:cNvPr id="294" name="Imagem 12" descr=""/>
        <xdr:cNvPicPr/>
      </xdr:nvPicPr>
      <xdr:blipFill>
        <a:blip r:embed="rId11"/>
        <a:stretch/>
      </xdr:blipFill>
      <xdr:spPr>
        <a:xfrm>
          <a:off x="676080" y="2647800"/>
          <a:ext cx="45072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687960</xdr:colOff>
      <xdr:row>11</xdr:row>
      <xdr:rowOff>266760</xdr:rowOff>
    </xdr:from>
    <xdr:to>
      <xdr:col>1</xdr:col>
      <xdr:colOff>527760</xdr:colOff>
      <xdr:row>12</xdr:row>
      <xdr:rowOff>113400</xdr:rowOff>
    </xdr:to>
    <xdr:pic>
      <xdr:nvPicPr>
        <xdr:cNvPr id="295" name="Imagem 13" descr=""/>
        <xdr:cNvPicPr/>
      </xdr:nvPicPr>
      <xdr:blipFill>
        <a:blip r:embed="rId12"/>
        <a:stretch/>
      </xdr:blipFill>
      <xdr:spPr>
        <a:xfrm>
          <a:off x="687960" y="3429000"/>
          <a:ext cx="58464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704520</xdr:colOff>
      <xdr:row>9</xdr:row>
      <xdr:rowOff>0</xdr:rowOff>
    </xdr:from>
    <xdr:to>
      <xdr:col>1</xdr:col>
      <xdr:colOff>332280</xdr:colOff>
      <xdr:row>9</xdr:row>
      <xdr:rowOff>132840</xdr:rowOff>
    </xdr:to>
    <xdr:pic>
      <xdr:nvPicPr>
        <xdr:cNvPr id="296" name="Imagem 14" descr=""/>
        <xdr:cNvPicPr/>
      </xdr:nvPicPr>
      <xdr:blipFill>
        <a:blip r:embed="rId13"/>
        <a:stretch/>
      </xdr:blipFill>
      <xdr:spPr>
        <a:xfrm>
          <a:off x="704520" y="2514600"/>
          <a:ext cx="37260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682920</xdr:colOff>
      <xdr:row>11</xdr:row>
      <xdr:rowOff>114480</xdr:rowOff>
    </xdr:from>
    <xdr:to>
      <xdr:col>1</xdr:col>
      <xdr:colOff>552960</xdr:colOff>
      <xdr:row>11</xdr:row>
      <xdr:rowOff>232920</xdr:rowOff>
    </xdr:to>
    <xdr:pic>
      <xdr:nvPicPr>
        <xdr:cNvPr id="297" name="Imagem 15" descr=""/>
        <xdr:cNvPicPr/>
      </xdr:nvPicPr>
      <xdr:blipFill>
        <a:blip r:embed="rId14"/>
        <a:stretch/>
      </xdr:blipFill>
      <xdr:spPr>
        <a:xfrm>
          <a:off x="682920" y="3276720"/>
          <a:ext cx="614880" cy="11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737640</xdr:colOff>
      <xdr:row>7</xdr:row>
      <xdr:rowOff>253440</xdr:rowOff>
    </xdr:from>
    <xdr:to>
      <xdr:col>1</xdr:col>
      <xdr:colOff>275400</xdr:colOff>
      <xdr:row>8</xdr:row>
      <xdr:rowOff>100800</xdr:rowOff>
    </xdr:to>
    <xdr:pic>
      <xdr:nvPicPr>
        <xdr:cNvPr id="298" name="Imagem 16" descr=""/>
        <xdr:cNvPicPr/>
      </xdr:nvPicPr>
      <xdr:blipFill>
        <a:blip r:embed="rId15"/>
        <a:stretch/>
      </xdr:blipFill>
      <xdr:spPr>
        <a:xfrm>
          <a:off x="737640" y="2129760"/>
          <a:ext cx="282600" cy="1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205560</xdr:colOff>
      <xdr:row>2</xdr:row>
      <xdr:rowOff>91440</xdr:rowOff>
    </xdr:from>
    <xdr:to>
      <xdr:col>11</xdr:col>
      <xdr:colOff>488160</xdr:colOff>
      <xdr:row>2</xdr:row>
      <xdr:rowOff>243720</xdr:rowOff>
    </xdr:to>
    <xdr:pic>
      <xdr:nvPicPr>
        <xdr:cNvPr id="299" name="Imagem 17" descr=""/>
        <xdr:cNvPicPr/>
      </xdr:nvPicPr>
      <xdr:blipFill>
        <a:blip r:embed="rId16"/>
        <a:stretch/>
      </xdr:blipFill>
      <xdr:spPr>
        <a:xfrm>
          <a:off x="6805080" y="596160"/>
          <a:ext cx="282600" cy="1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165240</xdr:colOff>
      <xdr:row>5</xdr:row>
      <xdr:rowOff>19080</xdr:rowOff>
    </xdr:from>
    <xdr:to>
      <xdr:col>11</xdr:col>
      <xdr:colOff>534240</xdr:colOff>
      <xdr:row>6</xdr:row>
      <xdr:rowOff>22320</xdr:rowOff>
    </xdr:to>
    <xdr:pic>
      <xdr:nvPicPr>
        <xdr:cNvPr id="300" name="Imagem 18" descr=""/>
        <xdr:cNvPicPr/>
      </xdr:nvPicPr>
      <xdr:blipFill>
        <a:blip r:embed="rId17"/>
        <a:stretch/>
      </xdr:blipFill>
      <xdr:spPr>
        <a:xfrm>
          <a:off x="6764760" y="1266840"/>
          <a:ext cx="369000" cy="28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153360</xdr:colOff>
      <xdr:row>4</xdr:row>
      <xdr:rowOff>114480</xdr:rowOff>
    </xdr:from>
    <xdr:to>
      <xdr:col>11</xdr:col>
      <xdr:colOff>604080</xdr:colOff>
      <xdr:row>5</xdr:row>
      <xdr:rowOff>75600</xdr:rowOff>
    </xdr:to>
    <xdr:pic>
      <xdr:nvPicPr>
        <xdr:cNvPr id="301" name="Imagem 19" descr=""/>
        <xdr:cNvPicPr/>
      </xdr:nvPicPr>
      <xdr:blipFill>
        <a:blip r:embed="rId18"/>
        <a:stretch/>
      </xdr:blipFill>
      <xdr:spPr>
        <a:xfrm>
          <a:off x="6752880" y="1114560"/>
          <a:ext cx="45072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181800</xdr:colOff>
      <xdr:row>3</xdr:row>
      <xdr:rowOff>219240</xdr:rowOff>
    </xdr:from>
    <xdr:to>
      <xdr:col>11</xdr:col>
      <xdr:colOff>554400</xdr:colOff>
      <xdr:row>4</xdr:row>
      <xdr:rowOff>104400</xdr:rowOff>
    </xdr:to>
    <xdr:pic>
      <xdr:nvPicPr>
        <xdr:cNvPr id="302" name="Imagem 20" descr=""/>
        <xdr:cNvPicPr/>
      </xdr:nvPicPr>
      <xdr:blipFill>
        <a:blip r:embed="rId19"/>
        <a:stretch/>
      </xdr:blipFill>
      <xdr:spPr>
        <a:xfrm>
          <a:off x="6781320" y="971640"/>
          <a:ext cx="37260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165240</xdr:colOff>
      <xdr:row>7</xdr:row>
      <xdr:rowOff>66240</xdr:rowOff>
    </xdr:from>
    <xdr:to>
      <xdr:col>11</xdr:col>
      <xdr:colOff>555120</xdr:colOff>
      <xdr:row>7</xdr:row>
      <xdr:rowOff>180360</xdr:rowOff>
    </xdr:to>
    <xdr:pic>
      <xdr:nvPicPr>
        <xdr:cNvPr id="303" name="Imagem 21" descr=""/>
        <xdr:cNvPicPr/>
      </xdr:nvPicPr>
      <xdr:blipFill>
        <a:blip r:embed="rId20"/>
        <a:stretch/>
      </xdr:blipFill>
      <xdr:spPr>
        <a:xfrm>
          <a:off x="6764760" y="1942560"/>
          <a:ext cx="389880" cy="11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160560</xdr:colOff>
      <xdr:row>6</xdr:row>
      <xdr:rowOff>214200</xdr:rowOff>
    </xdr:from>
    <xdr:to>
      <xdr:col>12</xdr:col>
      <xdr:colOff>16200</xdr:colOff>
      <xdr:row>6</xdr:row>
      <xdr:rowOff>308520</xdr:rowOff>
    </xdr:to>
    <xdr:pic>
      <xdr:nvPicPr>
        <xdr:cNvPr id="304" name="Imagem 22" descr=""/>
        <xdr:cNvPicPr/>
      </xdr:nvPicPr>
      <xdr:blipFill>
        <a:blip r:embed="rId21"/>
        <a:stretch/>
      </xdr:blipFill>
      <xdr:spPr>
        <a:xfrm>
          <a:off x="6760080" y="1747800"/>
          <a:ext cx="489960" cy="9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217080</xdr:colOff>
      <xdr:row>2</xdr:row>
      <xdr:rowOff>133560</xdr:rowOff>
    </xdr:from>
    <xdr:to>
      <xdr:col>9</xdr:col>
      <xdr:colOff>454320</xdr:colOff>
      <xdr:row>9</xdr:row>
      <xdr:rowOff>259200</xdr:rowOff>
    </xdr:to>
    <xdr:pic>
      <xdr:nvPicPr>
        <xdr:cNvPr id="305" name="Imagem 23" descr="">
          <a:hlinkClick r:id="rId22"/>
        </xdr:cNvPr>
        <xdr:cNvPicPr/>
      </xdr:nvPicPr>
      <xdr:blipFill>
        <a:blip r:embed="rId23"/>
        <a:stretch/>
      </xdr:blipFill>
      <xdr:spPr>
        <a:xfrm>
          <a:off x="4299480" y="638280"/>
          <a:ext cx="1365120" cy="213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668880</xdr:colOff>
      <xdr:row>13</xdr:row>
      <xdr:rowOff>228600</xdr:rowOff>
    </xdr:from>
    <xdr:to>
      <xdr:col>1</xdr:col>
      <xdr:colOff>247320</xdr:colOff>
      <xdr:row>14</xdr:row>
      <xdr:rowOff>111960</xdr:rowOff>
    </xdr:to>
    <xdr:pic>
      <xdr:nvPicPr>
        <xdr:cNvPr id="306" name="Imagem 24" descr=""/>
        <xdr:cNvPicPr/>
      </xdr:nvPicPr>
      <xdr:blipFill>
        <a:blip r:embed="rId24"/>
        <a:stretch/>
      </xdr:blipFill>
      <xdr:spPr>
        <a:xfrm>
          <a:off x="668880" y="4038480"/>
          <a:ext cx="32328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193680</xdr:colOff>
      <xdr:row>8</xdr:row>
      <xdr:rowOff>114480</xdr:rowOff>
    </xdr:from>
    <xdr:to>
      <xdr:col>11</xdr:col>
      <xdr:colOff>516960</xdr:colOff>
      <xdr:row>8</xdr:row>
      <xdr:rowOff>321840</xdr:rowOff>
    </xdr:to>
    <xdr:pic>
      <xdr:nvPicPr>
        <xdr:cNvPr id="307" name="Imagem 25" descr=""/>
        <xdr:cNvPicPr/>
      </xdr:nvPicPr>
      <xdr:blipFill>
        <a:blip r:embed="rId25"/>
        <a:stretch/>
      </xdr:blipFill>
      <xdr:spPr>
        <a:xfrm>
          <a:off x="6793200" y="2295720"/>
          <a:ext cx="323280" cy="20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</xdr:colOff>
      <xdr:row>5</xdr:row>
      <xdr:rowOff>85680</xdr:rowOff>
    </xdr:from>
    <xdr:to>
      <xdr:col>9</xdr:col>
      <xdr:colOff>294480</xdr:colOff>
      <xdr:row>8</xdr:row>
      <xdr:rowOff>236520</xdr:rowOff>
    </xdr:to>
    <xdr:pic>
      <xdr:nvPicPr>
        <xdr:cNvPr id="308" name="Imagem 19" descr="">
          <a:hlinkClick r:id="rId1"/>
        </xdr:cNvPr>
        <xdr:cNvPicPr/>
      </xdr:nvPicPr>
      <xdr:blipFill>
        <a:blip r:embed="rId2"/>
        <a:stretch/>
      </xdr:blipFill>
      <xdr:spPr>
        <a:xfrm>
          <a:off x="4101480" y="1333440"/>
          <a:ext cx="1403280" cy="108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12</xdr:row>
      <xdr:rowOff>85680</xdr:rowOff>
    </xdr:from>
    <xdr:to>
      <xdr:col>1</xdr:col>
      <xdr:colOff>266760</xdr:colOff>
      <xdr:row>12</xdr:row>
      <xdr:rowOff>285120</xdr:rowOff>
    </xdr:to>
    <xdr:pic>
      <xdr:nvPicPr>
        <xdr:cNvPr id="309" name="Imagem 1" descr=""/>
        <xdr:cNvPicPr/>
      </xdr:nvPicPr>
      <xdr:blipFill>
        <a:blip r:embed="rId3"/>
        <a:stretch/>
      </xdr:blipFill>
      <xdr:spPr>
        <a:xfrm>
          <a:off x="840240" y="3571920"/>
          <a:ext cx="17136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11</xdr:row>
      <xdr:rowOff>47520</xdr:rowOff>
    </xdr:from>
    <xdr:to>
      <xdr:col>1</xdr:col>
      <xdr:colOff>279000</xdr:colOff>
      <xdr:row>11</xdr:row>
      <xdr:rowOff>272880</xdr:rowOff>
    </xdr:to>
    <xdr:pic>
      <xdr:nvPicPr>
        <xdr:cNvPr id="310" name="Imagem 2" descr=""/>
        <xdr:cNvPicPr/>
      </xdr:nvPicPr>
      <xdr:blipFill>
        <a:blip r:embed="rId4"/>
        <a:stretch/>
      </xdr:blipFill>
      <xdr:spPr>
        <a:xfrm>
          <a:off x="847080" y="3209760"/>
          <a:ext cx="17676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90360</xdr:colOff>
      <xdr:row>10</xdr:row>
      <xdr:rowOff>29160</xdr:rowOff>
    </xdr:from>
    <xdr:to>
      <xdr:col>1</xdr:col>
      <xdr:colOff>294480</xdr:colOff>
      <xdr:row>10</xdr:row>
      <xdr:rowOff>289800</xdr:rowOff>
    </xdr:to>
    <xdr:pic>
      <xdr:nvPicPr>
        <xdr:cNvPr id="311" name="Imagem 3" descr=""/>
        <xdr:cNvPicPr/>
      </xdr:nvPicPr>
      <xdr:blipFill>
        <a:blip r:embed="rId5"/>
        <a:stretch/>
      </xdr:blipFill>
      <xdr:spPr>
        <a:xfrm>
          <a:off x="835200" y="2867760"/>
          <a:ext cx="204120" cy="26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116640</xdr:colOff>
      <xdr:row>7</xdr:row>
      <xdr:rowOff>19080</xdr:rowOff>
    </xdr:from>
    <xdr:to>
      <xdr:col>11</xdr:col>
      <xdr:colOff>394560</xdr:colOff>
      <xdr:row>8</xdr:row>
      <xdr:rowOff>11160</xdr:rowOff>
    </xdr:to>
    <xdr:pic>
      <xdr:nvPicPr>
        <xdr:cNvPr id="312" name="Imagem 4" descr=""/>
        <xdr:cNvPicPr/>
      </xdr:nvPicPr>
      <xdr:blipFill>
        <a:blip r:embed="rId6"/>
        <a:stretch/>
      </xdr:blipFill>
      <xdr:spPr>
        <a:xfrm>
          <a:off x="6716160" y="1895400"/>
          <a:ext cx="277920" cy="29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13</xdr:row>
      <xdr:rowOff>38160</xdr:rowOff>
    </xdr:from>
    <xdr:to>
      <xdr:col>1</xdr:col>
      <xdr:colOff>271800</xdr:colOff>
      <xdr:row>13</xdr:row>
      <xdr:rowOff>294480</xdr:rowOff>
    </xdr:to>
    <xdr:pic>
      <xdr:nvPicPr>
        <xdr:cNvPr id="313" name="Imagem 5" descr=""/>
        <xdr:cNvPicPr/>
      </xdr:nvPicPr>
      <xdr:blipFill>
        <a:blip r:embed="rId7"/>
        <a:stretch/>
      </xdr:blipFill>
      <xdr:spPr>
        <a:xfrm>
          <a:off x="849600" y="3848040"/>
          <a:ext cx="16704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14</xdr:row>
      <xdr:rowOff>85680</xdr:rowOff>
    </xdr:from>
    <xdr:to>
      <xdr:col>1</xdr:col>
      <xdr:colOff>302760</xdr:colOff>
      <xdr:row>14</xdr:row>
      <xdr:rowOff>252000</xdr:rowOff>
    </xdr:to>
    <xdr:pic>
      <xdr:nvPicPr>
        <xdr:cNvPr id="314" name="Imagem 6" descr=""/>
        <xdr:cNvPicPr/>
      </xdr:nvPicPr>
      <xdr:blipFill>
        <a:blip r:embed="rId8"/>
        <a:stretch/>
      </xdr:blipFill>
      <xdr:spPr>
        <a:xfrm>
          <a:off x="789840" y="4219560"/>
          <a:ext cx="257760" cy="1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40320</xdr:colOff>
      <xdr:row>16</xdr:row>
      <xdr:rowOff>47520</xdr:rowOff>
    </xdr:from>
    <xdr:to>
      <xdr:col>1</xdr:col>
      <xdr:colOff>318240</xdr:colOff>
      <xdr:row>17</xdr:row>
      <xdr:rowOff>20520</xdr:rowOff>
    </xdr:to>
    <xdr:pic>
      <xdr:nvPicPr>
        <xdr:cNvPr id="315" name="Imagem 8" descr=""/>
        <xdr:cNvPicPr/>
      </xdr:nvPicPr>
      <xdr:blipFill>
        <a:blip r:embed="rId9"/>
        <a:stretch/>
      </xdr:blipFill>
      <xdr:spPr>
        <a:xfrm>
          <a:off x="785160" y="4829040"/>
          <a:ext cx="277920" cy="29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209520</xdr:colOff>
      <xdr:row>4</xdr:row>
      <xdr:rowOff>38160</xdr:rowOff>
    </xdr:from>
    <xdr:to>
      <xdr:col>11</xdr:col>
      <xdr:colOff>356400</xdr:colOff>
      <xdr:row>4</xdr:row>
      <xdr:rowOff>208800</xdr:rowOff>
    </xdr:to>
    <xdr:pic>
      <xdr:nvPicPr>
        <xdr:cNvPr id="316" name="Imagem 9" descr=""/>
        <xdr:cNvPicPr/>
      </xdr:nvPicPr>
      <xdr:blipFill>
        <a:blip r:embed="rId10"/>
        <a:stretch/>
      </xdr:blipFill>
      <xdr:spPr>
        <a:xfrm>
          <a:off x="6809040" y="1038240"/>
          <a:ext cx="14688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188280</xdr:colOff>
      <xdr:row>3</xdr:row>
      <xdr:rowOff>9360</xdr:rowOff>
    </xdr:from>
    <xdr:to>
      <xdr:col>11</xdr:col>
      <xdr:colOff>349920</xdr:colOff>
      <xdr:row>3</xdr:row>
      <xdr:rowOff>215640</xdr:rowOff>
    </xdr:to>
    <xdr:pic>
      <xdr:nvPicPr>
        <xdr:cNvPr id="317" name="Imagem 10" descr=""/>
        <xdr:cNvPicPr/>
      </xdr:nvPicPr>
      <xdr:blipFill>
        <a:blip r:embed="rId11"/>
        <a:stretch/>
      </xdr:blipFill>
      <xdr:spPr>
        <a:xfrm>
          <a:off x="6787800" y="761760"/>
          <a:ext cx="161640" cy="20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185760</xdr:colOff>
      <xdr:row>2</xdr:row>
      <xdr:rowOff>9360</xdr:rowOff>
    </xdr:from>
    <xdr:to>
      <xdr:col>11</xdr:col>
      <xdr:colOff>338040</xdr:colOff>
      <xdr:row>2</xdr:row>
      <xdr:rowOff>203760</xdr:rowOff>
    </xdr:to>
    <xdr:pic>
      <xdr:nvPicPr>
        <xdr:cNvPr id="318" name="Imagem 11" descr=""/>
        <xdr:cNvPicPr/>
      </xdr:nvPicPr>
      <xdr:blipFill>
        <a:blip r:embed="rId12"/>
        <a:stretch/>
      </xdr:blipFill>
      <xdr:spPr>
        <a:xfrm>
          <a:off x="6785280" y="514080"/>
          <a:ext cx="152280" cy="19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209520</xdr:colOff>
      <xdr:row>5</xdr:row>
      <xdr:rowOff>38160</xdr:rowOff>
    </xdr:from>
    <xdr:to>
      <xdr:col>11</xdr:col>
      <xdr:colOff>326880</xdr:colOff>
      <xdr:row>5</xdr:row>
      <xdr:rowOff>218520</xdr:rowOff>
    </xdr:to>
    <xdr:pic>
      <xdr:nvPicPr>
        <xdr:cNvPr id="319" name="Imagem 13" descr=""/>
        <xdr:cNvPicPr/>
      </xdr:nvPicPr>
      <xdr:blipFill>
        <a:blip r:embed="rId13"/>
        <a:stretch/>
      </xdr:blipFill>
      <xdr:spPr>
        <a:xfrm>
          <a:off x="6809040" y="1285920"/>
          <a:ext cx="11736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168840</xdr:colOff>
      <xdr:row>6</xdr:row>
      <xdr:rowOff>95400</xdr:rowOff>
    </xdr:from>
    <xdr:to>
      <xdr:col>11</xdr:col>
      <xdr:colOff>426600</xdr:colOff>
      <xdr:row>6</xdr:row>
      <xdr:rowOff>261720</xdr:rowOff>
    </xdr:to>
    <xdr:pic>
      <xdr:nvPicPr>
        <xdr:cNvPr id="320" name="Imagem 14" descr=""/>
        <xdr:cNvPicPr/>
      </xdr:nvPicPr>
      <xdr:blipFill>
        <a:blip r:embed="rId14"/>
        <a:stretch/>
      </xdr:blipFill>
      <xdr:spPr>
        <a:xfrm>
          <a:off x="6768360" y="1629000"/>
          <a:ext cx="257760" cy="1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30960</xdr:colOff>
      <xdr:row>15</xdr:row>
      <xdr:rowOff>0</xdr:rowOff>
    </xdr:from>
    <xdr:to>
      <xdr:col>1</xdr:col>
      <xdr:colOff>308880</xdr:colOff>
      <xdr:row>15</xdr:row>
      <xdr:rowOff>297000</xdr:rowOff>
    </xdr:to>
    <xdr:pic>
      <xdr:nvPicPr>
        <xdr:cNvPr id="321" name="Imagem 15" descr=""/>
        <xdr:cNvPicPr/>
      </xdr:nvPicPr>
      <xdr:blipFill>
        <a:blip r:embed="rId15"/>
        <a:stretch/>
      </xdr:blipFill>
      <xdr:spPr>
        <a:xfrm>
          <a:off x="775800" y="4457880"/>
          <a:ext cx="277920" cy="29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17</xdr:row>
      <xdr:rowOff>294120</xdr:rowOff>
    </xdr:from>
    <xdr:to>
      <xdr:col>1</xdr:col>
      <xdr:colOff>361080</xdr:colOff>
      <xdr:row>18</xdr:row>
      <xdr:rowOff>285120</xdr:rowOff>
    </xdr:to>
    <xdr:pic>
      <xdr:nvPicPr>
        <xdr:cNvPr id="322" name="Imagem 1" descr=""/>
        <xdr:cNvPicPr/>
      </xdr:nvPicPr>
      <xdr:blipFill>
        <a:blip r:embed="rId1"/>
        <a:stretch/>
      </xdr:blipFill>
      <xdr:spPr>
        <a:xfrm>
          <a:off x="811440" y="539964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16</xdr:row>
      <xdr:rowOff>63720</xdr:rowOff>
    </xdr:from>
    <xdr:to>
      <xdr:col>1</xdr:col>
      <xdr:colOff>380160</xdr:colOff>
      <xdr:row>16</xdr:row>
      <xdr:rowOff>262800</xdr:rowOff>
    </xdr:to>
    <xdr:pic>
      <xdr:nvPicPr>
        <xdr:cNvPr id="323" name="Imagem 4" descr=""/>
        <xdr:cNvPicPr/>
      </xdr:nvPicPr>
      <xdr:blipFill>
        <a:blip r:embed="rId2"/>
        <a:stretch/>
      </xdr:blipFill>
      <xdr:spPr>
        <a:xfrm>
          <a:off x="870840" y="4845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19</xdr:row>
      <xdr:rowOff>8280</xdr:rowOff>
    </xdr:from>
    <xdr:to>
      <xdr:col>1</xdr:col>
      <xdr:colOff>332640</xdr:colOff>
      <xdr:row>20</xdr:row>
      <xdr:rowOff>37440</xdr:rowOff>
    </xdr:to>
    <xdr:pic>
      <xdr:nvPicPr>
        <xdr:cNvPr id="324" name="Imagem 6" descr=""/>
        <xdr:cNvPicPr/>
      </xdr:nvPicPr>
      <xdr:blipFill>
        <a:blip r:embed="rId3"/>
        <a:stretch/>
      </xdr:blipFill>
      <xdr:spPr>
        <a:xfrm>
          <a:off x="783000" y="572328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10</xdr:row>
      <xdr:rowOff>27360</xdr:rowOff>
    </xdr:from>
    <xdr:to>
      <xdr:col>11</xdr:col>
      <xdr:colOff>303840</xdr:colOff>
      <xdr:row>11</xdr:row>
      <xdr:rowOff>18360</xdr:rowOff>
    </xdr:to>
    <xdr:pic>
      <xdr:nvPicPr>
        <xdr:cNvPr id="325" name="Imagem 7" descr=""/>
        <xdr:cNvPicPr/>
      </xdr:nvPicPr>
      <xdr:blipFill>
        <a:blip r:embed="rId4"/>
        <a:stretch/>
      </xdr:blipFill>
      <xdr:spPr>
        <a:xfrm>
          <a:off x="6608880" y="286596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97560</xdr:colOff>
      <xdr:row>8</xdr:row>
      <xdr:rowOff>45000</xdr:rowOff>
    </xdr:from>
    <xdr:to>
      <xdr:col>11</xdr:col>
      <xdr:colOff>351720</xdr:colOff>
      <xdr:row>8</xdr:row>
      <xdr:rowOff>244080</xdr:rowOff>
    </xdr:to>
    <xdr:pic>
      <xdr:nvPicPr>
        <xdr:cNvPr id="326" name="Imagem 10" descr=""/>
        <xdr:cNvPicPr/>
      </xdr:nvPicPr>
      <xdr:blipFill>
        <a:blip r:embed="rId5"/>
        <a:stretch/>
      </xdr:blipFill>
      <xdr:spPr>
        <a:xfrm>
          <a:off x="6697080" y="2226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10</xdr:row>
      <xdr:rowOff>76320</xdr:rowOff>
    </xdr:from>
    <xdr:to>
      <xdr:col>1</xdr:col>
      <xdr:colOff>606240</xdr:colOff>
      <xdr:row>10</xdr:row>
      <xdr:rowOff>234000</xdr:rowOff>
    </xdr:to>
    <xdr:pic>
      <xdr:nvPicPr>
        <xdr:cNvPr id="327" name="Imagem 13" descr=""/>
        <xdr:cNvPicPr/>
      </xdr:nvPicPr>
      <xdr:blipFill>
        <a:blip r:embed="rId6"/>
        <a:stretch/>
      </xdr:blipFill>
      <xdr:spPr>
        <a:xfrm>
          <a:off x="830520" y="2914920"/>
          <a:ext cx="520560" cy="15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12</xdr:row>
      <xdr:rowOff>114840</xdr:rowOff>
    </xdr:from>
    <xdr:to>
      <xdr:col>1</xdr:col>
      <xdr:colOff>561600</xdr:colOff>
      <xdr:row>12</xdr:row>
      <xdr:rowOff>249480</xdr:rowOff>
    </xdr:to>
    <xdr:pic>
      <xdr:nvPicPr>
        <xdr:cNvPr id="328" name="Imagem 14" descr=""/>
        <xdr:cNvPicPr/>
      </xdr:nvPicPr>
      <xdr:blipFill>
        <a:blip r:embed="rId7"/>
        <a:stretch/>
      </xdr:blipFill>
      <xdr:spPr>
        <a:xfrm>
          <a:off x="809280" y="3601080"/>
          <a:ext cx="497160" cy="13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2</xdr:row>
      <xdr:rowOff>65880</xdr:rowOff>
    </xdr:from>
    <xdr:to>
      <xdr:col>11</xdr:col>
      <xdr:colOff>475560</xdr:colOff>
      <xdr:row>2</xdr:row>
      <xdr:rowOff>189720</xdr:rowOff>
    </xdr:to>
    <xdr:pic>
      <xdr:nvPicPr>
        <xdr:cNvPr id="329" name="Imagem 16" descr=""/>
        <xdr:cNvPicPr/>
      </xdr:nvPicPr>
      <xdr:blipFill>
        <a:blip r:embed="rId8"/>
        <a:stretch/>
      </xdr:blipFill>
      <xdr:spPr>
        <a:xfrm>
          <a:off x="6666120" y="570600"/>
          <a:ext cx="408960" cy="12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102240</xdr:colOff>
      <xdr:row>4</xdr:row>
      <xdr:rowOff>86400</xdr:rowOff>
    </xdr:from>
    <xdr:to>
      <xdr:col>11</xdr:col>
      <xdr:colOff>465840</xdr:colOff>
      <xdr:row>4</xdr:row>
      <xdr:rowOff>184680</xdr:rowOff>
    </xdr:to>
    <xdr:pic>
      <xdr:nvPicPr>
        <xdr:cNvPr id="330" name="Imagem 18" descr=""/>
        <xdr:cNvPicPr/>
      </xdr:nvPicPr>
      <xdr:blipFill>
        <a:blip r:embed="rId9"/>
        <a:stretch/>
      </xdr:blipFill>
      <xdr:spPr>
        <a:xfrm>
          <a:off x="6701760" y="1086480"/>
          <a:ext cx="363600" cy="9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11</xdr:row>
      <xdr:rowOff>66600</xdr:rowOff>
    </xdr:from>
    <xdr:to>
      <xdr:col>2</xdr:col>
      <xdr:colOff>36720</xdr:colOff>
      <xdr:row>11</xdr:row>
      <xdr:rowOff>276840</xdr:rowOff>
    </xdr:to>
    <xdr:pic>
      <xdr:nvPicPr>
        <xdr:cNvPr id="331" name="Imagem 20" descr=""/>
        <xdr:cNvPicPr/>
      </xdr:nvPicPr>
      <xdr:blipFill>
        <a:blip r:embed="rId10"/>
        <a:stretch/>
      </xdr:blipFill>
      <xdr:spPr>
        <a:xfrm>
          <a:off x="830520" y="3228840"/>
          <a:ext cx="562680" cy="21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86760</xdr:rowOff>
    </xdr:from>
    <xdr:to>
      <xdr:col>1</xdr:col>
      <xdr:colOff>542160</xdr:colOff>
      <xdr:row>13</xdr:row>
      <xdr:rowOff>249840</xdr:rowOff>
    </xdr:to>
    <xdr:pic>
      <xdr:nvPicPr>
        <xdr:cNvPr id="332" name="Imagem 21" descr=""/>
        <xdr:cNvPicPr/>
      </xdr:nvPicPr>
      <xdr:blipFill>
        <a:blip r:embed="rId11"/>
        <a:stretch/>
      </xdr:blipFill>
      <xdr:spPr>
        <a:xfrm>
          <a:off x="830520" y="3896640"/>
          <a:ext cx="45648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14</xdr:row>
      <xdr:rowOff>34920</xdr:rowOff>
    </xdr:from>
    <xdr:to>
      <xdr:col>1</xdr:col>
      <xdr:colOff>380160</xdr:colOff>
      <xdr:row>14</xdr:row>
      <xdr:rowOff>271800</xdr:rowOff>
    </xdr:to>
    <xdr:pic>
      <xdr:nvPicPr>
        <xdr:cNvPr id="333" name="Imagem 22" descr=""/>
        <xdr:cNvPicPr/>
      </xdr:nvPicPr>
      <xdr:blipFill>
        <a:blip r:embed="rId12"/>
        <a:stretch/>
      </xdr:blipFill>
      <xdr:spPr>
        <a:xfrm>
          <a:off x="837720" y="4168800"/>
          <a:ext cx="287280" cy="23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15</xdr:row>
      <xdr:rowOff>19080</xdr:rowOff>
    </xdr:from>
    <xdr:to>
      <xdr:col>1</xdr:col>
      <xdr:colOff>411840</xdr:colOff>
      <xdr:row>15</xdr:row>
      <xdr:rowOff>296280</xdr:rowOff>
    </xdr:to>
    <xdr:pic>
      <xdr:nvPicPr>
        <xdr:cNvPr id="334" name="Imagem 23" descr=""/>
        <xdr:cNvPicPr/>
      </xdr:nvPicPr>
      <xdr:blipFill>
        <a:blip r:embed="rId13"/>
        <a:stretch/>
      </xdr:blipFill>
      <xdr:spPr>
        <a:xfrm>
          <a:off x="821160" y="4476960"/>
          <a:ext cx="335520" cy="27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133200</xdr:rowOff>
    </xdr:from>
    <xdr:to>
      <xdr:col>1</xdr:col>
      <xdr:colOff>532440</xdr:colOff>
      <xdr:row>17</xdr:row>
      <xdr:rowOff>225360</xdr:rowOff>
    </xdr:to>
    <xdr:pic>
      <xdr:nvPicPr>
        <xdr:cNvPr id="335" name="Imagem 25" descr=""/>
        <xdr:cNvPicPr/>
      </xdr:nvPicPr>
      <xdr:blipFill>
        <a:blip r:embed="rId14"/>
        <a:stretch/>
      </xdr:blipFill>
      <xdr:spPr>
        <a:xfrm>
          <a:off x="799560" y="5238720"/>
          <a:ext cx="477720" cy="9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20</xdr:row>
      <xdr:rowOff>62640</xdr:rowOff>
    </xdr:from>
    <xdr:to>
      <xdr:col>1</xdr:col>
      <xdr:colOff>332640</xdr:colOff>
      <xdr:row>20</xdr:row>
      <xdr:rowOff>229320</xdr:rowOff>
    </xdr:to>
    <xdr:pic>
      <xdr:nvPicPr>
        <xdr:cNvPr id="336" name="Imagem 26" descr=""/>
        <xdr:cNvPicPr/>
      </xdr:nvPicPr>
      <xdr:blipFill>
        <a:blip r:embed="rId15"/>
        <a:stretch/>
      </xdr:blipFill>
      <xdr:spPr>
        <a:xfrm>
          <a:off x="830520" y="6063480"/>
          <a:ext cx="24696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21</xdr:row>
      <xdr:rowOff>104400</xdr:rowOff>
    </xdr:from>
    <xdr:to>
      <xdr:col>1</xdr:col>
      <xdr:colOff>437400</xdr:colOff>
      <xdr:row>21</xdr:row>
      <xdr:rowOff>218520</xdr:rowOff>
    </xdr:to>
    <xdr:pic>
      <xdr:nvPicPr>
        <xdr:cNvPr id="337" name="Imagem 27" descr=""/>
        <xdr:cNvPicPr/>
      </xdr:nvPicPr>
      <xdr:blipFill>
        <a:blip r:embed="rId16"/>
        <a:stretch/>
      </xdr:blipFill>
      <xdr:spPr>
        <a:xfrm>
          <a:off x="792360" y="6372000"/>
          <a:ext cx="389880" cy="11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47520</xdr:rowOff>
    </xdr:from>
    <xdr:to>
      <xdr:col>11</xdr:col>
      <xdr:colOff>418320</xdr:colOff>
      <xdr:row>3</xdr:row>
      <xdr:rowOff>172080</xdr:rowOff>
    </xdr:to>
    <xdr:pic>
      <xdr:nvPicPr>
        <xdr:cNvPr id="338" name="Imagem 28" descr=""/>
        <xdr:cNvPicPr/>
      </xdr:nvPicPr>
      <xdr:blipFill>
        <a:blip r:embed="rId17"/>
        <a:stretch/>
      </xdr:blipFill>
      <xdr:spPr>
        <a:xfrm>
          <a:off x="6685200" y="799920"/>
          <a:ext cx="332640" cy="12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5</xdr:row>
      <xdr:rowOff>66600</xdr:rowOff>
    </xdr:from>
    <xdr:to>
      <xdr:col>11</xdr:col>
      <xdr:colOff>489600</xdr:colOff>
      <xdr:row>5</xdr:row>
      <xdr:rowOff>221040</xdr:rowOff>
    </xdr:to>
    <xdr:pic>
      <xdr:nvPicPr>
        <xdr:cNvPr id="339" name="Imagem 29" descr=""/>
        <xdr:cNvPicPr/>
      </xdr:nvPicPr>
      <xdr:blipFill>
        <a:blip r:embed="rId18"/>
        <a:stretch/>
      </xdr:blipFill>
      <xdr:spPr>
        <a:xfrm>
          <a:off x="6656760" y="1314360"/>
          <a:ext cx="432360" cy="15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64440</xdr:colOff>
      <xdr:row>6</xdr:row>
      <xdr:rowOff>44280</xdr:rowOff>
    </xdr:from>
    <xdr:to>
      <xdr:col>11</xdr:col>
      <xdr:colOff>351720</xdr:colOff>
      <xdr:row>6</xdr:row>
      <xdr:rowOff>281160</xdr:rowOff>
    </xdr:to>
    <xdr:pic>
      <xdr:nvPicPr>
        <xdr:cNvPr id="340" name="Imagem 30" descr=""/>
        <xdr:cNvPicPr/>
      </xdr:nvPicPr>
      <xdr:blipFill>
        <a:blip r:embed="rId19"/>
        <a:stretch/>
      </xdr:blipFill>
      <xdr:spPr>
        <a:xfrm>
          <a:off x="6663960" y="1577880"/>
          <a:ext cx="287280" cy="23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7</xdr:row>
      <xdr:rowOff>47520</xdr:rowOff>
    </xdr:from>
    <xdr:to>
      <xdr:col>11</xdr:col>
      <xdr:colOff>335160</xdr:colOff>
      <xdr:row>7</xdr:row>
      <xdr:rowOff>276840</xdr:rowOff>
    </xdr:to>
    <xdr:pic>
      <xdr:nvPicPr>
        <xdr:cNvPr id="341" name="Imagem 31" descr=""/>
        <xdr:cNvPicPr/>
      </xdr:nvPicPr>
      <xdr:blipFill>
        <a:blip r:embed="rId20"/>
        <a:stretch/>
      </xdr:blipFill>
      <xdr:spPr>
        <a:xfrm>
          <a:off x="6656760" y="1923840"/>
          <a:ext cx="277920" cy="22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92880</xdr:colOff>
      <xdr:row>9</xdr:row>
      <xdr:rowOff>123840</xdr:rowOff>
    </xdr:from>
    <xdr:to>
      <xdr:col>11</xdr:col>
      <xdr:colOff>423360</xdr:colOff>
      <xdr:row>9</xdr:row>
      <xdr:rowOff>187560</xdr:rowOff>
    </xdr:to>
    <xdr:pic>
      <xdr:nvPicPr>
        <xdr:cNvPr id="342" name="Imagem 32" descr=""/>
        <xdr:cNvPicPr/>
      </xdr:nvPicPr>
      <xdr:blipFill>
        <a:blip r:embed="rId21"/>
        <a:stretch/>
      </xdr:blipFill>
      <xdr:spPr>
        <a:xfrm>
          <a:off x="6692400" y="2638440"/>
          <a:ext cx="330480" cy="6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11</xdr:row>
      <xdr:rowOff>72360</xdr:rowOff>
    </xdr:from>
    <xdr:to>
      <xdr:col>11</xdr:col>
      <xdr:colOff>323280</xdr:colOff>
      <xdr:row>11</xdr:row>
      <xdr:rowOff>239040</xdr:rowOff>
    </xdr:to>
    <xdr:pic>
      <xdr:nvPicPr>
        <xdr:cNvPr id="343" name="Imagem 33" descr=""/>
        <xdr:cNvPicPr/>
      </xdr:nvPicPr>
      <xdr:blipFill>
        <a:blip r:embed="rId22"/>
        <a:stretch/>
      </xdr:blipFill>
      <xdr:spPr>
        <a:xfrm>
          <a:off x="6675840" y="3234600"/>
          <a:ext cx="24696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12</xdr:row>
      <xdr:rowOff>94680</xdr:rowOff>
    </xdr:from>
    <xdr:to>
      <xdr:col>11</xdr:col>
      <xdr:colOff>447120</xdr:colOff>
      <xdr:row>12</xdr:row>
      <xdr:rowOff>208800</xdr:rowOff>
    </xdr:to>
    <xdr:pic>
      <xdr:nvPicPr>
        <xdr:cNvPr id="344" name="Imagem 34" descr=""/>
        <xdr:cNvPicPr/>
      </xdr:nvPicPr>
      <xdr:blipFill>
        <a:blip r:embed="rId23"/>
        <a:stretch/>
      </xdr:blipFill>
      <xdr:spPr>
        <a:xfrm>
          <a:off x="6656760" y="3580920"/>
          <a:ext cx="389880" cy="11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324000</xdr:colOff>
      <xdr:row>4</xdr:row>
      <xdr:rowOff>123840</xdr:rowOff>
    </xdr:from>
    <xdr:to>
      <xdr:col>9</xdr:col>
      <xdr:colOff>359640</xdr:colOff>
      <xdr:row>9</xdr:row>
      <xdr:rowOff>189720</xdr:rowOff>
    </xdr:to>
    <xdr:pic>
      <xdr:nvPicPr>
        <xdr:cNvPr id="345" name="Imagem 45" descr="">
          <a:hlinkClick r:id="rId24"/>
        </xdr:cNvPr>
        <xdr:cNvPicPr/>
      </xdr:nvPicPr>
      <xdr:blipFill>
        <a:blip r:embed="rId25"/>
        <a:stretch/>
      </xdr:blipFill>
      <xdr:spPr>
        <a:xfrm>
          <a:off x="4003920" y="1123920"/>
          <a:ext cx="1566000" cy="1580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18</xdr:row>
      <xdr:rowOff>284760</xdr:rowOff>
    </xdr:from>
    <xdr:to>
      <xdr:col>1</xdr:col>
      <xdr:colOff>322920</xdr:colOff>
      <xdr:row>20</xdr:row>
      <xdr:rowOff>28080</xdr:rowOff>
    </xdr:to>
    <xdr:pic>
      <xdr:nvPicPr>
        <xdr:cNvPr id="346" name="Imagem 2" descr=""/>
        <xdr:cNvPicPr/>
      </xdr:nvPicPr>
      <xdr:blipFill>
        <a:blip r:embed="rId1"/>
        <a:stretch/>
      </xdr:blipFill>
      <xdr:spPr>
        <a:xfrm>
          <a:off x="773280" y="571392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16</xdr:row>
      <xdr:rowOff>63720</xdr:rowOff>
    </xdr:from>
    <xdr:to>
      <xdr:col>1</xdr:col>
      <xdr:colOff>380160</xdr:colOff>
      <xdr:row>16</xdr:row>
      <xdr:rowOff>262800</xdr:rowOff>
    </xdr:to>
    <xdr:pic>
      <xdr:nvPicPr>
        <xdr:cNvPr id="347" name="Imagem 5" descr=""/>
        <xdr:cNvPicPr/>
      </xdr:nvPicPr>
      <xdr:blipFill>
        <a:blip r:embed="rId2"/>
        <a:stretch/>
      </xdr:blipFill>
      <xdr:spPr>
        <a:xfrm>
          <a:off x="870840" y="4845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64080</xdr:colOff>
      <xdr:row>10</xdr:row>
      <xdr:rowOff>72720</xdr:rowOff>
    </xdr:from>
    <xdr:to>
      <xdr:col>1</xdr:col>
      <xdr:colOff>437400</xdr:colOff>
      <xdr:row>10</xdr:row>
      <xdr:rowOff>235800</xdr:rowOff>
    </xdr:to>
    <xdr:pic>
      <xdr:nvPicPr>
        <xdr:cNvPr id="348" name="Imagem 7" descr=""/>
        <xdr:cNvPicPr/>
      </xdr:nvPicPr>
      <xdr:blipFill>
        <a:blip r:embed="rId3"/>
        <a:stretch/>
      </xdr:blipFill>
      <xdr:spPr>
        <a:xfrm>
          <a:off x="808920" y="291132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78480</xdr:colOff>
      <xdr:row>12</xdr:row>
      <xdr:rowOff>95400</xdr:rowOff>
    </xdr:from>
    <xdr:to>
      <xdr:col>1</xdr:col>
      <xdr:colOff>485280</xdr:colOff>
      <xdr:row>12</xdr:row>
      <xdr:rowOff>264240</xdr:rowOff>
    </xdr:to>
    <xdr:pic>
      <xdr:nvPicPr>
        <xdr:cNvPr id="349" name="Imagem 9" descr=""/>
        <xdr:cNvPicPr/>
      </xdr:nvPicPr>
      <xdr:blipFill>
        <a:blip r:embed="rId4"/>
        <a:stretch/>
      </xdr:blipFill>
      <xdr:spPr>
        <a:xfrm>
          <a:off x="823320" y="358164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20</xdr:row>
      <xdr:rowOff>18000</xdr:rowOff>
    </xdr:from>
    <xdr:to>
      <xdr:col>1</xdr:col>
      <xdr:colOff>332640</xdr:colOff>
      <xdr:row>21</xdr:row>
      <xdr:rowOff>65880</xdr:rowOff>
    </xdr:to>
    <xdr:pic>
      <xdr:nvPicPr>
        <xdr:cNvPr id="350" name="Imagem 10" descr=""/>
        <xdr:cNvPicPr/>
      </xdr:nvPicPr>
      <xdr:blipFill>
        <a:blip r:embed="rId5"/>
        <a:stretch/>
      </xdr:blipFill>
      <xdr:spPr>
        <a:xfrm>
          <a:off x="783000" y="601884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11</xdr:row>
      <xdr:rowOff>46440</xdr:rowOff>
    </xdr:from>
    <xdr:to>
      <xdr:col>11</xdr:col>
      <xdr:colOff>351720</xdr:colOff>
      <xdr:row>12</xdr:row>
      <xdr:rowOff>37440</xdr:rowOff>
    </xdr:to>
    <xdr:pic>
      <xdr:nvPicPr>
        <xdr:cNvPr id="351" name="Imagem 11" descr=""/>
        <xdr:cNvPicPr/>
      </xdr:nvPicPr>
      <xdr:blipFill>
        <a:blip r:embed="rId6"/>
        <a:stretch/>
      </xdr:blipFill>
      <xdr:spPr>
        <a:xfrm>
          <a:off x="6656760" y="320868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97560</xdr:colOff>
      <xdr:row>8</xdr:row>
      <xdr:rowOff>45000</xdr:rowOff>
    </xdr:from>
    <xdr:to>
      <xdr:col>11</xdr:col>
      <xdr:colOff>351720</xdr:colOff>
      <xdr:row>8</xdr:row>
      <xdr:rowOff>244080</xdr:rowOff>
    </xdr:to>
    <xdr:pic>
      <xdr:nvPicPr>
        <xdr:cNvPr id="352" name="Imagem 14" descr=""/>
        <xdr:cNvPicPr/>
      </xdr:nvPicPr>
      <xdr:blipFill>
        <a:blip r:embed="rId7"/>
        <a:stretch/>
      </xdr:blipFill>
      <xdr:spPr>
        <a:xfrm>
          <a:off x="6697080" y="2226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2</xdr:row>
      <xdr:rowOff>53640</xdr:rowOff>
    </xdr:from>
    <xdr:to>
      <xdr:col>11</xdr:col>
      <xdr:colOff>456480</xdr:colOff>
      <xdr:row>2</xdr:row>
      <xdr:rowOff>216720</xdr:rowOff>
    </xdr:to>
    <xdr:pic>
      <xdr:nvPicPr>
        <xdr:cNvPr id="353" name="Imagem 16" descr=""/>
        <xdr:cNvPicPr/>
      </xdr:nvPicPr>
      <xdr:blipFill>
        <a:blip r:embed="rId8"/>
        <a:stretch/>
      </xdr:blipFill>
      <xdr:spPr>
        <a:xfrm>
          <a:off x="6682680" y="55836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68760</xdr:colOff>
      <xdr:row>4</xdr:row>
      <xdr:rowOff>19080</xdr:rowOff>
    </xdr:from>
    <xdr:to>
      <xdr:col>11</xdr:col>
      <xdr:colOff>475560</xdr:colOff>
      <xdr:row>4</xdr:row>
      <xdr:rowOff>187920</xdr:rowOff>
    </xdr:to>
    <xdr:pic>
      <xdr:nvPicPr>
        <xdr:cNvPr id="354" name="Imagem 18" descr=""/>
        <xdr:cNvPicPr/>
      </xdr:nvPicPr>
      <xdr:blipFill>
        <a:blip r:embed="rId9"/>
        <a:stretch/>
      </xdr:blipFill>
      <xdr:spPr>
        <a:xfrm>
          <a:off x="6668280" y="101916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209520</xdr:colOff>
      <xdr:row>4</xdr:row>
      <xdr:rowOff>209520</xdr:rowOff>
    </xdr:from>
    <xdr:to>
      <xdr:col>9</xdr:col>
      <xdr:colOff>104040</xdr:colOff>
      <xdr:row>9</xdr:row>
      <xdr:rowOff>20160</xdr:rowOff>
    </xdr:to>
    <xdr:pic>
      <xdr:nvPicPr>
        <xdr:cNvPr id="355" name="Imagem 19" descr="">
          <a:hlinkClick r:id="rId10"/>
        </xdr:cNvPr>
        <xdr:cNvPicPr/>
      </xdr:nvPicPr>
      <xdr:blipFill>
        <a:blip r:embed="rId11"/>
        <a:stretch/>
      </xdr:blipFill>
      <xdr:spPr>
        <a:xfrm>
          <a:off x="4291920" y="1209600"/>
          <a:ext cx="1022400" cy="132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15</xdr:row>
      <xdr:rowOff>28440</xdr:rowOff>
    </xdr:from>
    <xdr:to>
      <xdr:col>1</xdr:col>
      <xdr:colOff>445320</xdr:colOff>
      <xdr:row>15</xdr:row>
      <xdr:rowOff>317520</xdr:rowOff>
    </xdr:to>
    <xdr:pic>
      <xdr:nvPicPr>
        <xdr:cNvPr id="356" name="Imagem 20" descr=""/>
        <xdr:cNvPicPr/>
      </xdr:nvPicPr>
      <xdr:blipFill>
        <a:blip r:embed="rId12"/>
        <a:stretch/>
      </xdr:blipFill>
      <xdr:spPr>
        <a:xfrm>
          <a:off x="821160" y="4486320"/>
          <a:ext cx="369000" cy="28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14</xdr:row>
      <xdr:rowOff>47520</xdr:rowOff>
    </xdr:from>
    <xdr:to>
      <xdr:col>1</xdr:col>
      <xdr:colOff>515160</xdr:colOff>
      <xdr:row>14</xdr:row>
      <xdr:rowOff>256320</xdr:rowOff>
    </xdr:to>
    <xdr:pic>
      <xdr:nvPicPr>
        <xdr:cNvPr id="357" name="Imagem 21" descr=""/>
        <xdr:cNvPicPr/>
      </xdr:nvPicPr>
      <xdr:blipFill>
        <a:blip r:embed="rId13"/>
        <a:stretch/>
      </xdr:blipFill>
      <xdr:spPr>
        <a:xfrm>
          <a:off x="809280" y="4181400"/>
          <a:ext cx="45072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18</xdr:row>
      <xdr:rowOff>66600</xdr:rowOff>
    </xdr:from>
    <xdr:to>
      <xdr:col>2</xdr:col>
      <xdr:colOff>49320</xdr:colOff>
      <xdr:row>18</xdr:row>
      <xdr:rowOff>237240</xdr:rowOff>
    </xdr:to>
    <xdr:pic>
      <xdr:nvPicPr>
        <xdr:cNvPr id="358" name="Imagem 22" descr=""/>
        <xdr:cNvPicPr/>
      </xdr:nvPicPr>
      <xdr:blipFill>
        <a:blip r:embed="rId14"/>
        <a:stretch/>
      </xdr:blipFill>
      <xdr:spPr>
        <a:xfrm>
          <a:off x="821160" y="5495760"/>
          <a:ext cx="58464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13</xdr:row>
      <xdr:rowOff>104760</xdr:rowOff>
    </xdr:from>
    <xdr:to>
      <xdr:col>1</xdr:col>
      <xdr:colOff>465480</xdr:colOff>
      <xdr:row>13</xdr:row>
      <xdr:rowOff>237600</xdr:rowOff>
    </xdr:to>
    <xdr:pic>
      <xdr:nvPicPr>
        <xdr:cNvPr id="359" name="Imagem 23" descr=""/>
        <xdr:cNvPicPr/>
      </xdr:nvPicPr>
      <xdr:blipFill>
        <a:blip r:embed="rId15"/>
        <a:stretch/>
      </xdr:blipFill>
      <xdr:spPr>
        <a:xfrm>
          <a:off x="837720" y="3914640"/>
          <a:ext cx="37260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17</xdr:row>
      <xdr:rowOff>104760</xdr:rowOff>
    </xdr:from>
    <xdr:to>
      <xdr:col>2</xdr:col>
      <xdr:colOff>74520</xdr:colOff>
      <xdr:row>17</xdr:row>
      <xdr:rowOff>223200</xdr:rowOff>
    </xdr:to>
    <xdr:pic>
      <xdr:nvPicPr>
        <xdr:cNvPr id="360" name="Imagem 24" descr=""/>
        <xdr:cNvPicPr/>
      </xdr:nvPicPr>
      <xdr:blipFill>
        <a:blip r:embed="rId16"/>
        <a:stretch/>
      </xdr:blipFill>
      <xdr:spPr>
        <a:xfrm>
          <a:off x="816120" y="5210280"/>
          <a:ext cx="614880" cy="11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11</xdr:row>
      <xdr:rowOff>100800</xdr:rowOff>
    </xdr:from>
    <xdr:to>
      <xdr:col>1</xdr:col>
      <xdr:colOff>408600</xdr:colOff>
      <xdr:row>11</xdr:row>
      <xdr:rowOff>253080</xdr:rowOff>
    </xdr:to>
    <xdr:pic>
      <xdr:nvPicPr>
        <xdr:cNvPr id="361" name="Imagem 25" descr=""/>
        <xdr:cNvPicPr/>
      </xdr:nvPicPr>
      <xdr:blipFill>
        <a:blip r:embed="rId17"/>
        <a:stretch/>
      </xdr:blipFill>
      <xdr:spPr>
        <a:xfrm>
          <a:off x="870840" y="3263040"/>
          <a:ext cx="282600" cy="1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3</xdr:row>
      <xdr:rowOff>24480</xdr:rowOff>
    </xdr:from>
    <xdr:to>
      <xdr:col>11</xdr:col>
      <xdr:colOff>361080</xdr:colOff>
      <xdr:row>3</xdr:row>
      <xdr:rowOff>176760</xdr:rowOff>
    </xdr:to>
    <xdr:pic>
      <xdr:nvPicPr>
        <xdr:cNvPr id="362" name="Imagem 26" descr=""/>
        <xdr:cNvPicPr/>
      </xdr:nvPicPr>
      <xdr:blipFill>
        <a:blip r:embed="rId18"/>
        <a:stretch/>
      </xdr:blipFill>
      <xdr:spPr>
        <a:xfrm>
          <a:off x="6678000" y="776880"/>
          <a:ext cx="282600" cy="1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324000</xdr:rowOff>
    </xdr:from>
    <xdr:to>
      <xdr:col>11</xdr:col>
      <xdr:colOff>407160</xdr:colOff>
      <xdr:row>7</xdr:row>
      <xdr:rowOff>270360</xdr:rowOff>
    </xdr:to>
    <xdr:pic>
      <xdr:nvPicPr>
        <xdr:cNvPr id="363" name="Imagem 27" descr=""/>
        <xdr:cNvPicPr/>
      </xdr:nvPicPr>
      <xdr:blipFill>
        <a:blip r:embed="rId19"/>
        <a:stretch/>
      </xdr:blipFill>
      <xdr:spPr>
        <a:xfrm>
          <a:off x="6637680" y="1857600"/>
          <a:ext cx="369000" cy="28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26280</xdr:colOff>
      <xdr:row>6</xdr:row>
      <xdr:rowOff>38160</xdr:rowOff>
    </xdr:from>
    <xdr:to>
      <xdr:col>11</xdr:col>
      <xdr:colOff>477000</xdr:colOff>
      <xdr:row>6</xdr:row>
      <xdr:rowOff>246960</xdr:rowOff>
    </xdr:to>
    <xdr:pic>
      <xdr:nvPicPr>
        <xdr:cNvPr id="364" name="Imagem 28" descr=""/>
        <xdr:cNvPicPr/>
      </xdr:nvPicPr>
      <xdr:blipFill>
        <a:blip r:embed="rId20"/>
        <a:stretch/>
      </xdr:blipFill>
      <xdr:spPr>
        <a:xfrm>
          <a:off x="6625800" y="1571760"/>
          <a:ext cx="45072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5</xdr:row>
      <xdr:rowOff>85680</xdr:rowOff>
    </xdr:from>
    <xdr:to>
      <xdr:col>11</xdr:col>
      <xdr:colOff>427320</xdr:colOff>
      <xdr:row>5</xdr:row>
      <xdr:rowOff>218520</xdr:rowOff>
    </xdr:to>
    <xdr:pic>
      <xdr:nvPicPr>
        <xdr:cNvPr id="365" name="Imagem 29" descr=""/>
        <xdr:cNvPicPr/>
      </xdr:nvPicPr>
      <xdr:blipFill>
        <a:blip r:embed="rId21"/>
        <a:stretch/>
      </xdr:blipFill>
      <xdr:spPr>
        <a:xfrm>
          <a:off x="6654240" y="1333440"/>
          <a:ext cx="37260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10</xdr:row>
      <xdr:rowOff>104400</xdr:rowOff>
    </xdr:from>
    <xdr:to>
      <xdr:col>11</xdr:col>
      <xdr:colOff>428040</xdr:colOff>
      <xdr:row>10</xdr:row>
      <xdr:rowOff>218520</xdr:rowOff>
    </xdr:to>
    <xdr:pic>
      <xdr:nvPicPr>
        <xdr:cNvPr id="366" name="Imagem 30" descr=""/>
        <xdr:cNvPicPr/>
      </xdr:nvPicPr>
      <xdr:blipFill>
        <a:blip r:embed="rId22"/>
        <a:stretch/>
      </xdr:blipFill>
      <xdr:spPr>
        <a:xfrm>
          <a:off x="6637680" y="2943000"/>
          <a:ext cx="389880" cy="11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33480</xdr:colOff>
      <xdr:row>9</xdr:row>
      <xdr:rowOff>100080</xdr:rowOff>
    </xdr:from>
    <xdr:to>
      <xdr:col>11</xdr:col>
      <xdr:colOff>523440</xdr:colOff>
      <xdr:row>9</xdr:row>
      <xdr:rowOff>194400</xdr:rowOff>
    </xdr:to>
    <xdr:pic>
      <xdr:nvPicPr>
        <xdr:cNvPr id="367" name="Imagem 31" descr=""/>
        <xdr:cNvPicPr/>
      </xdr:nvPicPr>
      <xdr:blipFill>
        <a:blip r:embed="rId23"/>
        <a:stretch/>
      </xdr:blipFill>
      <xdr:spPr>
        <a:xfrm>
          <a:off x="6633000" y="2614680"/>
          <a:ext cx="489960" cy="94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17</xdr:row>
      <xdr:rowOff>18000</xdr:rowOff>
    </xdr:from>
    <xdr:to>
      <xdr:col>1</xdr:col>
      <xdr:colOff>361080</xdr:colOff>
      <xdr:row>18</xdr:row>
      <xdr:rowOff>9000</xdr:rowOff>
    </xdr:to>
    <xdr:pic>
      <xdr:nvPicPr>
        <xdr:cNvPr id="368" name="Imagem 2" descr=""/>
        <xdr:cNvPicPr/>
      </xdr:nvPicPr>
      <xdr:blipFill>
        <a:blip r:embed="rId1"/>
        <a:stretch/>
      </xdr:blipFill>
      <xdr:spPr>
        <a:xfrm>
          <a:off x="811440" y="512352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13</xdr:row>
      <xdr:rowOff>23760</xdr:rowOff>
    </xdr:from>
    <xdr:to>
      <xdr:col>1</xdr:col>
      <xdr:colOff>389880</xdr:colOff>
      <xdr:row>13</xdr:row>
      <xdr:rowOff>301680</xdr:rowOff>
    </xdr:to>
    <xdr:pic>
      <xdr:nvPicPr>
        <xdr:cNvPr id="369" name="Imagem 3" descr=""/>
        <xdr:cNvPicPr/>
      </xdr:nvPicPr>
      <xdr:blipFill>
        <a:blip r:embed="rId2"/>
        <a:stretch/>
      </xdr:blipFill>
      <xdr:spPr>
        <a:xfrm>
          <a:off x="856800" y="383364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90360</xdr:colOff>
      <xdr:row>14</xdr:row>
      <xdr:rowOff>88920</xdr:rowOff>
    </xdr:from>
    <xdr:to>
      <xdr:col>1</xdr:col>
      <xdr:colOff>370800</xdr:colOff>
      <xdr:row>14</xdr:row>
      <xdr:rowOff>270720</xdr:rowOff>
    </xdr:to>
    <xdr:pic>
      <xdr:nvPicPr>
        <xdr:cNvPr id="370" name="Imagem 4" descr=""/>
        <xdr:cNvPicPr/>
      </xdr:nvPicPr>
      <xdr:blipFill>
        <a:blip r:embed="rId3"/>
        <a:stretch/>
      </xdr:blipFill>
      <xdr:spPr>
        <a:xfrm>
          <a:off x="835200" y="422280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16</xdr:row>
      <xdr:rowOff>63720</xdr:rowOff>
    </xdr:from>
    <xdr:to>
      <xdr:col>1</xdr:col>
      <xdr:colOff>380160</xdr:colOff>
      <xdr:row>16</xdr:row>
      <xdr:rowOff>262800</xdr:rowOff>
    </xdr:to>
    <xdr:pic>
      <xdr:nvPicPr>
        <xdr:cNvPr id="371" name="Imagem 5" descr=""/>
        <xdr:cNvPicPr/>
      </xdr:nvPicPr>
      <xdr:blipFill>
        <a:blip r:embed="rId4"/>
        <a:stretch/>
      </xdr:blipFill>
      <xdr:spPr>
        <a:xfrm>
          <a:off x="870840" y="4845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15</xdr:row>
      <xdr:rowOff>56880</xdr:rowOff>
    </xdr:from>
    <xdr:to>
      <xdr:col>1</xdr:col>
      <xdr:colOff>351720</xdr:colOff>
      <xdr:row>15</xdr:row>
      <xdr:rowOff>284760</xdr:rowOff>
    </xdr:to>
    <xdr:pic>
      <xdr:nvPicPr>
        <xdr:cNvPr id="372" name="Imagem 6" descr=""/>
        <xdr:cNvPicPr/>
      </xdr:nvPicPr>
      <xdr:blipFill>
        <a:blip r:embed="rId5"/>
        <a:stretch/>
      </xdr:blipFill>
      <xdr:spPr>
        <a:xfrm>
          <a:off x="906840" y="451476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17</xdr:row>
      <xdr:rowOff>322560</xdr:rowOff>
    </xdr:from>
    <xdr:to>
      <xdr:col>1</xdr:col>
      <xdr:colOff>370800</xdr:colOff>
      <xdr:row>19</xdr:row>
      <xdr:rowOff>27720</xdr:rowOff>
    </xdr:to>
    <xdr:pic>
      <xdr:nvPicPr>
        <xdr:cNvPr id="373" name="Imagem 10" descr=""/>
        <xdr:cNvPicPr/>
      </xdr:nvPicPr>
      <xdr:blipFill>
        <a:blip r:embed="rId6"/>
        <a:stretch/>
      </xdr:blipFill>
      <xdr:spPr>
        <a:xfrm>
          <a:off x="821160" y="542808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9</xdr:row>
      <xdr:rowOff>18000</xdr:rowOff>
    </xdr:from>
    <xdr:to>
      <xdr:col>11</xdr:col>
      <xdr:colOff>313560</xdr:colOff>
      <xdr:row>10</xdr:row>
      <xdr:rowOff>9000</xdr:rowOff>
    </xdr:to>
    <xdr:pic>
      <xdr:nvPicPr>
        <xdr:cNvPr id="374" name="Imagem 11" descr=""/>
        <xdr:cNvPicPr/>
      </xdr:nvPicPr>
      <xdr:blipFill>
        <a:blip r:embed="rId7"/>
        <a:stretch/>
      </xdr:blipFill>
      <xdr:spPr>
        <a:xfrm>
          <a:off x="6618600" y="253260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4</xdr:row>
      <xdr:rowOff>223920</xdr:rowOff>
    </xdr:from>
    <xdr:to>
      <xdr:col>11</xdr:col>
      <xdr:colOff>351720</xdr:colOff>
      <xdr:row>5</xdr:row>
      <xdr:rowOff>254160</xdr:rowOff>
    </xdr:to>
    <xdr:pic>
      <xdr:nvPicPr>
        <xdr:cNvPr id="375" name="Imagem 12" descr=""/>
        <xdr:cNvPicPr/>
      </xdr:nvPicPr>
      <xdr:blipFill>
        <a:blip r:embed="rId8"/>
        <a:stretch/>
      </xdr:blipFill>
      <xdr:spPr>
        <a:xfrm>
          <a:off x="6673320" y="122400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6</xdr:row>
      <xdr:rowOff>69840</xdr:rowOff>
    </xdr:from>
    <xdr:to>
      <xdr:col>11</xdr:col>
      <xdr:colOff>370800</xdr:colOff>
      <xdr:row>6</xdr:row>
      <xdr:rowOff>251640</xdr:rowOff>
    </xdr:to>
    <xdr:pic>
      <xdr:nvPicPr>
        <xdr:cNvPr id="376" name="Imagem 13" descr=""/>
        <xdr:cNvPicPr/>
      </xdr:nvPicPr>
      <xdr:blipFill>
        <a:blip r:embed="rId9"/>
        <a:stretch/>
      </xdr:blipFill>
      <xdr:spPr>
        <a:xfrm>
          <a:off x="6689880" y="160344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97560</xdr:colOff>
      <xdr:row>8</xdr:row>
      <xdr:rowOff>45000</xdr:rowOff>
    </xdr:from>
    <xdr:to>
      <xdr:col>11</xdr:col>
      <xdr:colOff>351720</xdr:colOff>
      <xdr:row>8</xdr:row>
      <xdr:rowOff>244080</xdr:rowOff>
    </xdr:to>
    <xdr:pic>
      <xdr:nvPicPr>
        <xdr:cNvPr id="377" name="Imagem 14" descr=""/>
        <xdr:cNvPicPr/>
      </xdr:nvPicPr>
      <xdr:blipFill>
        <a:blip r:embed="rId10"/>
        <a:stretch/>
      </xdr:blipFill>
      <xdr:spPr>
        <a:xfrm>
          <a:off x="6697080" y="2226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7</xdr:row>
      <xdr:rowOff>18720</xdr:rowOff>
    </xdr:from>
    <xdr:to>
      <xdr:col>11</xdr:col>
      <xdr:colOff>322920</xdr:colOff>
      <xdr:row>7</xdr:row>
      <xdr:rowOff>246600</xdr:rowOff>
    </xdr:to>
    <xdr:pic>
      <xdr:nvPicPr>
        <xdr:cNvPr id="378" name="Imagem 15" descr=""/>
        <xdr:cNvPicPr/>
      </xdr:nvPicPr>
      <xdr:blipFill>
        <a:blip r:embed="rId11"/>
        <a:stretch/>
      </xdr:blipFill>
      <xdr:spPr>
        <a:xfrm>
          <a:off x="6732720" y="189504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285840</xdr:colOff>
      <xdr:row>5</xdr:row>
      <xdr:rowOff>66600</xdr:rowOff>
    </xdr:from>
    <xdr:to>
      <xdr:col>9</xdr:col>
      <xdr:colOff>389880</xdr:colOff>
      <xdr:row>8</xdr:row>
      <xdr:rowOff>257400</xdr:rowOff>
    </xdr:to>
    <xdr:pic>
      <xdr:nvPicPr>
        <xdr:cNvPr id="379" name="Imagem 19" descr="">
          <a:hlinkClick r:id="rId12"/>
        </xdr:cNvPr>
        <xdr:cNvPicPr/>
      </xdr:nvPicPr>
      <xdr:blipFill>
        <a:blip r:embed="rId13"/>
        <a:stretch/>
      </xdr:blipFill>
      <xdr:spPr>
        <a:xfrm>
          <a:off x="3965760" y="1314360"/>
          <a:ext cx="1634400" cy="112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10</xdr:row>
      <xdr:rowOff>76320</xdr:rowOff>
    </xdr:from>
    <xdr:to>
      <xdr:col>1</xdr:col>
      <xdr:colOff>606240</xdr:colOff>
      <xdr:row>10</xdr:row>
      <xdr:rowOff>234000</xdr:rowOff>
    </xdr:to>
    <xdr:pic>
      <xdr:nvPicPr>
        <xdr:cNvPr id="380" name="Imagem 20" descr=""/>
        <xdr:cNvPicPr/>
      </xdr:nvPicPr>
      <xdr:blipFill>
        <a:blip r:embed="rId14"/>
        <a:stretch/>
      </xdr:blipFill>
      <xdr:spPr>
        <a:xfrm>
          <a:off x="830520" y="2914920"/>
          <a:ext cx="520560" cy="15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12</xdr:row>
      <xdr:rowOff>114840</xdr:rowOff>
    </xdr:from>
    <xdr:to>
      <xdr:col>1</xdr:col>
      <xdr:colOff>561600</xdr:colOff>
      <xdr:row>12</xdr:row>
      <xdr:rowOff>249480</xdr:rowOff>
    </xdr:to>
    <xdr:pic>
      <xdr:nvPicPr>
        <xdr:cNvPr id="381" name="Imagem 21" descr=""/>
        <xdr:cNvPicPr/>
      </xdr:nvPicPr>
      <xdr:blipFill>
        <a:blip r:embed="rId15"/>
        <a:stretch/>
      </xdr:blipFill>
      <xdr:spPr>
        <a:xfrm>
          <a:off x="809280" y="3601080"/>
          <a:ext cx="497160" cy="13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128520</xdr:colOff>
      <xdr:row>11</xdr:row>
      <xdr:rowOff>57240</xdr:rowOff>
    </xdr:from>
    <xdr:to>
      <xdr:col>1</xdr:col>
      <xdr:colOff>487080</xdr:colOff>
      <xdr:row>11</xdr:row>
      <xdr:rowOff>254880</xdr:rowOff>
    </xdr:to>
    <xdr:pic>
      <xdr:nvPicPr>
        <xdr:cNvPr id="382" name="Imagem 22" descr=""/>
        <xdr:cNvPicPr/>
      </xdr:nvPicPr>
      <xdr:blipFill>
        <a:blip r:embed="rId16"/>
        <a:stretch/>
      </xdr:blipFill>
      <xdr:spPr>
        <a:xfrm>
          <a:off x="873360" y="3219480"/>
          <a:ext cx="358560" cy="19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2</xdr:row>
      <xdr:rowOff>47520</xdr:rowOff>
    </xdr:from>
    <xdr:to>
      <xdr:col>11</xdr:col>
      <xdr:colOff>516960</xdr:colOff>
      <xdr:row>2</xdr:row>
      <xdr:rowOff>189720</xdr:rowOff>
    </xdr:to>
    <xdr:pic>
      <xdr:nvPicPr>
        <xdr:cNvPr id="383" name="Imagem 23" descr=""/>
        <xdr:cNvPicPr/>
      </xdr:nvPicPr>
      <xdr:blipFill>
        <a:blip r:embed="rId17"/>
        <a:stretch/>
      </xdr:blipFill>
      <xdr:spPr>
        <a:xfrm>
          <a:off x="6647040" y="552240"/>
          <a:ext cx="46944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71280</xdr:colOff>
      <xdr:row>3</xdr:row>
      <xdr:rowOff>0</xdr:rowOff>
    </xdr:from>
    <xdr:to>
      <xdr:col>11</xdr:col>
      <xdr:colOff>429840</xdr:colOff>
      <xdr:row>3</xdr:row>
      <xdr:rowOff>197640</xdr:rowOff>
    </xdr:to>
    <xdr:pic>
      <xdr:nvPicPr>
        <xdr:cNvPr id="384" name="Imagem 24" descr=""/>
        <xdr:cNvPicPr/>
      </xdr:nvPicPr>
      <xdr:blipFill>
        <a:blip r:embed="rId18"/>
        <a:stretch/>
      </xdr:blipFill>
      <xdr:spPr>
        <a:xfrm>
          <a:off x="6670800" y="752400"/>
          <a:ext cx="358560" cy="19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35640</xdr:colOff>
      <xdr:row>4</xdr:row>
      <xdr:rowOff>38520</xdr:rowOff>
    </xdr:from>
    <xdr:to>
      <xdr:col>11</xdr:col>
      <xdr:colOff>532800</xdr:colOff>
      <xdr:row>4</xdr:row>
      <xdr:rowOff>173160</xdr:rowOff>
    </xdr:to>
    <xdr:pic>
      <xdr:nvPicPr>
        <xdr:cNvPr id="385" name="Imagem 25" descr=""/>
        <xdr:cNvPicPr/>
      </xdr:nvPicPr>
      <xdr:blipFill>
        <a:blip r:embed="rId19"/>
        <a:stretch/>
      </xdr:blipFill>
      <xdr:spPr>
        <a:xfrm>
          <a:off x="6635160" y="1038600"/>
          <a:ext cx="497160" cy="134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17</xdr:row>
      <xdr:rowOff>18000</xdr:rowOff>
    </xdr:from>
    <xdr:to>
      <xdr:col>1</xdr:col>
      <xdr:colOff>361080</xdr:colOff>
      <xdr:row>18</xdr:row>
      <xdr:rowOff>9000</xdr:rowOff>
    </xdr:to>
    <xdr:pic>
      <xdr:nvPicPr>
        <xdr:cNvPr id="386" name="Imagem 2" descr=""/>
        <xdr:cNvPicPr/>
      </xdr:nvPicPr>
      <xdr:blipFill>
        <a:blip r:embed="rId1"/>
        <a:stretch/>
      </xdr:blipFill>
      <xdr:spPr>
        <a:xfrm>
          <a:off x="811440" y="512352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13</xdr:row>
      <xdr:rowOff>23760</xdr:rowOff>
    </xdr:from>
    <xdr:to>
      <xdr:col>1</xdr:col>
      <xdr:colOff>389880</xdr:colOff>
      <xdr:row>13</xdr:row>
      <xdr:rowOff>301680</xdr:rowOff>
    </xdr:to>
    <xdr:pic>
      <xdr:nvPicPr>
        <xdr:cNvPr id="387" name="Imagem 3" descr=""/>
        <xdr:cNvPicPr/>
      </xdr:nvPicPr>
      <xdr:blipFill>
        <a:blip r:embed="rId2"/>
        <a:stretch/>
      </xdr:blipFill>
      <xdr:spPr>
        <a:xfrm>
          <a:off x="856800" y="383364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90360</xdr:colOff>
      <xdr:row>14</xdr:row>
      <xdr:rowOff>88920</xdr:rowOff>
    </xdr:from>
    <xdr:to>
      <xdr:col>1</xdr:col>
      <xdr:colOff>370800</xdr:colOff>
      <xdr:row>14</xdr:row>
      <xdr:rowOff>270720</xdr:rowOff>
    </xdr:to>
    <xdr:pic>
      <xdr:nvPicPr>
        <xdr:cNvPr id="388" name="Imagem 4" descr=""/>
        <xdr:cNvPicPr/>
      </xdr:nvPicPr>
      <xdr:blipFill>
        <a:blip r:embed="rId3"/>
        <a:stretch/>
      </xdr:blipFill>
      <xdr:spPr>
        <a:xfrm>
          <a:off x="835200" y="422280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16</xdr:row>
      <xdr:rowOff>63720</xdr:rowOff>
    </xdr:from>
    <xdr:to>
      <xdr:col>1</xdr:col>
      <xdr:colOff>380160</xdr:colOff>
      <xdr:row>16</xdr:row>
      <xdr:rowOff>262800</xdr:rowOff>
    </xdr:to>
    <xdr:pic>
      <xdr:nvPicPr>
        <xdr:cNvPr id="389" name="Imagem 5" descr=""/>
        <xdr:cNvPicPr/>
      </xdr:nvPicPr>
      <xdr:blipFill>
        <a:blip r:embed="rId4"/>
        <a:stretch/>
      </xdr:blipFill>
      <xdr:spPr>
        <a:xfrm>
          <a:off x="870840" y="4845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15</xdr:row>
      <xdr:rowOff>56880</xdr:rowOff>
    </xdr:from>
    <xdr:to>
      <xdr:col>1</xdr:col>
      <xdr:colOff>351720</xdr:colOff>
      <xdr:row>15</xdr:row>
      <xdr:rowOff>284760</xdr:rowOff>
    </xdr:to>
    <xdr:pic>
      <xdr:nvPicPr>
        <xdr:cNvPr id="390" name="Imagem 6" descr=""/>
        <xdr:cNvPicPr/>
      </xdr:nvPicPr>
      <xdr:blipFill>
        <a:blip r:embed="rId5"/>
        <a:stretch/>
      </xdr:blipFill>
      <xdr:spPr>
        <a:xfrm>
          <a:off x="906840" y="451476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64080</xdr:colOff>
      <xdr:row>10</xdr:row>
      <xdr:rowOff>72720</xdr:rowOff>
    </xdr:from>
    <xdr:to>
      <xdr:col>1</xdr:col>
      <xdr:colOff>437400</xdr:colOff>
      <xdr:row>10</xdr:row>
      <xdr:rowOff>235800</xdr:rowOff>
    </xdr:to>
    <xdr:pic>
      <xdr:nvPicPr>
        <xdr:cNvPr id="391" name="Imagem 7" descr=""/>
        <xdr:cNvPicPr/>
      </xdr:nvPicPr>
      <xdr:blipFill>
        <a:blip r:embed="rId6"/>
        <a:stretch/>
      </xdr:blipFill>
      <xdr:spPr>
        <a:xfrm>
          <a:off x="808920" y="291132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11</xdr:row>
      <xdr:rowOff>57240</xdr:rowOff>
    </xdr:from>
    <xdr:to>
      <xdr:col>1</xdr:col>
      <xdr:colOff>436320</xdr:colOff>
      <xdr:row>11</xdr:row>
      <xdr:rowOff>260640</xdr:rowOff>
    </xdr:to>
    <xdr:pic>
      <xdr:nvPicPr>
        <xdr:cNvPr id="392" name="Imagem 8" descr=""/>
        <xdr:cNvPicPr/>
      </xdr:nvPicPr>
      <xdr:blipFill>
        <a:blip r:embed="rId7"/>
        <a:stretch/>
      </xdr:blipFill>
      <xdr:spPr>
        <a:xfrm>
          <a:off x="844920" y="3219480"/>
          <a:ext cx="336240" cy="20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78480</xdr:colOff>
      <xdr:row>12</xdr:row>
      <xdr:rowOff>95400</xdr:rowOff>
    </xdr:from>
    <xdr:to>
      <xdr:col>1</xdr:col>
      <xdr:colOff>485280</xdr:colOff>
      <xdr:row>12</xdr:row>
      <xdr:rowOff>264240</xdr:rowOff>
    </xdr:to>
    <xdr:pic>
      <xdr:nvPicPr>
        <xdr:cNvPr id="393" name="Imagem 9" descr=""/>
        <xdr:cNvPicPr/>
      </xdr:nvPicPr>
      <xdr:blipFill>
        <a:blip r:embed="rId8"/>
        <a:stretch/>
      </xdr:blipFill>
      <xdr:spPr>
        <a:xfrm>
          <a:off x="823320" y="358164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17</xdr:row>
      <xdr:rowOff>322560</xdr:rowOff>
    </xdr:from>
    <xdr:to>
      <xdr:col>1</xdr:col>
      <xdr:colOff>370800</xdr:colOff>
      <xdr:row>19</xdr:row>
      <xdr:rowOff>27720</xdr:rowOff>
    </xdr:to>
    <xdr:pic>
      <xdr:nvPicPr>
        <xdr:cNvPr id="394" name="Imagem 10" descr=""/>
        <xdr:cNvPicPr/>
      </xdr:nvPicPr>
      <xdr:blipFill>
        <a:blip r:embed="rId9"/>
        <a:stretch/>
      </xdr:blipFill>
      <xdr:spPr>
        <a:xfrm>
          <a:off x="821160" y="542808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9</xdr:row>
      <xdr:rowOff>18000</xdr:rowOff>
    </xdr:from>
    <xdr:to>
      <xdr:col>11</xdr:col>
      <xdr:colOff>313560</xdr:colOff>
      <xdr:row>10</xdr:row>
      <xdr:rowOff>9000</xdr:rowOff>
    </xdr:to>
    <xdr:pic>
      <xdr:nvPicPr>
        <xdr:cNvPr id="395" name="Imagem 11" descr=""/>
        <xdr:cNvPicPr/>
      </xdr:nvPicPr>
      <xdr:blipFill>
        <a:blip r:embed="rId10"/>
        <a:stretch/>
      </xdr:blipFill>
      <xdr:spPr>
        <a:xfrm>
          <a:off x="6618600" y="253260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4</xdr:row>
      <xdr:rowOff>223920</xdr:rowOff>
    </xdr:from>
    <xdr:to>
      <xdr:col>11</xdr:col>
      <xdr:colOff>351720</xdr:colOff>
      <xdr:row>5</xdr:row>
      <xdr:rowOff>254160</xdr:rowOff>
    </xdr:to>
    <xdr:pic>
      <xdr:nvPicPr>
        <xdr:cNvPr id="396" name="Imagem 12" descr=""/>
        <xdr:cNvPicPr/>
      </xdr:nvPicPr>
      <xdr:blipFill>
        <a:blip r:embed="rId11"/>
        <a:stretch/>
      </xdr:blipFill>
      <xdr:spPr>
        <a:xfrm>
          <a:off x="6673320" y="122400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6</xdr:row>
      <xdr:rowOff>69840</xdr:rowOff>
    </xdr:from>
    <xdr:to>
      <xdr:col>11</xdr:col>
      <xdr:colOff>370800</xdr:colOff>
      <xdr:row>6</xdr:row>
      <xdr:rowOff>251640</xdr:rowOff>
    </xdr:to>
    <xdr:pic>
      <xdr:nvPicPr>
        <xdr:cNvPr id="397" name="Imagem 13" descr=""/>
        <xdr:cNvPicPr/>
      </xdr:nvPicPr>
      <xdr:blipFill>
        <a:blip r:embed="rId12"/>
        <a:stretch/>
      </xdr:blipFill>
      <xdr:spPr>
        <a:xfrm>
          <a:off x="6689880" y="160344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97560</xdr:colOff>
      <xdr:row>8</xdr:row>
      <xdr:rowOff>45000</xdr:rowOff>
    </xdr:from>
    <xdr:to>
      <xdr:col>11</xdr:col>
      <xdr:colOff>351720</xdr:colOff>
      <xdr:row>8</xdr:row>
      <xdr:rowOff>244080</xdr:rowOff>
    </xdr:to>
    <xdr:pic>
      <xdr:nvPicPr>
        <xdr:cNvPr id="398" name="Imagem 14" descr=""/>
        <xdr:cNvPicPr/>
      </xdr:nvPicPr>
      <xdr:blipFill>
        <a:blip r:embed="rId13"/>
        <a:stretch/>
      </xdr:blipFill>
      <xdr:spPr>
        <a:xfrm>
          <a:off x="6697080" y="2226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7</xdr:row>
      <xdr:rowOff>18720</xdr:rowOff>
    </xdr:from>
    <xdr:to>
      <xdr:col>11</xdr:col>
      <xdr:colOff>322920</xdr:colOff>
      <xdr:row>7</xdr:row>
      <xdr:rowOff>246600</xdr:rowOff>
    </xdr:to>
    <xdr:pic>
      <xdr:nvPicPr>
        <xdr:cNvPr id="399" name="Imagem 15" descr=""/>
        <xdr:cNvPicPr/>
      </xdr:nvPicPr>
      <xdr:blipFill>
        <a:blip r:embed="rId14"/>
        <a:stretch/>
      </xdr:blipFill>
      <xdr:spPr>
        <a:xfrm>
          <a:off x="6732720" y="189504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2</xdr:row>
      <xdr:rowOff>53640</xdr:rowOff>
    </xdr:from>
    <xdr:to>
      <xdr:col>11</xdr:col>
      <xdr:colOff>456480</xdr:colOff>
      <xdr:row>2</xdr:row>
      <xdr:rowOff>216720</xdr:rowOff>
    </xdr:to>
    <xdr:pic>
      <xdr:nvPicPr>
        <xdr:cNvPr id="400" name="Imagem 16" descr=""/>
        <xdr:cNvPicPr/>
      </xdr:nvPicPr>
      <xdr:blipFill>
        <a:blip r:embed="rId15"/>
        <a:stretch/>
      </xdr:blipFill>
      <xdr:spPr>
        <a:xfrm>
          <a:off x="6682680" y="55836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3</xdr:row>
      <xdr:rowOff>28440</xdr:rowOff>
    </xdr:from>
    <xdr:to>
      <xdr:col>11</xdr:col>
      <xdr:colOff>417240</xdr:colOff>
      <xdr:row>3</xdr:row>
      <xdr:rowOff>231840</xdr:rowOff>
    </xdr:to>
    <xdr:pic>
      <xdr:nvPicPr>
        <xdr:cNvPr id="401" name="Imagem 17" descr=""/>
        <xdr:cNvPicPr/>
      </xdr:nvPicPr>
      <xdr:blipFill>
        <a:blip r:embed="rId16"/>
        <a:stretch/>
      </xdr:blipFill>
      <xdr:spPr>
        <a:xfrm>
          <a:off x="6680520" y="780840"/>
          <a:ext cx="336240" cy="20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68760</xdr:colOff>
      <xdr:row>4</xdr:row>
      <xdr:rowOff>19080</xdr:rowOff>
    </xdr:from>
    <xdr:to>
      <xdr:col>11</xdr:col>
      <xdr:colOff>475560</xdr:colOff>
      <xdr:row>4</xdr:row>
      <xdr:rowOff>187920</xdr:rowOff>
    </xdr:to>
    <xdr:pic>
      <xdr:nvPicPr>
        <xdr:cNvPr id="402" name="Imagem 18" descr=""/>
        <xdr:cNvPicPr/>
      </xdr:nvPicPr>
      <xdr:blipFill>
        <a:blip r:embed="rId17"/>
        <a:stretch/>
      </xdr:blipFill>
      <xdr:spPr>
        <a:xfrm>
          <a:off x="6668280" y="101916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200160</xdr:colOff>
      <xdr:row>5</xdr:row>
      <xdr:rowOff>152280</xdr:rowOff>
    </xdr:from>
    <xdr:to>
      <xdr:col>9</xdr:col>
      <xdr:colOff>545760</xdr:colOff>
      <xdr:row>8</xdr:row>
      <xdr:rowOff>160920</xdr:rowOff>
    </xdr:to>
    <xdr:pic>
      <xdr:nvPicPr>
        <xdr:cNvPr id="403" name="Imagem 19" descr="">
          <a:hlinkClick r:id="rId18"/>
        </xdr:cNvPr>
        <xdr:cNvPicPr/>
      </xdr:nvPicPr>
      <xdr:blipFill>
        <a:blip r:embed="rId19"/>
        <a:stretch/>
      </xdr:blipFill>
      <xdr:spPr>
        <a:xfrm>
          <a:off x="3880080" y="1400040"/>
          <a:ext cx="1875960" cy="94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19</xdr:row>
      <xdr:rowOff>46440</xdr:rowOff>
    </xdr:from>
    <xdr:to>
      <xdr:col>1</xdr:col>
      <xdr:colOff>389880</xdr:colOff>
      <xdr:row>19</xdr:row>
      <xdr:rowOff>253800</xdr:rowOff>
    </xdr:to>
    <xdr:pic>
      <xdr:nvPicPr>
        <xdr:cNvPr id="404" name="Imagem 20" descr=""/>
        <xdr:cNvPicPr/>
      </xdr:nvPicPr>
      <xdr:blipFill>
        <a:blip r:embed="rId20"/>
        <a:stretch/>
      </xdr:blipFill>
      <xdr:spPr>
        <a:xfrm>
          <a:off x="811440" y="5761440"/>
          <a:ext cx="32328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10</xdr:row>
      <xdr:rowOff>56160</xdr:rowOff>
    </xdr:from>
    <xdr:to>
      <xdr:col>11</xdr:col>
      <xdr:colOff>370800</xdr:colOff>
      <xdr:row>10</xdr:row>
      <xdr:rowOff>263520</xdr:rowOff>
    </xdr:to>
    <xdr:pic>
      <xdr:nvPicPr>
        <xdr:cNvPr id="405" name="Imagem 22" descr=""/>
        <xdr:cNvPicPr/>
      </xdr:nvPicPr>
      <xdr:blipFill>
        <a:blip r:embed="rId21"/>
        <a:stretch/>
      </xdr:blipFill>
      <xdr:spPr>
        <a:xfrm>
          <a:off x="6647040" y="2894760"/>
          <a:ext cx="323280" cy="20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5</xdr:row>
      <xdr:rowOff>57240</xdr:rowOff>
    </xdr:from>
    <xdr:to>
      <xdr:col>9</xdr:col>
      <xdr:colOff>275400</xdr:colOff>
      <xdr:row>8</xdr:row>
      <xdr:rowOff>251280</xdr:rowOff>
    </xdr:to>
    <xdr:pic>
      <xdr:nvPicPr>
        <xdr:cNvPr id="406" name="Imagem 13" descr="">
          <a:hlinkClick r:id="rId1"/>
        </xdr:cNvPr>
        <xdr:cNvPicPr/>
      </xdr:nvPicPr>
      <xdr:blipFill>
        <a:blip r:embed="rId2"/>
        <a:stretch/>
      </xdr:blipFill>
      <xdr:spPr>
        <a:xfrm>
          <a:off x="4110840" y="1305000"/>
          <a:ext cx="1374840" cy="11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17</xdr:row>
      <xdr:rowOff>18000</xdr:rowOff>
    </xdr:from>
    <xdr:to>
      <xdr:col>1</xdr:col>
      <xdr:colOff>361080</xdr:colOff>
      <xdr:row>18</xdr:row>
      <xdr:rowOff>9000</xdr:rowOff>
    </xdr:to>
    <xdr:pic>
      <xdr:nvPicPr>
        <xdr:cNvPr id="407" name="Imagem 1" descr=""/>
        <xdr:cNvPicPr/>
      </xdr:nvPicPr>
      <xdr:blipFill>
        <a:blip r:embed="rId3"/>
        <a:stretch/>
      </xdr:blipFill>
      <xdr:spPr>
        <a:xfrm>
          <a:off x="811440" y="512352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13</xdr:row>
      <xdr:rowOff>23760</xdr:rowOff>
    </xdr:from>
    <xdr:to>
      <xdr:col>1</xdr:col>
      <xdr:colOff>389880</xdr:colOff>
      <xdr:row>13</xdr:row>
      <xdr:rowOff>301680</xdr:rowOff>
    </xdr:to>
    <xdr:pic>
      <xdr:nvPicPr>
        <xdr:cNvPr id="408" name="Imagem 2" descr=""/>
        <xdr:cNvPicPr/>
      </xdr:nvPicPr>
      <xdr:blipFill>
        <a:blip r:embed="rId4"/>
        <a:stretch/>
      </xdr:blipFill>
      <xdr:spPr>
        <a:xfrm>
          <a:off x="856800" y="383364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90360</xdr:colOff>
      <xdr:row>14</xdr:row>
      <xdr:rowOff>88920</xdr:rowOff>
    </xdr:from>
    <xdr:to>
      <xdr:col>1</xdr:col>
      <xdr:colOff>370800</xdr:colOff>
      <xdr:row>14</xdr:row>
      <xdr:rowOff>270720</xdr:rowOff>
    </xdr:to>
    <xdr:pic>
      <xdr:nvPicPr>
        <xdr:cNvPr id="409" name="Imagem 3" descr=""/>
        <xdr:cNvPicPr/>
      </xdr:nvPicPr>
      <xdr:blipFill>
        <a:blip r:embed="rId5"/>
        <a:stretch/>
      </xdr:blipFill>
      <xdr:spPr>
        <a:xfrm>
          <a:off x="835200" y="422280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126000</xdr:colOff>
      <xdr:row>16</xdr:row>
      <xdr:rowOff>63720</xdr:rowOff>
    </xdr:from>
    <xdr:to>
      <xdr:col>1</xdr:col>
      <xdr:colOff>380160</xdr:colOff>
      <xdr:row>16</xdr:row>
      <xdr:rowOff>262800</xdr:rowOff>
    </xdr:to>
    <xdr:pic>
      <xdr:nvPicPr>
        <xdr:cNvPr id="410" name="Imagem 4" descr=""/>
        <xdr:cNvPicPr/>
      </xdr:nvPicPr>
      <xdr:blipFill>
        <a:blip r:embed="rId6"/>
        <a:stretch/>
      </xdr:blipFill>
      <xdr:spPr>
        <a:xfrm>
          <a:off x="870840" y="4845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15</xdr:row>
      <xdr:rowOff>56880</xdr:rowOff>
    </xdr:from>
    <xdr:to>
      <xdr:col>1</xdr:col>
      <xdr:colOff>351720</xdr:colOff>
      <xdr:row>15</xdr:row>
      <xdr:rowOff>284760</xdr:rowOff>
    </xdr:to>
    <xdr:pic>
      <xdr:nvPicPr>
        <xdr:cNvPr id="411" name="Imagem 5" descr=""/>
        <xdr:cNvPicPr/>
      </xdr:nvPicPr>
      <xdr:blipFill>
        <a:blip r:embed="rId7"/>
        <a:stretch/>
      </xdr:blipFill>
      <xdr:spPr>
        <a:xfrm>
          <a:off x="906840" y="451476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64080</xdr:colOff>
      <xdr:row>10</xdr:row>
      <xdr:rowOff>72720</xdr:rowOff>
    </xdr:from>
    <xdr:to>
      <xdr:col>1</xdr:col>
      <xdr:colOff>437400</xdr:colOff>
      <xdr:row>10</xdr:row>
      <xdr:rowOff>235800</xdr:rowOff>
    </xdr:to>
    <xdr:pic>
      <xdr:nvPicPr>
        <xdr:cNvPr id="412" name="Imagem 6" descr=""/>
        <xdr:cNvPicPr/>
      </xdr:nvPicPr>
      <xdr:blipFill>
        <a:blip r:embed="rId8"/>
        <a:stretch/>
      </xdr:blipFill>
      <xdr:spPr>
        <a:xfrm>
          <a:off x="808920" y="291132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11</xdr:row>
      <xdr:rowOff>57240</xdr:rowOff>
    </xdr:from>
    <xdr:to>
      <xdr:col>1</xdr:col>
      <xdr:colOff>436320</xdr:colOff>
      <xdr:row>11</xdr:row>
      <xdr:rowOff>260640</xdr:rowOff>
    </xdr:to>
    <xdr:pic>
      <xdr:nvPicPr>
        <xdr:cNvPr id="413" name="Imagem 7" descr=""/>
        <xdr:cNvPicPr/>
      </xdr:nvPicPr>
      <xdr:blipFill>
        <a:blip r:embed="rId9"/>
        <a:stretch/>
      </xdr:blipFill>
      <xdr:spPr>
        <a:xfrm>
          <a:off x="844920" y="3219480"/>
          <a:ext cx="336240" cy="20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78480</xdr:colOff>
      <xdr:row>12</xdr:row>
      <xdr:rowOff>95400</xdr:rowOff>
    </xdr:from>
    <xdr:to>
      <xdr:col>1</xdr:col>
      <xdr:colOff>485280</xdr:colOff>
      <xdr:row>12</xdr:row>
      <xdr:rowOff>264240</xdr:rowOff>
    </xdr:to>
    <xdr:pic>
      <xdr:nvPicPr>
        <xdr:cNvPr id="414" name="Imagem 8" descr=""/>
        <xdr:cNvPicPr/>
      </xdr:nvPicPr>
      <xdr:blipFill>
        <a:blip r:embed="rId10"/>
        <a:stretch/>
      </xdr:blipFill>
      <xdr:spPr>
        <a:xfrm>
          <a:off x="823320" y="3581640"/>
          <a:ext cx="4068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17</xdr:row>
      <xdr:rowOff>322560</xdr:rowOff>
    </xdr:from>
    <xdr:to>
      <xdr:col>1</xdr:col>
      <xdr:colOff>370800</xdr:colOff>
      <xdr:row>19</xdr:row>
      <xdr:rowOff>27720</xdr:rowOff>
    </xdr:to>
    <xdr:pic>
      <xdr:nvPicPr>
        <xdr:cNvPr id="415" name="Imagem 10" descr=""/>
        <xdr:cNvPicPr/>
      </xdr:nvPicPr>
      <xdr:blipFill>
        <a:blip r:embed="rId11"/>
        <a:stretch/>
      </xdr:blipFill>
      <xdr:spPr>
        <a:xfrm>
          <a:off x="821160" y="5428080"/>
          <a:ext cx="2944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9</xdr:row>
      <xdr:rowOff>18000</xdr:rowOff>
    </xdr:from>
    <xdr:to>
      <xdr:col>11</xdr:col>
      <xdr:colOff>313560</xdr:colOff>
      <xdr:row>10</xdr:row>
      <xdr:rowOff>9000</xdr:rowOff>
    </xdr:to>
    <xdr:pic>
      <xdr:nvPicPr>
        <xdr:cNvPr id="416" name="Imagem 11" descr=""/>
        <xdr:cNvPicPr/>
      </xdr:nvPicPr>
      <xdr:blipFill>
        <a:blip r:embed="rId12"/>
        <a:stretch/>
      </xdr:blipFill>
      <xdr:spPr>
        <a:xfrm>
          <a:off x="6618600" y="2532600"/>
          <a:ext cx="29448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4</xdr:row>
      <xdr:rowOff>223920</xdr:rowOff>
    </xdr:from>
    <xdr:to>
      <xdr:col>11</xdr:col>
      <xdr:colOff>351720</xdr:colOff>
      <xdr:row>5</xdr:row>
      <xdr:rowOff>254160</xdr:rowOff>
    </xdr:to>
    <xdr:pic>
      <xdr:nvPicPr>
        <xdr:cNvPr id="417" name="Imagem 12" descr=""/>
        <xdr:cNvPicPr/>
      </xdr:nvPicPr>
      <xdr:blipFill>
        <a:blip r:embed="rId13"/>
        <a:stretch/>
      </xdr:blipFill>
      <xdr:spPr>
        <a:xfrm>
          <a:off x="6673320" y="1224000"/>
          <a:ext cx="27792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6</xdr:row>
      <xdr:rowOff>69840</xdr:rowOff>
    </xdr:from>
    <xdr:to>
      <xdr:col>11</xdr:col>
      <xdr:colOff>370800</xdr:colOff>
      <xdr:row>6</xdr:row>
      <xdr:rowOff>251640</xdr:rowOff>
    </xdr:to>
    <xdr:pic>
      <xdr:nvPicPr>
        <xdr:cNvPr id="418" name="Imagem 14" descr=""/>
        <xdr:cNvPicPr/>
      </xdr:nvPicPr>
      <xdr:blipFill>
        <a:blip r:embed="rId14"/>
        <a:stretch/>
      </xdr:blipFill>
      <xdr:spPr>
        <a:xfrm>
          <a:off x="6689880" y="1603440"/>
          <a:ext cx="28044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97560</xdr:colOff>
      <xdr:row>8</xdr:row>
      <xdr:rowOff>45000</xdr:rowOff>
    </xdr:from>
    <xdr:to>
      <xdr:col>11</xdr:col>
      <xdr:colOff>351720</xdr:colOff>
      <xdr:row>8</xdr:row>
      <xdr:rowOff>244080</xdr:rowOff>
    </xdr:to>
    <xdr:pic>
      <xdr:nvPicPr>
        <xdr:cNvPr id="419" name="Imagem 15" descr=""/>
        <xdr:cNvPicPr/>
      </xdr:nvPicPr>
      <xdr:blipFill>
        <a:blip r:embed="rId15"/>
        <a:stretch/>
      </xdr:blipFill>
      <xdr:spPr>
        <a:xfrm>
          <a:off x="6697080" y="2226240"/>
          <a:ext cx="25416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7</xdr:row>
      <xdr:rowOff>18720</xdr:rowOff>
    </xdr:from>
    <xdr:to>
      <xdr:col>11</xdr:col>
      <xdr:colOff>322920</xdr:colOff>
      <xdr:row>7</xdr:row>
      <xdr:rowOff>246600</xdr:rowOff>
    </xdr:to>
    <xdr:pic>
      <xdr:nvPicPr>
        <xdr:cNvPr id="420" name="Imagem 16" descr=""/>
        <xdr:cNvPicPr/>
      </xdr:nvPicPr>
      <xdr:blipFill>
        <a:blip r:embed="rId16"/>
        <a:stretch/>
      </xdr:blipFill>
      <xdr:spPr>
        <a:xfrm>
          <a:off x="6732720" y="1895040"/>
          <a:ext cx="18972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2</xdr:row>
      <xdr:rowOff>53640</xdr:rowOff>
    </xdr:from>
    <xdr:to>
      <xdr:col>11</xdr:col>
      <xdr:colOff>456480</xdr:colOff>
      <xdr:row>2</xdr:row>
      <xdr:rowOff>216720</xdr:rowOff>
    </xdr:to>
    <xdr:pic>
      <xdr:nvPicPr>
        <xdr:cNvPr id="421" name="Imagem 17" descr=""/>
        <xdr:cNvPicPr/>
      </xdr:nvPicPr>
      <xdr:blipFill>
        <a:blip r:embed="rId17"/>
        <a:stretch/>
      </xdr:blipFill>
      <xdr:spPr>
        <a:xfrm>
          <a:off x="6682680" y="558360"/>
          <a:ext cx="373320" cy="16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3</xdr:row>
      <xdr:rowOff>28440</xdr:rowOff>
    </xdr:from>
    <xdr:to>
      <xdr:col>11</xdr:col>
      <xdr:colOff>417240</xdr:colOff>
      <xdr:row>3</xdr:row>
      <xdr:rowOff>231840</xdr:rowOff>
    </xdr:to>
    <xdr:pic>
      <xdr:nvPicPr>
        <xdr:cNvPr id="422" name="Imagem 18" descr=""/>
        <xdr:cNvPicPr/>
      </xdr:nvPicPr>
      <xdr:blipFill>
        <a:blip r:embed="rId18"/>
        <a:stretch/>
      </xdr:blipFill>
      <xdr:spPr>
        <a:xfrm>
          <a:off x="6680520" y="780840"/>
          <a:ext cx="336240" cy="20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68760</xdr:colOff>
      <xdr:row>4</xdr:row>
      <xdr:rowOff>19080</xdr:rowOff>
    </xdr:from>
    <xdr:to>
      <xdr:col>11</xdr:col>
      <xdr:colOff>475560</xdr:colOff>
      <xdr:row>4</xdr:row>
      <xdr:rowOff>187920</xdr:rowOff>
    </xdr:to>
    <xdr:pic>
      <xdr:nvPicPr>
        <xdr:cNvPr id="423" name="Imagem 19" descr=""/>
        <xdr:cNvPicPr/>
      </xdr:nvPicPr>
      <xdr:blipFill>
        <a:blip r:embed="rId19"/>
        <a:stretch/>
      </xdr:blipFill>
      <xdr:spPr>
        <a:xfrm>
          <a:off x="6668280" y="1019160"/>
          <a:ext cx="406800" cy="16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123840</xdr:colOff>
      <xdr:row>15</xdr:row>
      <xdr:rowOff>85680</xdr:rowOff>
    </xdr:from>
    <xdr:to>
      <xdr:col>1</xdr:col>
      <xdr:colOff>323280</xdr:colOff>
      <xdr:row>15</xdr:row>
      <xdr:rowOff>285120</xdr:rowOff>
    </xdr:to>
    <xdr:pic>
      <xdr:nvPicPr>
        <xdr:cNvPr id="424" name="Imagem 2" descr=""/>
        <xdr:cNvPicPr/>
      </xdr:nvPicPr>
      <xdr:blipFill>
        <a:blip r:embed="rId1"/>
        <a:stretch/>
      </xdr:blipFill>
      <xdr:spPr>
        <a:xfrm>
          <a:off x="868680" y="4543560"/>
          <a:ext cx="19944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11</xdr:row>
      <xdr:rowOff>285840</xdr:rowOff>
    </xdr:from>
    <xdr:to>
      <xdr:col>1</xdr:col>
      <xdr:colOff>480240</xdr:colOff>
      <xdr:row>13</xdr:row>
      <xdr:rowOff>63720</xdr:rowOff>
    </xdr:to>
    <xdr:pic>
      <xdr:nvPicPr>
        <xdr:cNvPr id="425" name="Imagem 3" descr=""/>
        <xdr:cNvPicPr/>
      </xdr:nvPicPr>
      <xdr:blipFill>
        <a:blip r:embed="rId2"/>
        <a:stretch/>
      </xdr:blipFill>
      <xdr:spPr>
        <a:xfrm>
          <a:off x="799560" y="3448080"/>
          <a:ext cx="425520" cy="42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10</xdr:row>
      <xdr:rowOff>57240</xdr:rowOff>
    </xdr:from>
    <xdr:to>
      <xdr:col>1</xdr:col>
      <xdr:colOff>399240</xdr:colOff>
      <xdr:row>10</xdr:row>
      <xdr:rowOff>308880</xdr:rowOff>
    </xdr:to>
    <xdr:pic>
      <xdr:nvPicPr>
        <xdr:cNvPr id="426" name="Imagem 4" descr=""/>
        <xdr:cNvPicPr/>
      </xdr:nvPicPr>
      <xdr:blipFill>
        <a:blip r:embed="rId3"/>
        <a:stretch/>
      </xdr:blipFill>
      <xdr:spPr>
        <a:xfrm>
          <a:off x="892440" y="2895840"/>
          <a:ext cx="251640" cy="25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11</xdr:row>
      <xdr:rowOff>38160</xdr:rowOff>
    </xdr:from>
    <xdr:to>
      <xdr:col>1</xdr:col>
      <xdr:colOff>399240</xdr:colOff>
      <xdr:row>11</xdr:row>
      <xdr:rowOff>289800</xdr:rowOff>
    </xdr:to>
    <xdr:pic>
      <xdr:nvPicPr>
        <xdr:cNvPr id="427" name="Imagem 5" descr=""/>
        <xdr:cNvPicPr/>
      </xdr:nvPicPr>
      <xdr:blipFill>
        <a:blip r:embed="rId4"/>
        <a:stretch/>
      </xdr:blipFill>
      <xdr:spPr>
        <a:xfrm>
          <a:off x="892440" y="3200400"/>
          <a:ext cx="251640" cy="25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304920</xdr:rowOff>
    </xdr:from>
    <xdr:to>
      <xdr:col>1</xdr:col>
      <xdr:colOff>446760</xdr:colOff>
      <xdr:row>15</xdr:row>
      <xdr:rowOff>56520</xdr:rowOff>
    </xdr:to>
    <xdr:pic>
      <xdr:nvPicPr>
        <xdr:cNvPr id="428" name="Imagem 6" descr=""/>
        <xdr:cNvPicPr/>
      </xdr:nvPicPr>
      <xdr:blipFill>
        <a:blip r:embed="rId5"/>
        <a:stretch/>
      </xdr:blipFill>
      <xdr:spPr>
        <a:xfrm>
          <a:off x="792360" y="4114800"/>
          <a:ext cx="3992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16</xdr:row>
      <xdr:rowOff>45360</xdr:rowOff>
    </xdr:from>
    <xdr:to>
      <xdr:col>1</xdr:col>
      <xdr:colOff>342000</xdr:colOff>
      <xdr:row>16</xdr:row>
      <xdr:rowOff>285120</xdr:rowOff>
    </xdr:to>
    <xdr:pic>
      <xdr:nvPicPr>
        <xdr:cNvPr id="429" name="Imagem 7" descr=""/>
        <xdr:cNvPicPr/>
      </xdr:nvPicPr>
      <xdr:blipFill>
        <a:blip r:embed="rId6"/>
        <a:stretch/>
      </xdr:blipFill>
      <xdr:spPr>
        <a:xfrm>
          <a:off x="847080" y="4826880"/>
          <a:ext cx="23976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128520</xdr:colOff>
      <xdr:row>13</xdr:row>
      <xdr:rowOff>4680</xdr:rowOff>
    </xdr:from>
    <xdr:to>
      <xdr:col>1</xdr:col>
      <xdr:colOff>475560</xdr:colOff>
      <xdr:row>14</xdr:row>
      <xdr:rowOff>27720</xdr:rowOff>
    </xdr:to>
    <xdr:pic>
      <xdr:nvPicPr>
        <xdr:cNvPr id="430" name="Imagem 8" descr=""/>
        <xdr:cNvPicPr/>
      </xdr:nvPicPr>
      <xdr:blipFill>
        <a:blip r:embed="rId7"/>
        <a:stretch/>
      </xdr:blipFill>
      <xdr:spPr>
        <a:xfrm>
          <a:off x="873360" y="3814560"/>
          <a:ext cx="347040" cy="34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6</xdr:row>
      <xdr:rowOff>47520</xdr:rowOff>
    </xdr:from>
    <xdr:to>
      <xdr:col>11</xdr:col>
      <xdr:colOff>294840</xdr:colOff>
      <xdr:row>6</xdr:row>
      <xdr:rowOff>246960</xdr:rowOff>
    </xdr:to>
    <xdr:pic>
      <xdr:nvPicPr>
        <xdr:cNvPr id="431" name="Imagem 9" descr=""/>
        <xdr:cNvPicPr/>
      </xdr:nvPicPr>
      <xdr:blipFill>
        <a:blip r:embed="rId8"/>
        <a:stretch/>
      </xdr:blipFill>
      <xdr:spPr>
        <a:xfrm>
          <a:off x="6694920" y="1581120"/>
          <a:ext cx="19944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2</xdr:row>
      <xdr:rowOff>237960</xdr:rowOff>
    </xdr:from>
    <xdr:to>
      <xdr:col>11</xdr:col>
      <xdr:colOff>330120</xdr:colOff>
      <xdr:row>4</xdr:row>
      <xdr:rowOff>18000</xdr:rowOff>
    </xdr:to>
    <xdr:pic>
      <xdr:nvPicPr>
        <xdr:cNvPr id="432" name="Imagem 10" descr=""/>
        <xdr:cNvPicPr/>
      </xdr:nvPicPr>
      <xdr:blipFill>
        <a:blip r:embed="rId9"/>
        <a:stretch/>
      </xdr:blipFill>
      <xdr:spPr>
        <a:xfrm>
          <a:off x="6654240" y="742680"/>
          <a:ext cx="27540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147600</xdr:colOff>
      <xdr:row>2</xdr:row>
      <xdr:rowOff>19080</xdr:rowOff>
    </xdr:from>
    <xdr:to>
      <xdr:col>11</xdr:col>
      <xdr:colOff>342360</xdr:colOff>
      <xdr:row>2</xdr:row>
      <xdr:rowOff>213840</xdr:rowOff>
    </xdr:to>
    <xdr:pic>
      <xdr:nvPicPr>
        <xdr:cNvPr id="433" name="Imagem 11" descr=""/>
        <xdr:cNvPicPr/>
      </xdr:nvPicPr>
      <xdr:blipFill>
        <a:blip r:embed="rId10"/>
        <a:stretch/>
      </xdr:blipFill>
      <xdr:spPr>
        <a:xfrm>
          <a:off x="6747120" y="523800"/>
          <a:ext cx="194760" cy="19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4</xdr:row>
      <xdr:rowOff>200160</xdr:rowOff>
    </xdr:from>
    <xdr:to>
      <xdr:col>11</xdr:col>
      <xdr:colOff>437400</xdr:colOff>
      <xdr:row>6</xdr:row>
      <xdr:rowOff>66240</xdr:rowOff>
    </xdr:to>
    <xdr:pic>
      <xdr:nvPicPr>
        <xdr:cNvPr id="434" name="Imagem 12" descr=""/>
        <xdr:cNvPicPr/>
      </xdr:nvPicPr>
      <xdr:blipFill>
        <a:blip r:embed="rId11"/>
        <a:stretch/>
      </xdr:blipFill>
      <xdr:spPr>
        <a:xfrm>
          <a:off x="6637680" y="1200240"/>
          <a:ext cx="3992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6</xdr:row>
      <xdr:rowOff>340560</xdr:rowOff>
    </xdr:from>
    <xdr:to>
      <xdr:col>11</xdr:col>
      <xdr:colOff>313560</xdr:colOff>
      <xdr:row>7</xdr:row>
      <xdr:rowOff>237600</xdr:rowOff>
    </xdr:to>
    <xdr:pic>
      <xdr:nvPicPr>
        <xdr:cNvPr id="435" name="Imagem 13" descr=""/>
        <xdr:cNvPicPr/>
      </xdr:nvPicPr>
      <xdr:blipFill>
        <a:blip r:embed="rId12"/>
        <a:stretch/>
      </xdr:blipFill>
      <xdr:spPr>
        <a:xfrm>
          <a:off x="6673320" y="1874160"/>
          <a:ext cx="23976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128520</xdr:colOff>
      <xdr:row>4</xdr:row>
      <xdr:rowOff>33480</xdr:rowOff>
    </xdr:from>
    <xdr:to>
      <xdr:col>11</xdr:col>
      <xdr:colOff>380160</xdr:colOff>
      <xdr:row>5</xdr:row>
      <xdr:rowOff>37440</xdr:rowOff>
    </xdr:to>
    <xdr:pic>
      <xdr:nvPicPr>
        <xdr:cNvPr id="436" name="Imagem 14" descr=""/>
        <xdr:cNvPicPr/>
      </xdr:nvPicPr>
      <xdr:blipFill>
        <a:blip r:embed="rId13"/>
        <a:stretch/>
      </xdr:blipFill>
      <xdr:spPr>
        <a:xfrm>
          <a:off x="6728040" y="1033560"/>
          <a:ext cx="251640" cy="25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428760</xdr:colOff>
      <xdr:row>5</xdr:row>
      <xdr:rowOff>47520</xdr:rowOff>
    </xdr:from>
    <xdr:to>
      <xdr:col>8</xdr:col>
      <xdr:colOff>411480</xdr:colOff>
      <xdr:row>8</xdr:row>
      <xdr:rowOff>294480</xdr:rowOff>
    </xdr:to>
    <xdr:pic>
      <xdr:nvPicPr>
        <xdr:cNvPr id="437" name="Imagem 15" descr="">
          <a:hlinkClick r:id="rId14"/>
        </xdr:cNvPr>
        <xdr:cNvPicPr/>
      </xdr:nvPicPr>
      <xdr:blipFill>
        <a:blip r:embed="rId15"/>
        <a:stretch/>
      </xdr:blipFill>
      <xdr:spPr>
        <a:xfrm>
          <a:off x="4511160" y="1295280"/>
          <a:ext cx="567000" cy="118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17</xdr:row>
      <xdr:rowOff>162000</xdr:rowOff>
    </xdr:from>
    <xdr:to>
      <xdr:col>2</xdr:col>
      <xdr:colOff>27720</xdr:colOff>
      <xdr:row>17</xdr:row>
      <xdr:rowOff>241920</xdr:rowOff>
    </xdr:to>
    <xdr:pic>
      <xdr:nvPicPr>
        <xdr:cNvPr id="438" name="Imagem 16" descr=""/>
        <xdr:cNvPicPr/>
      </xdr:nvPicPr>
      <xdr:blipFill>
        <a:blip r:embed="rId16"/>
        <a:stretch/>
      </xdr:blipFill>
      <xdr:spPr>
        <a:xfrm>
          <a:off x="773280" y="5267520"/>
          <a:ext cx="610920" cy="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8</xdr:row>
      <xdr:rowOff>162000</xdr:rowOff>
    </xdr:from>
    <xdr:to>
      <xdr:col>11</xdr:col>
      <xdr:colOff>586080</xdr:colOff>
      <xdr:row>8</xdr:row>
      <xdr:rowOff>237600</xdr:rowOff>
    </xdr:to>
    <xdr:pic>
      <xdr:nvPicPr>
        <xdr:cNvPr id="439" name="Imagem 17" descr=""/>
        <xdr:cNvPicPr/>
      </xdr:nvPicPr>
      <xdr:blipFill>
        <a:blip r:embed="rId17"/>
        <a:stretch/>
      </xdr:blipFill>
      <xdr:spPr>
        <a:xfrm>
          <a:off x="6608880" y="2343240"/>
          <a:ext cx="576720" cy="75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4</xdr:row>
      <xdr:rowOff>228600</xdr:rowOff>
    </xdr:from>
    <xdr:to>
      <xdr:col>9</xdr:col>
      <xdr:colOff>304200</xdr:colOff>
      <xdr:row>9</xdr:row>
      <xdr:rowOff>8640</xdr:rowOff>
    </xdr:to>
    <xdr:pic>
      <xdr:nvPicPr>
        <xdr:cNvPr id="440" name="Imagem 13" descr="">
          <a:hlinkClick r:id="rId1"/>
        </xdr:cNvPr>
        <xdr:cNvPicPr/>
      </xdr:nvPicPr>
      <xdr:blipFill>
        <a:blip r:embed="rId2"/>
        <a:stretch/>
      </xdr:blipFill>
      <xdr:spPr>
        <a:xfrm>
          <a:off x="4158720" y="1228680"/>
          <a:ext cx="1355760" cy="129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15</xdr:row>
      <xdr:rowOff>85680</xdr:rowOff>
    </xdr:from>
    <xdr:to>
      <xdr:col>1</xdr:col>
      <xdr:colOff>323280</xdr:colOff>
      <xdr:row>15</xdr:row>
      <xdr:rowOff>285120</xdr:rowOff>
    </xdr:to>
    <xdr:pic>
      <xdr:nvPicPr>
        <xdr:cNvPr id="441" name="Imagem 14" descr=""/>
        <xdr:cNvPicPr/>
      </xdr:nvPicPr>
      <xdr:blipFill>
        <a:blip r:embed="rId3"/>
        <a:stretch/>
      </xdr:blipFill>
      <xdr:spPr>
        <a:xfrm>
          <a:off x="868680" y="4543560"/>
          <a:ext cx="19944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11</xdr:row>
      <xdr:rowOff>285840</xdr:rowOff>
    </xdr:from>
    <xdr:to>
      <xdr:col>1</xdr:col>
      <xdr:colOff>480240</xdr:colOff>
      <xdr:row>13</xdr:row>
      <xdr:rowOff>63720</xdr:rowOff>
    </xdr:to>
    <xdr:pic>
      <xdr:nvPicPr>
        <xdr:cNvPr id="442" name="Imagem 15" descr=""/>
        <xdr:cNvPicPr/>
      </xdr:nvPicPr>
      <xdr:blipFill>
        <a:blip r:embed="rId4"/>
        <a:stretch/>
      </xdr:blipFill>
      <xdr:spPr>
        <a:xfrm>
          <a:off x="799560" y="3448080"/>
          <a:ext cx="425520" cy="42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10</xdr:row>
      <xdr:rowOff>57240</xdr:rowOff>
    </xdr:from>
    <xdr:to>
      <xdr:col>1</xdr:col>
      <xdr:colOff>399240</xdr:colOff>
      <xdr:row>10</xdr:row>
      <xdr:rowOff>308880</xdr:rowOff>
    </xdr:to>
    <xdr:pic>
      <xdr:nvPicPr>
        <xdr:cNvPr id="443" name="Imagem 16" descr=""/>
        <xdr:cNvPicPr/>
      </xdr:nvPicPr>
      <xdr:blipFill>
        <a:blip r:embed="rId5"/>
        <a:stretch/>
      </xdr:blipFill>
      <xdr:spPr>
        <a:xfrm>
          <a:off x="892440" y="2895840"/>
          <a:ext cx="251640" cy="25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147600</xdr:colOff>
      <xdr:row>11</xdr:row>
      <xdr:rowOff>38160</xdr:rowOff>
    </xdr:from>
    <xdr:to>
      <xdr:col>1</xdr:col>
      <xdr:colOff>399240</xdr:colOff>
      <xdr:row>11</xdr:row>
      <xdr:rowOff>289800</xdr:rowOff>
    </xdr:to>
    <xdr:pic>
      <xdr:nvPicPr>
        <xdr:cNvPr id="444" name="Imagem 17" descr=""/>
        <xdr:cNvPicPr/>
      </xdr:nvPicPr>
      <xdr:blipFill>
        <a:blip r:embed="rId6"/>
        <a:stretch/>
      </xdr:blipFill>
      <xdr:spPr>
        <a:xfrm>
          <a:off x="892440" y="3200400"/>
          <a:ext cx="251640" cy="25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304920</xdr:rowOff>
    </xdr:from>
    <xdr:to>
      <xdr:col>1</xdr:col>
      <xdr:colOff>446760</xdr:colOff>
      <xdr:row>15</xdr:row>
      <xdr:rowOff>56520</xdr:rowOff>
    </xdr:to>
    <xdr:pic>
      <xdr:nvPicPr>
        <xdr:cNvPr id="445" name="Imagem 18" descr=""/>
        <xdr:cNvPicPr/>
      </xdr:nvPicPr>
      <xdr:blipFill>
        <a:blip r:embed="rId7"/>
        <a:stretch/>
      </xdr:blipFill>
      <xdr:spPr>
        <a:xfrm>
          <a:off x="792360" y="4114800"/>
          <a:ext cx="3992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16</xdr:row>
      <xdr:rowOff>45360</xdr:rowOff>
    </xdr:from>
    <xdr:to>
      <xdr:col>1</xdr:col>
      <xdr:colOff>342000</xdr:colOff>
      <xdr:row>16</xdr:row>
      <xdr:rowOff>285120</xdr:rowOff>
    </xdr:to>
    <xdr:pic>
      <xdr:nvPicPr>
        <xdr:cNvPr id="446" name="Imagem 19" descr=""/>
        <xdr:cNvPicPr/>
      </xdr:nvPicPr>
      <xdr:blipFill>
        <a:blip r:embed="rId8"/>
        <a:stretch/>
      </xdr:blipFill>
      <xdr:spPr>
        <a:xfrm>
          <a:off x="847080" y="4826880"/>
          <a:ext cx="23976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128520</xdr:colOff>
      <xdr:row>13</xdr:row>
      <xdr:rowOff>4680</xdr:rowOff>
    </xdr:from>
    <xdr:to>
      <xdr:col>1</xdr:col>
      <xdr:colOff>475560</xdr:colOff>
      <xdr:row>14</xdr:row>
      <xdr:rowOff>27720</xdr:rowOff>
    </xdr:to>
    <xdr:pic>
      <xdr:nvPicPr>
        <xdr:cNvPr id="447" name="Imagem 20" descr=""/>
        <xdr:cNvPicPr/>
      </xdr:nvPicPr>
      <xdr:blipFill>
        <a:blip r:embed="rId9"/>
        <a:stretch/>
      </xdr:blipFill>
      <xdr:spPr>
        <a:xfrm>
          <a:off x="873360" y="3814560"/>
          <a:ext cx="347040" cy="34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6</xdr:row>
      <xdr:rowOff>47520</xdr:rowOff>
    </xdr:from>
    <xdr:to>
      <xdr:col>11</xdr:col>
      <xdr:colOff>294840</xdr:colOff>
      <xdr:row>6</xdr:row>
      <xdr:rowOff>246960</xdr:rowOff>
    </xdr:to>
    <xdr:pic>
      <xdr:nvPicPr>
        <xdr:cNvPr id="448" name="Imagem 21" descr=""/>
        <xdr:cNvPicPr/>
      </xdr:nvPicPr>
      <xdr:blipFill>
        <a:blip r:embed="rId10"/>
        <a:stretch/>
      </xdr:blipFill>
      <xdr:spPr>
        <a:xfrm>
          <a:off x="6694920" y="1581120"/>
          <a:ext cx="19944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2</xdr:row>
      <xdr:rowOff>237960</xdr:rowOff>
    </xdr:from>
    <xdr:to>
      <xdr:col>11</xdr:col>
      <xdr:colOff>330120</xdr:colOff>
      <xdr:row>4</xdr:row>
      <xdr:rowOff>18000</xdr:rowOff>
    </xdr:to>
    <xdr:pic>
      <xdr:nvPicPr>
        <xdr:cNvPr id="449" name="Imagem 22" descr=""/>
        <xdr:cNvPicPr/>
      </xdr:nvPicPr>
      <xdr:blipFill>
        <a:blip r:embed="rId11"/>
        <a:stretch/>
      </xdr:blipFill>
      <xdr:spPr>
        <a:xfrm>
          <a:off x="6654240" y="742680"/>
          <a:ext cx="27540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147600</xdr:colOff>
      <xdr:row>2</xdr:row>
      <xdr:rowOff>19080</xdr:rowOff>
    </xdr:from>
    <xdr:to>
      <xdr:col>11</xdr:col>
      <xdr:colOff>342360</xdr:colOff>
      <xdr:row>2</xdr:row>
      <xdr:rowOff>213840</xdr:rowOff>
    </xdr:to>
    <xdr:pic>
      <xdr:nvPicPr>
        <xdr:cNvPr id="450" name="Imagem 23" descr=""/>
        <xdr:cNvPicPr/>
      </xdr:nvPicPr>
      <xdr:blipFill>
        <a:blip r:embed="rId12"/>
        <a:stretch/>
      </xdr:blipFill>
      <xdr:spPr>
        <a:xfrm>
          <a:off x="6747120" y="523800"/>
          <a:ext cx="194760" cy="19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4</xdr:row>
      <xdr:rowOff>200160</xdr:rowOff>
    </xdr:from>
    <xdr:to>
      <xdr:col>11</xdr:col>
      <xdr:colOff>437400</xdr:colOff>
      <xdr:row>6</xdr:row>
      <xdr:rowOff>66240</xdr:rowOff>
    </xdr:to>
    <xdr:pic>
      <xdr:nvPicPr>
        <xdr:cNvPr id="451" name="Imagem 24" descr=""/>
        <xdr:cNvPicPr/>
      </xdr:nvPicPr>
      <xdr:blipFill>
        <a:blip r:embed="rId13"/>
        <a:stretch/>
      </xdr:blipFill>
      <xdr:spPr>
        <a:xfrm>
          <a:off x="6637680" y="1200240"/>
          <a:ext cx="3992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6</xdr:row>
      <xdr:rowOff>340560</xdr:rowOff>
    </xdr:from>
    <xdr:to>
      <xdr:col>11</xdr:col>
      <xdr:colOff>313560</xdr:colOff>
      <xdr:row>7</xdr:row>
      <xdr:rowOff>237600</xdr:rowOff>
    </xdr:to>
    <xdr:pic>
      <xdr:nvPicPr>
        <xdr:cNvPr id="452" name="Imagem 25" descr=""/>
        <xdr:cNvPicPr/>
      </xdr:nvPicPr>
      <xdr:blipFill>
        <a:blip r:embed="rId14"/>
        <a:stretch/>
      </xdr:blipFill>
      <xdr:spPr>
        <a:xfrm>
          <a:off x="6673320" y="1874160"/>
          <a:ext cx="23976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128520</xdr:colOff>
      <xdr:row>4</xdr:row>
      <xdr:rowOff>33480</xdr:rowOff>
    </xdr:from>
    <xdr:to>
      <xdr:col>11</xdr:col>
      <xdr:colOff>380160</xdr:colOff>
      <xdr:row>5</xdr:row>
      <xdr:rowOff>37440</xdr:rowOff>
    </xdr:to>
    <xdr:pic>
      <xdr:nvPicPr>
        <xdr:cNvPr id="453" name="Imagem 26" descr=""/>
        <xdr:cNvPicPr/>
      </xdr:nvPicPr>
      <xdr:blipFill>
        <a:blip r:embed="rId15"/>
        <a:stretch/>
      </xdr:blipFill>
      <xdr:spPr>
        <a:xfrm>
          <a:off x="6728040" y="1033560"/>
          <a:ext cx="251640" cy="25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25" name="Imagem 1" descr=""/>
        <xdr:cNvPicPr/>
      </xdr:nvPicPr>
      <xdr:blipFill>
        <a:blip r:embed="rId1"/>
        <a:stretch/>
      </xdr:blipFill>
      <xdr:spPr>
        <a:xfrm>
          <a:off x="476280" y="27813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26" name="Imagem 2" descr=""/>
        <xdr:cNvPicPr/>
      </xdr:nvPicPr>
      <xdr:blipFill>
        <a:blip r:embed="rId2"/>
        <a:stretch/>
      </xdr:blipFill>
      <xdr:spPr>
        <a:xfrm>
          <a:off x="476280" y="30956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12</xdr:row>
      <xdr:rowOff>33120</xdr:rowOff>
    </xdr:from>
    <xdr:to>
      <xdr:col>1</xdr:col>
      <xdr:colOff>513360</xdr:colOff>
      <xdr:row>12</xdr:row>
      <xdr:rowOff>263520</xdr:rowOff>
    </xdr:to>
    <xdr:pic>
      <xdr:nvPicPr>
        <xdr:cNvPr id="27" name="Imagem 3" descr=""/>
        <xdr:cNvPicPr/>
      </xdr:nvPicPr>
      <xdr:blipFill>
        <a:blip r:embed="rId3"/>
        <a:stretch/>
      </xdr:blipFill>
      <xdr:spPr>
        <a:xfrm>
          <a:off x="782280" y="351936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52200</xdr:rowOff>
    </xdr:from>
    <xdr:to>
      <xdr:col>1</xdr:col>
      <xdr:colOff>513360</xdr:colOff>
      <xdr:row>13</xdr:row>
      <xdr:rowOff>282600</xdr:rowOff>
    </xdr:to>
    <xdr:pic>
      <xdr:nvPicPr>
        <xdr:cNvPr id="28" name="Imagem 4" descr=""/>
        <xdr:cNvPicPr/>
      </xdr:nvPicPr>
      <xdr:blipFill>
        <a:blip r:embed="rId4"/>
        <a:stretch/>
      </xdr:blipFill>
      <xdr:spPr>
        <a:xfrm>
          <a:off x="782280" y="38620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14</xdr:row>
      <xdr:rowOff>38160</xdr:rowOff>
    </xdr:from>
    <xdr:to>
      <xdr:col>1</xdr:col>
      <xdr:colOff>538200</xdr:colOff>
      <xdr:row>14</xdr:row>
      <xdr:rowOff>313920</xdr:rowOff>
    </xdr:to>
    <xdr:pic>
      <xdr:nvPicPr>
        <xdr:cNvPr id="29" name="Imagem 5" descr=""/>
        <xdr:cNvPicPr/>
      </xdr:nvPicPr>
      <xdr:blipFill>
        <a:blip r:embed="rId5"/>
        <a:stretch/>
      </xdr:blipFill>
      <xdr:spPr>
        <a:xfrm>
          <a:off x="820440" y="41720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19080</xdr:rowOff>
    </xdr:from>
    <xdr:to>
      <xdr:col>1</xdr:col>
      <xdr:colOff>312480</xdr:colOff>
      <xdr:row>15</xdr:row>
      <xdr:rowOff>256680</xdr:rowOff>
    </xdr:to>
    <xdr:pic>
      <xdr:nvPicPr>
        <xdr:cNvPr id="30" name="Imagem 6" descr=""/>
        <xdr:cNvPicPr/>
      </xdr:nvPicPr>
      <xdr:blipFill>
        <a:blip r:embed="rId6"/>
        <a:stretch/>
      </xdr:blipFill>
      <xdr:spPr>
        <a:xfrm>
          <a:off x="801360" y="447696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3</xdr:row>
      <xdr:rowOff>94680</xdr:rowOff>
    </xdr:to>
    <xdr:pic>
      <xdr:nvPicPr>
        <xdr:cNvPr id="31" name="Imagem 7" descr=""/>
        <xdr:cNvPicPr/>
      </xdr:nvPicPr>
      <xdr:blipFill>
        <a:blip r:embed="rId7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32" name="Imagem 8" descr=""/>
        <xdr:cNvPicPr/>
      </xdr:nvPicPr>
      <xdr:blipFill>
        <a:blip r:embed="rId8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33" name="Imagem 9" descr=""/>
        <xdr:cNvPicPr/>
      </xdr:nvPicPr>
      <xdr:blipFill>
        <a:blip r:embed="rId9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34" name="Imagem 10" descr=""/>
        <xdr:cNvPicPr/>
      </xdr:nvPicPr>
      <xdr:blipFill>
        <a:blip r:embed="rId10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523800</xdr:colOff>
      <xdr:row>4</xdr:row>
      <xdr:rowOff>66600</xdr:rowOff>
    </xdr:from>
    <xdr:to>
      <xdr:col>9</xdr:col>
      <xdr:colOff>38160</xdr:colOff>
      <xdr:row>8</xdr:row>
      <xdr:rowOff>295920</xdr:rowOff>
    </xdr:to>
    <xdr:pic>
      <xdr:nvPicPr>
        <xdr:cNvPr id="35" name="Imagem 13" descr="">
          <a:hlinkClick r:id="rId11"/>
        </xdr:cNvPr>
        <xdr:cNvPicPr/>
      </xdr:nvPicPr>
      <xdr:blipFill>
        <a:blip r:embed="rId12"/>
        <a:stretch/>
      </xdr:blipFill>
      <xdr:spPr>
        <a:xfrm>
          <a:off x="4879800" y="1066680"/>
          <a:ext cx="737640" cy="141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9360</xdr:colOff>
      <xdr:row>5</xdr:row>
      <xdr:rowOff>85680</xdr:rowOff>
    </xdr:from>
    <xdr:to>
      <xdr:col>9</xdr:col>
      <xdr:colOff>285840</xdr:colOff>
      <xdr:row>8</xdr:row>
      <xdr:rowOff>237240</xdr:rowOff>
    </xdr:to>
    <xdr:pic>
      <xdr:nvPicPr>
        <xdr:cNvPr id="454" name="Imagem 25" descr="">
          <a:hlinkClick r:id="rId1"/>
        </xdr:cNvPr>
        <xdr:cNvPicPr/>
      </xdr:nvPicPr>
      <xdr:blipFill>
        <a:blip r:embed="rId2"/>
        <a:stretch/>
      </xdr:blipFill>
      <xdr:spPr>
        <a:xfrm>
          <a:off x="4091760" y="1333440"/>
          <a:ext cx="1404360" cy="108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10</xdr:row>
      <xdr:rowOff>47520</xdr:rowOff>
    </xdr:from>
    <xdr:to>
      <xdr:col>1</xdr:col>
      <xdr:colOff>290880</xdr:colOff>
      <xdr:row>10</xdr:row>
      <xdr:rowOff>294480</xdr:rowOff>
    </xdr:to>
    <xdr:pic>
      <xdr:nvPicPr>
        <xdr:cNvPr id="455" name="Imagem 26" descr=""/>
        <xdr:cNvPicPr/>
      </xdr:nvPicPr>
      <xdr:blipFill>
        <a:blip r:embed="rId3"/>
        <a:stretch/>
      </xdr:blipFill>
      <xdr:spPr>
        <a:xfrm>
          <a:off x="821160" y="2886120"/>
          <a:ext cx="214560" cy="24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12</xdr:row>
      <xdr:rowOff>57240</xdr:rowOff>
    </xdr:from>
    <xdr:to>
      <xdr:col>1</xdr:col>
      <xdr:colOff>354960</xdr:colOff>
      <xdr:row>12</xdr:row>
      <xdr:rowOff>256320</xdr:rowOff>
    </xdr:to>
    <xdr:pic>
      <xdr:nvPicPr>
        <xdr:cNvPr id="456" name="Imagem 27" descr=""/>
        <xdr:cNvPicPr/>
      </xdr:nvPicPr>
      <xdr:blipFill>
        <a:blip r:embed="rId4"/>
        <a:stretch/>
      </xdr:blipFill>
      <xdr:spPr>
        <a:xfrm>
          <a:off x="799560" y="3543480"/>
          <a:ext cx="30024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11</xdr:row>
      <xdr:rowOff>38160</xdr:rowOff>
    </xdr:from>
    <xdr:to>
      <xdr:col>1</xdr:col>
      <xdr:colOff>290880</xdr:colOff>
      <xdr:row>11</xdr:row>
      <xdr:rowOff>285120</xdr:rowOff>
    </xdr:to>
    <xdr:pic>
      <xdr:nvPicPr>
        <xdr:cNvPr id="457" name="Imagem 28" descr=""/>
        <xdr:cNvPicPr/>
      </xdr:nvPicPr>
      <xdr:blipFill>
        <a:blip r:embed="rId5"/>
        <a:stretch/>
      </xdr:blipFill>
      <xdr:spPr>
        <a:xfrm>
          <a:off x="821160" y="3200400"/>
          <a:ext cx="214560" cy="24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13</xdr:row>
      <xdr:rowOff>47520</xdr:rowOff>
    </xdr:from>
    <xdr:to>
      <xdr:col>1</xdr:col>
      <xdr:colOff>354960</xdr:colOff>
      <xdr:row>13</xdr:row>
      <xdr:rowOff>246600</xdr:rowOff>
    </xdr:to>
    <xdr:pic>
      <xdr:nvPicPr>
        <xdr:cNvPr id="458" name="Imagem 29" descr=""/>
        <xdr:cNvPicPr/>
      </xdr:nvPicPr>
      <xdr:blipFill>
        <a:blip r:embed="rId6"/>
        <a:stretch/>
      </xdr:blipFill>
      <xdr:spPr>
        <a:xfrm>
          <a:off x="799560" y="3857400"/>
          <a:ext cx="30024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14</xdr:row>
      <xdr:rowOff>14760</xdr:rowOff>
    </xdr:from>
    <xdr:to>
      <xdr:col>1</xdr:col>
      <xdr:colOff>256680</xdr:colOff>
      <xdr:row>14</xdr:row>
      <xdr:rowOff>218160</xdr:rowOff>
    </xdr:to>
    <xdr:pic>
      <xdr:nvPicPr>
        <xdr:cNvPr id="459" name="Imagem 30" descr=""/>
        <xdr:cNvPicPr/>
      </xdr:nvPicPr>
      <xdr:blipFill>
        <a:blip r:embed="rId7"/>
        <a:stretch/>
      </xdr:blipFill>
      <xdr:spPr>
        <a:xfrm>
          <a:off x="821160" y="4148640"/>
          <a:ext cx="180360" cy="20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14</xdr:row>
      <xdr:rowOff>319680</xdr:rowOff>
    </xdr:from>
    <xdr:to>
      <xdr:col>1</xdr:col>
      <xdr:colOff>380160</xdr:colOff>
      <xdr:row>16</xdr:row>
      <xdr:rowOff>11160</xdr:rowOff>
    </xdr:to>
    <xdr:pic>
      <xdr:nvPicPr>
        <xdr:cNvPr id="460" name="Imagem 31" descr=""/>
        <xdr:cNvPicPr/>
      </xdr:nvPicPr>
      <xdr:blipFill>
        <a:blip r:embed="rId8"/>
        <a:stretch/>
      </xdr:blipFill>
      <xdr:spPr>
        <a:xfrm>
          <a:off x="773280" y="4453560"/>
          <a:ext cx="351720" cy="33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15</xdr:row>
      <xdr:rowOff>314280</xdr:rowOff>
    </xdr:from>
    <xdr:to>
      <xdr:col>1</xdr:col>
      <xdr:colOff>389880</xdr:colOff>
      <xdr:row>17</xdr:row>
      <xdr:rowOff>5760</xdr:rowOff>
    </xdr:to>
    <xdr:pic>
      <xdr:nvPicPr>
        <xdr:cNvPr id="461" name="Imagem 32" descr=""/>
        <xdr:cNvPicPr/>
      </xdr:nvPicPr>
      <xdr:blipFill>
        <a:blip r:embed="rId9"/>
        <a:stretch/>
      </xdr:blipFill>
      <xdr:spPr>
        <a:xfrm>
          <a:off x="783000" y="4772160"/>
          <a:ext cx="351720" cy="33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114120</xdr:colOff>
      <xdr:row>2</xdr:row>
      <xdr:rowOff>38160</xdr:rowOff>
    </xdr:from>
    <xdr:to>
      <xdr:col>11</xdr:col>
      <xdr:colOff>279000</xdr:colOff>
      <xdr:row>2</xdr:row>
      <xdr:rowOff>227880</xdr:rowOff>
    </xdr:to>
    <xdr:pic>
      <xdr:nvPicPr>
        <xdr:cNvPr id="462" name="Imagem 33" descr=""/>
        <xdr:cNvPicPr/>
      </xdr:nvPicPr>
      <xdr:blipFill>
        <a:blip r:embed="rId10"/>
        <a:stretch/>
      </xdr:blipFill>
      <xdr:spPr>
        <a:xfrm>
          <a:off x="6713640" y="542880"/>
          <a:ext cx="1648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3</xdr:row>
      <xdr:rowOff>57240</xdr:rowOff>
    </xdr:from>
    <xdr:to>
      <xdr:col>11</xdr:col>
      <xdr:colOff>288360</xdr:colOff>
      <xdr:row>3</xdr:row>
      <xdr:rowOff>199440</xdr:rowOff>
    </xdr:to>
    <xdr:pic>
      <xdr:nvPicPr>
        <xdr:cNvPr id="463" name="Imagem 34" descr=""/>
        <xdr:cNvPicPr/>
      </xdr:nvPicPr>
      <xdr:blipFill>
        <a:blip r:embed="rId11"/>
        <a:stretch/>
      </xdr:blipFill>
      <xdr:spPr>
        <a:xfrm>
          <a:off x="6673320" y="809640"/>
          <a:ext cx="21456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4</xdr:row>
      <xdr:rowOff>68400</xdr:rowOff>
    </xdr:from>
    <xdr:to>
      <xdr:col>11</xdr:col>
      <xdr:colOff>237240</xdr:colOff>
      <xdr:row>4</xdr:row>
      <xdr:rowOff>218160</xdr:rowOff>
    </xdr:to>
    <xdr:pic>
      <xdr:nvPicPr>
        <xdr:cNvPr id="464" name="Imagem 35" descr=""/>
        <xdr:cNvPicPr/>
      </xdr:nvPicPr>
      <xdr:blipFill>
        <a:blip r:embed="rId12"/>
        <a:stretch/>
      </xdr:blipFill>
      <xdr:spPr>
        <a:xfrm>
          <a:off x="6704280" y="1068480"/>
          <a:ext cx="132480" cy="14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5</xdr:row>
      <xdr:rowOff>31320</xdr:rowOff>
    </xdr:from>
    <xdr:to>
      <xdr:col>11</xdr:col>
      <xdr:colOff>322920</xdr:colOff>
      <xdr:row>6</xdr:row>
      <xdr:rowOff>11160</xdr:rowOff>
    </xdr:to>
    <xdr:pic>
      <xdr:nvPicPr>
        <xdr:cNvPr id="465" name="Imagem 36" descr=""/>
        <xdr:cNvPicPr/>
      </xdr:nvPicPr>
      <xdr:blipFill>
        <a:blip r:embed="rId13"/>
        <a:stretch/>
      </xdr:blipFill>
      <xdr:spPr>
        <a:xfrm>
          <a:off x="6647040" y="1279080"/>
          <a:ext cx="275400" cy="265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66600</xdr:colOff>
      <xdr:row>11</xdr:row>
      <xdr:rowOff>57240</xdr:rowOff>
    </xdr:from>
    <xdr:to>
      <xdr:col>11</xdr:col>
      <xdr:colOff>275400</xdr:colOff>
      <xdr:row>11</xdr:row>
      <xdr:rowOff>266040</xdr:rowOff>
    </xdr:to>
    <xdr:pic>
      <xdr:nvPicPr>
        <xdr:cNvPr id="466" name="Imagem 2" descr=""/>
        <xdr:cNvPicPr/>
      </xdr:nvPicPr>
      <xdr:blipFill>
        <a:blip r:embed="rId1"/>
        <a:stretch/>
      </xdr:blipFill>
      <xdr:spPr>
        <a:xfrm>
          <a:off x="6666120" y="321948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9</xdr:row>
      <xdr:rowOff>285840</xdr:rowOff>
    </xdr:from>
    <xdr:to>
      <xdr:col>11</xdr:col>
      <xdr:colOff>418320</xdr:colOff>
      <xdr:row>11</xdr:row>
      <xdr:rowOff>9000</xdr:rowOff>
    </xdr:to>
    <xdr:pic>
      <xdr:nvPicPr>
        <xdr:cNvPr id="467" name="Imagem 4" descr=""/>
        <xdr:cNvPicPr/>
      </xdr:nvPicPr>
      <xdr:blipFill>
        <a:blip r:embed="rId2"/>
        <a:stretch/>
      </xdr:blipFill>
      <xdr:spPr>
        <a:xfrm>
          <a:off x="6647040" y="280044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13</xdr:row>
      <xdr:rowOff>295200</xdr:rowOff>
    </xdr:from>
    <xdr:to>
      <xdr:col>1</xdr:col>
      <xdr:colOff>466200</xdr:colOff>
      <xdr:row>15</xdr:row>
      <xdr:rowOff>56520</xdr:rowOff>
    </xdr:to>
    <xdr:pic>
      <xdr:nvPicPr>
        <xdr:cNvPr id="468" name="Imagem 5" descr=""/>
        <xdr:cNvPicPr/>
      </xdr:nvPicPr>
      <xdr:blipFill>
        <a:blip r:embed="rId3"/>
        <a:stretch/>
      </xdr:blipFill>
      <xdr:spPr>
        <a:xfrm>
          <a:off x="802080" y="4105080"/>
          <a:ext cx="408960" cy="4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19</xdr:row>
      <xdr:rowOff>38160</xdr:rowOff>
    </xdr:from>
    <xdr:to>
      <xdr:col>1</xdr:col>
      <xdr:colOff>294480</xdr:colOff>
      <xdr:row>19</xdr:row>
      <xdr:rowOff>246960</xdr:rowOff>
    </xdr:to>
    <xdr:pic>
      <xdr:nvPicPr>
        <xdr:cNvPr id="469" name="Imagem 16" descr=""/>
        <xdr:cNvPicPr/>
      </xdr:nvPicPr>
      <xdr:blipFill>
        <a:blip r:embed="rId4"/>
        <a:stretch/>
      </xdr:blipFill>
      <xdr:spPr>
        <a:xfrm>
          <a:off x="830520" y="575316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15</xdr:row>
      <xdr:rowOff>0</xdr:rowOff>
    </xdr:from>
    <xdr:to>
      <xdr:col>1</xdr:col>
      <xdr:colOff>389880</xdr:colOff>
      <xdr:row>15</xdr:row>
      <xdr:rowOff>304200</xdr:rowOff>
    </xdr:to>
    <xdr:pic>
      <xdr:nvPicPr>
        <xdr:cNvPr id="470" name="Imagem 17" descr=""/>
        <xdr:cNvPicPr/>
      </xdr:nvPicPr>
      <xdr:blipFill>
        <a:blip r:embed="rId5"/>
        <a:stretch/>
      </xdr:blipFill>
      <xdr:spPr>
        <a:xfrm>
          <a:off x="830520" y="4457880"/>
          <a:ext cx="30420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8</xdr:row>
      <xdr:rowOff>314280</xdr:rowOff>
    </xdr:from>
    <xdr:to>
      <xdr:col>11</xdr:col>
      <xdr:colOff>389880</xdr:colOff>
      <xdr:row>9</xdr:row>
      <xdr:rowOff>322920</xdr:rowOff>
    </xdr:to>
    <xdr:pic>
      <xdr:nvPicPr>
        <xdr:cNvPr id="471" name="Imagem 18" descr=""/>
        <xdr:cNvPicPr/>
      </xdr:nvPicPr>
      <xdr:blipFill>
        <a:blip r:embed="rId6"/>
        <a:stretch/>
      </xdr:blipFill>
      <xdr:spPr>
        <a:xfrm>
          <a:off x="6647040" y="2495520"/>
          <a:ext cx="342360" cy="34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12</xdr:row>
      <xdr:rowOff>81000</xdr:rowOff>
    </xdr:from>
    <xdr:to>
      <xdr:col>11</xdr:col>
      <xdr:colOff>294480</xdr:colOff>
      <xdr:row>12</xdr:row>
      <xdr:rowOff>292320</xdr:rowOff>
    </xdr:to>
    <xdr:pic>
      <xdr:nvPicPr>
        <xdr:cNvPr id="472" name="Imagem 21" descr=""/>
        <xdr:cNvPicPr/>
      </xdr:nvPicPr>
      <xdr:blipFill>
        <a:blip r:embed="rId7"/>
        <a:stretch/>
      </xdr:blipFill>
      <xdr:spPr>
        <a:xfrm>
          <a:off x="6682680" y="3567240"/>
          <a:ext cx="211320" cy="21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324000</xdr:colOff>
      <xdr:row>4</xdr:row>
      <xdr:rowOff>195480</xdr:rowOff>
    </xdr:from>
    <xdr:to>
      <xdr:col>9</xdr:col>
      <xdr:colOff>447120</xdr:colOff>
      <xdr:row>9</xdr:row>
      <xdr:rowOff>9000</xdr:rowOff>
    </xdr:to>
    <xdr:pic>
      <xdr:nvPicPr>
        <xdr:cNvPr id="473" name="Imagem 27" descr="">
          <a:hlinkClick r:id="rId8"/>
        </xdr:cNvPr>
        <xdr:cNvPicPr/>
      </xdr:nvPicPr>
      <xdr:blipFill>
        <a:blip r:embed="rId9"/>
        <a:stretch/>
      </xdr:blipFill>
      <xdr:spPr>
        <a:xfrm>
          <a:off x="4003920" y="1195560"/>
          <a:ext cx="1653480" cy="13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8</xdr:row>
      <xdr:rowOff>0</xdr:rowOff>
    </xdr:from>
    <xdr:to>
      <xdr:col>11</xdr:col>
      <xdr:colOff>332640</xdr:colOff>
      <xdr:row>8</xdr:row>
      <xdr:rowOff>313560</xdr:rowOff>
    </xdr:to>
    <xdr:pic>
      <xdr:nvPicPr>
        <xdr:cNvPr id="474" name="Imagem 28" descr=""/>
        <xdr:cNvPicPr/>
      </xdr:nvPicPr>
      <xdr:blipFill>
        <a:blip r:embed="rId10"/>
        <a:stretch/>
      </xdr:blipFill>
      <xdr:spPr>
        <a:xfrm>
          <a:off x="6618600" y="2181240"/>
          <a:ext cx="31356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38160</xdr:rowOff>
    </xdr:from>
    <xdr:to>
      <xdr:col>1</xdr:col>
      <xdr:colOff>399600</xdr:colOff>
      <xdr:row>14</xdr:row>
      <xdr:rowOff>37440</xdr:rowOff>
    </xdr:to>
    <xdr:pic>
      <xdr:nvPicPr>
        <xdr:cNvPr id="475" name="Imagem 29" descr=""/>
        <xdr:cNvPicPr/>
      </xdr:nvPicPr>
      <xdr:blipFill>
        <a:blip r:embed="rId11"/>
        <a:stretch/>
      </xdr:blipFill>
      <xdr:spPr>
        <a:xfrm>
          <a:off x="821160" y="3848040"/>
          <a:ext cx="32328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9</xdr:row>
      <xdr:rowOff>247680</xdr:rowOff>
    </xdr:from>
    <xdr:to>
      <xdr:col>1</xdr:col>
      <xdr:colOff>580320</xdr:colOff>
      <xdr:row>11</xdr:row>
      <xdr:rowOff>104040</xdr:rowOff>
    </xdr:to>
    <xdr:pic>
      <xdr:nvPicPr>
        <xdr:cNvPr id="476" name="Imagem 30" descr=""/>
        <xdr:cNvPicPr/>
      </xdr:nvPicPr>
      <xdr:blipFill>
        <a:blip r:embed="rId12"/>
        <a:stretch/>
      </xdr:blipFill>
      <xdr:spPr>
        <a:xfrm>
          <a:off x="821160" y="2762280"/>
          <a:ext cx="50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10</xdr:row>
      <xdr:rowOff>276120</xdr:rowOff>
    </xdr:from>
    <xdr:to>
      <xdr:col>1</xdr:col>
      <xdr:colOff>542520</xdr:colOff>
      <xdr:row>12</xdr:row>
      <xdr:rowOff>75240</xdr:rowOff>
    </xdr:to>
    <xdr:pic>
      <xdr:nvPicPr>
        <xdr:cNvPr id="477" name="Imagem 31" descr=""/>
        <xdr:cNvPicPr/>
      </xdr:nvPicPr>
      <xdr:blipFill>
        <a:blip r:embed="rId13"/>
        <a:stretch/>
      </xdr:blipFill>
      <xdr:spPr>
        <a:xfrm>
          <a:off x="840240" y="3114720"/>
          <a:ext cx="4471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93960</xdr:rowOff>
    </xdr:from>
    <xdr:to>
      <xdr:col>1</xdr:col>
      <xdr:colOff>523080</xdr:colOff>
      <xdr:row>12</xdr:row>
      <xdr:rowOff>188640</xdr:rowOff>
    </xdr:to>
    <xdr:pic>
      <xdr:nvPicPr>
        <xdr:cNvPr id="478" name="Imagem 32" descr=""/>
        <xdr:cNvPicPr/>
      </xdr:nvPicPr>
      <xdr:blipFill>
        <a:blip r:embed="rId14"/>
        <a:stretch/>
      </xdr:blipFill>
      <xdr:spPr>
        <a:xfrm>
          <a:off x="802080" y="3580200"/>
          <a:ext cx="4658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5</xdr:row>
      <xdr:rowOff>276120</xdr:rowOff>
    </xdr:from>
    <xdr:to>
      <xdr:col>11</xdr:col>
      <xdr:colOff>437400</xdr:colOff>
      <xdr:row>7</xdr:row>
      <xdr:rowOff>56160</xdr:rowOff>
    </xdr:to>
    <xdr:pic>
      <xdr:nvPicPr>
        <xdr:cNvPr id="479" name="Imagem 33" descr=""/>
        <xdr:cNvPicPr/>
      </xdr:nvPicPr>
      <xdr:blipFill>
        <a:blip r:embed="rId15"/>
        <a:stretch/>
      </xdr:blipFill>
      <xdr:spPr>
        <a:xfrm>
          <a:off x="6627960" y="1523880"/>
          <a:ext cx="408960" cy="40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7</xdr:row>
      <xdr:rowOff>9360</xdr:rowOff>
    </xdr:from>
    <xdr:to>
      <xdr:col>11</xdr:col>
      <xdr:colOff>361440</xdr:colOff>
      <xdr:row>8</xdr:row>
      <xdr:rowOff>8640</xdr:rowOff>
    </xdr:to>
    <xdr:pic>
      <xdr:nvPicPr>
        <xdr:cNvPr id="480" name="Imagem 34" descr=""/>
        <xdr:cNvPicPr/>
      </xdr:nvPicPr>
      <xdr:blipFill>
        <a:blip r:embed="rId16"/>
        <a:stretch/>
      </xdr:blipFill>
      <xdr:spPr>
        <a:xfrm>
          <a:off x="6656760" y="1885680"/>
          <a:ext cx="30420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4</xdr:row>
      <xdr:rowOff>228600</xdr:rowOff>
    </xdr:from>
    <xdr:to>
      <xdr:col>11</xdr:col>
      <xdr:colOff>370800</xdr:colOff>
      <xdr:row>6</xdr:row>
      <xdr:rowOff>18360</xdr:rowOff>
    </xdr:to>
    <xdr:pic>
      <xdr:nvPicPr>
        <xdr:cNvPr id="481" name="Imagem 35" descr=""/>
        <xdr:cNvPicPr/>
      </xdr:nvPicPr>
      <xdr:blipFill>
        <a:blip r:embed="rId17"/>
        <a:stretch/>
      </xdr:blipFill>
      <xdr:spPr>
        <a:xfrm>
          <a:off x="6647040" y="1228680"/>
          <a:ext cx="32328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1</xdr:row>
      <xdr:rowOff>190440</xdr:rowOff>
    </xdr:from>
    <xdr:to>
      <xdr:col>11</xdr:col>
      <xdr:colOff>428040</xdr:colOff>
      <xdr:row>3</xdr:row>
      <xdr:rowOff>104040</xdr:rowOff>
    </xdr:to>
    <xdr:pic>
      <xdr:nvPicPr>
        <xdr:cNvPr id="482" name="Imagem 36" descr=""/>
        <xdr:cNvPicPr/>
      </xdr:nvPicPr>
      <xdr:blipFill>
        <a:blip r:embed="rId18"/>
        <a:stretch/>
      </xdr:blipFill>
      <xdr:spPr>
        <a:xfrm>
          <a:off x="6618600" y="44748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2</xdr:row>
      <xdr:rowOff>171360</xdr:rowOff>
    </xdr:from>
    <xdr:to>
      <xdr:col>11</xdr:col>
      <xdr:colOff>504360</xdr:colOff>
      <xdr:row>4</xdr:row>
      <xdr:rowOff>123120</xdr:rowOff>
    </xdr:to>
    <xdr:pic>
      <xdr:nvPicPr>
        <xdr:cNvPr id="483" name="Imagem 37" descr=""/>
        <xdr:cNvPicPr/>
      </xdr:nvPicPr>
      <xdr:blipFill>
        <a:blip r:embed="rId19"/>
        <a:stretch/>
      </xdr:blipFill>
      <xdr:spPr>
        <a:xfrm>
          <a:off x="6656760" y="676080"/>
          <a:ext cx="44712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4</xdr:row>
      <xdr:rowOff>93960</xdr:rowOff>
    </xdr:from>
    <xdr:to>
      <xdr:col>11</xdr:col>
      <xdr:colOff>513360</xdr:colOff>
      <xdr:row>4</xdr:row>
      <xdr:rowOff>188640</xdr:rowOff>
    </xdr:to>
    <xdr:pic>
      <xdr:nvPicPr>
        <xdr:cNvPr id="484" name="Imagem 38" descr=""/>
        <xdr:cNvPicPr/>
      </xdr:nvPicPr>
      <xdr:blipFill>
        <a:blip r:embed="rId20"/>
        <a:stretch/>
      </xdr:blipFill>
      <xdr:spPr>
        <a:xfrm>
          <a:off x="6647040" y="1094040"/>
          <a:ext cx="4658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17</xdr:row>
      <xdr:rowOff>247680</xdr:rowOff>
    </xdr:from>
    <xdr:to>
      <xdr:col>1</xdr:col>
      <xdr:colOff>456480</xdr:colOff>
      <xdr:row>19</xdr:row>
      <xdr:rowOff>9000</xdr:rowOff>
    </xdr:to>
    <xdr:pic>
      <xdr:nvPicPr>
        <xdr:cNvPr id="485" name="Imagem 39" descr=""/>
        <xdr:cNvPicPr/>
      </xdr:nvPicPr>
      <xdr:blipFill>
        <a:blip r:embed="rId21"/>
        <a:stretch/>
      </xdr:blipFill>
      <xdr:spPr>
        <a:xfrm>
          <a:off x="830520" y="535320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16</xdr:row>
      <xdr:rowOff>266760</xdr:rowOff>
    </xdr:from>
    <xdr:to>
      <xdr:col>1</xdr:col>
      <xdr:colOff>428040</xdr:colOff>
      <xdr:row>17</xdr:row>
      <xdr:rowOff>285120</xdr:rowOff>
    </xdr:to>
    <xdr:pic>
      <xdr:nvPicPr>
        <xdr:cNvPr id="486" name="Imagem 40" descr=""/>
        <xdr:cNvPicPr/>
      </xdr:nvPicPr>
      <xdr:blipFill>
        <a:blip r:embed="rId22"/>
        <a:stretch/>
      </xdr:blipFill>
      <xdr:spPr>
        <a:xfrm>
          <a:off x="830520" y="5048280"/>
          <a:ext cx="342360" cy="34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15</xdr:row>
      <xdr:rowOff>276120</xdr:rowOff>
    </xdr:from>
    <xdr:to>
      <xdr:col>1</xdr:col>
      <xdr:colOff>370800</xdr:colOff>
      <xdr:row>16</xdr:row>
      <xdr:rowOff>266040</xdr:rowOff>
    </xdr:to>
    <xdr:pic>
      <xdr:nvPicPr>
        <xdr:cNvPr id="487" name="Imagem 41" descr=""/>
        <xdr:cNvPicPr/>
      </xdr:nvPicPr>
      <xdr:blipFill>
        <a:blip r:embed="rId23"/>
        <a:stretch/>
      </xdr:blipFill>
      <xdr:spPr>
        <a:xfrm>
          <a:off x="802080" y="4734000"/>
          <a:ext cx="31356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20</xdr:row>
      <xdr:rowOff>66600</xdr:rowOff>
    </xdr:from>
    <xdr:to>
      <xdr:col>1</xdr:col>
      <xdr:colOff>294480</xdr:colOff>
      <xdr:row>21</xdr:row>
      <xdr:rowOff>8640</xdr:rowOff>
    </xdr:to>
    <xdr:pic>
      <xdr:nvPicPr>
        <xdr:cNvPr id="488" name="Imagem 42" descr=""/>
        <xdr:cNvPicPr/>
      </xdr:nvPicPr>
      <xdr:blipFill>
        <a:blip r:embed="rId24"/>
        <a:stretch/>
      </xdr:blipFill>
      <xdr:spPr>
        <a:xfrm>
          <a:off x="830520" y="606744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21</xdr:row>
      <xdr:rowOff>147600</xdr:rowOff>
    </xdr:from>
    <xdr:to>
      <xdr:col>1</xdr:col>
      <xdr:colOff>313560</xdr:colOff>
      <xdr:row>22</xdr:row>
      <xdr:rowOff>25560</xdr:rowOff>
    </xdr:to>
    <xdr:pic>
      <xdr:nvPicPr>
        <xdr:cNvPr id="489" name="Imagem 43" descr=""/>
        <xdr:cNvPicPr/>
      </xdr:nvPicPr>
      <xdr:blipFill>
        <a:blip r:embed="rId25"/>
        <a:stretch/>
      </xdr:blipFill>
      <xdr:spPr>
        <a:xfrm>
          <a:off x="847080" y="6415200"/>
          <a:ext cx="211320" cy="21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64440</xdr:colOff>
      <xdr:row>9</xdr:row>
      <xdr:rowOff>285840</xdr:rowOff>
    </xdr:from>
    <xdr:to>
      <xdr:col>1</xdr:col>
      <xdr:colOff>492480</xdr:colOff>
      <xdr:row>11</xdr:row>
      <xdr:rowOff>65880</xdr:rowOff>
    </xdr:to>
    <xdr:pic>
      <xdr:nvPicPr>
        <xdr:cNvPr id="490" name="Imagem 1" descr=""/>
        <xdr:cNvPicPr/>
      </xdr:nvPicPr>
      <xdr:blipFill>
        <a:blip r:embed="rId1"/>
        <a:stretch/>
      </xdr:blipFill>
      <xdr:spPr>
        <a:xfrm>
          <a:off x="809280" y="2800440"/>
          <a:ext cx="42804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18</xdr:row>
      <xdr:rowOff>47520</xdr:rowOff>
    </xdr:from>
    <xdr:to>
      <xdr:col>1</xdr:col>
      <xdr:colOff>294480</xdr:colOff>
      <xdr:row>18</xdr:row>
      <xdr:rowOff>256320</xdr:rowOff>
    </xdr:to>
    <xdr:pic>
      <xdr:nvPicPr>
        <xdr:cNvPr id="491" name="Imagem 2" descr=""/>
        <xdr:cNvPicPr/>
      </xdr:nvPicPr>
      <xdr:blipFill>
        <a:blip r:embed="rId2"/>
        <a:stretch/>
      </xdr:blipFill>
      <xdr:spPr>
        <a:xfrm>
          <a:off x="830520" y="547668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304920</xdr:rowOff>
    </xdr:from>
    <xdr:to>
      <xdr:col>1</xdr:col>
      <xdr:colOff>427680</xdr:colOff>
      <xdr:row>15</xdr:row>
      <xdr:rowOff>37440</xdr:rowOff>
    </xdr:to>
    <xdr:pic>
      <xdr:nvPicPr>
        <xdr:cNvPr id="492" name="Imagem 3" descr=""/>
        <xdr:cNvPicPr/>
      </xdr:nvPicPr>
      <xdr:blipFill>
        <a:blip r:embed="rId3"/>
        <a:stretch/>
      </xdr:blipFill>
      <xdr:spPr>
        <a:xfrm>
          <a:off x="792360" y="4114800"/>
          <a:ext cx="3801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15</xdr:row>
      <xdr:rowOff>285840</xdr:rowOff>
    </xdr:from>
    <xdr:to>
      <xdr:col>1</xdr:col>
      <xdr:colOff>475560</xdr:colOff>
      <xdr:row>17</xdr:row>
      <xdr:rowOff>9000</xdr:rowOff>
    </xdr:to>
    <xdr:pic>
      <xdr:nvPicPr>
        <xdr:cNvPr id="493" name="Imagem 5" descr=""/>
        <xdr:cNvPicPr/>
      </xdr:nvPicPr>
      <xdr:blipFill>
        <a:blip r:embed="rId4"/>
        <a:stretch/>
      </xdr:blipFill>
      <xdr:spPr>
        <a:xfrm>
          <a:off x="849600" y="474372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285840</xdr:rowOff>
    </xdr:from>
    <xdr:to>
      <xdr:col>1</xdr:col>
      <xdr:colOff>475560</xdr:colOff>
      <xdr:row>18</xdr:row>
      <xdr:rowOff>47160</xdr:rowOff>
    </xdr:to>
    <xdr:pic>
      <xdr:nvPicPr>
        <xdr:cNvPr id="494" name="Imagem 6" descr=""/>
        <xdr:cNvPicPr/>
      </xdr:nvPicPr>
      <xdr:blipFill>
        <a:blip r:embed="rId5"/>
        <a:stretch/>
      </xdr:blipFill>
      <xdr:spPr>
        <a:xfrm>
          <a:off x="811440" y="506736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1</xdr:row>
      <xdr:rowOff>181080</xdr:rowOff>
    </xdr:from>
    <xdr:to>
      <xdr:col>11</xdr:col>
      <xdr:colOff>473400</xdr:colOff>
      <xdr:row>3</xdr:row>
      <xdr:rowOff>113760</xdr:rowOff>
    </xdr:to>
    <xdr:pic>
      <xdr:nvPicPr>
        <xdr:cNvPr id="495" name="Imagem 7" descr=""/>
        <xdr:cNvPicPr/>
      </xdr:nvPicPr>
      <xdr:blipFill>
        <a:blip r:embed="rId6"/>
        <a:stretch/>
      </xdr:blipFill>
      <xdr:spPr>
        <a:xfrm>
          <a:off x="6644880" y="438120"/>
          <a:ext cx="4280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10</xdr:row>
      <xdr:rowOff>76320</xdr:rowOff>
    </xdr:from>
    <xdr:to>
      <xdr:col>11</xdr:col>
      <xdr:colOff>294480</xdr:colOff>
      <xdr:row>10</xdr:row>
      <xdr:rowOff>285120</xdr:rowOff>
    </xdr:to>
    <xdr:pic>
      <xdr:nvPicPr>
        <xdr:cNvPr id="496" name="Imagem 8" descr=""/>
        <xdr:cNvPicPr/>
      </xdr:nvPicPr>
      <xdr:blipFill>
        <a:blip r:embed="rId7"/>
        <a:stretch/>
      </xdr:blipFill>
      <xdr:spPr>
        <a:xfrm>
          <a:off x="6685200" y="291492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276120</xdr:rowOff>
    </xdr:from>
    <xdr:to>
      <xdr:col>11</xdr:col>
      <xdr:colOff>418320</xdr:colOff>
      <xdr:row>7</xdr:row>
      <xdr:rowOff>27720</xdr:rowOff>
    </xdr:to>
    <xdr:pic>
      <xdr:nvPicPr>
        <xdr:cNvPr id="497" name="Imagem 9" descr=""/>
        <xdr:cNvPicPr/>
      </xdr:nvPicPr>
      <xdr:blipFill>
        <a:blip r:embed="rId8"/>
        <a:stretch/>
      </xdr:blipFill>
      <xdr:spPr>
        <a:xfrm>
          <a:off x="6637680" y="1523880"/>
          <a:ext cx="38016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7</xdr:row>
      <xdr:rowOff>285840</xdr:rowOff>
    </xdr:from>
    <xdr:to>
      <xdr:col>11</xdr:col>
      <xdr:colOff>437400</xdr:colOff>
      <xdr:row>9</xdr:row>
      <xdr:rowOff>18360</xdr:rowOff>
    </xdr:to>
    <xdr:pic>
      <xdr:nvPicPr>
        <xdr:cNvPr id="498" name="Imagem 11" descr=""/>
        <xdr:cNvPicPr/>
      </xdr:nvPicPr>
      <xdr:blipFill>
        <a:blip r:embed="rId9"/>
        <a:stretch/>
      </xdr:blipFill>
      <xdr:spPr>
        <a:xfrm>
          <a:off x="6666120" y="216216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8</xdr:row>
      <xdr:rowOff>295200</xdr:rowOff>
    </xdr:from>
    <xdr:to>
      <xdr:col>11</xdr:col>
      <xdr:colOff>475560</xdr:colOff>
      <xdr:row>10</xdr:row>
      <xdr:rowOff>46800</xdr:rowOff>
    </xdr:to>
    <xdr:pic>
      <xdr:nvPicPr>
        <xdr:cNvPr id="499" name="Imagem 12" descr=""/>
        <xdr:cNvPicPr/>
      </xdr:nvPicPr>
      <xdr:blipFill>
        <a:blip r:embed="rId10"/>
        <a:stretch/>
      </xdr:blipFill>
      <xdr:spPr>
        <a:xfrm>
          <a:off x="6666120" y="247644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12</xdr:row>
      <xdr:rowOff>283320</xdr:rowOff>
    </xdr:from>
    <xdr:to>
      <xdr:col>1</xdr:col>
      <xdr:colOff>513720</xdr:colOff>
      <xdr:row>14</xdr:row>
      <xdr:rowOff>84960</xdr:rowOff>
    </xdr:to>
    <xdr:pic>
      <xdr:nvPicPr>
        <xdr:cNvPr id="500" name="Imagem 17" descr=""/>
        <xdr:cNvPicPr/>
      </xdr:nvPicPr>
      <xdr:blipFill>
        <a:blip r:embed="rId11"/>
        <a:stretch/>
      </xdr:blipFill>
      <xdr:spPr>
        <a:xfrm>
          <a:off x="809280" y="3769560"/>
          <a:ext cx="449280" cy="44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11</xdr:row>
      <xdr:rowOff>247680</xdr:rowOff>
    </xdr:from>
    <xdr:to>
      <xdr:col>1</xdr:col>
      <xdr:colOff>589680</xdr:colOff>
      <xdr:row>13</xdr:row>
      <xdr:rowOff>118440</xdr:rowOff>
    </xdr:to>
    <xdr:pic>
      <xdr:nvPicPr>
        <xdr:cNvPr id="501" name="Imagem 18" descr=""/>
        <xdr:cNvPicPr/>
      </xdr:nvPicPr>
      <xdr:blipFill>
        <a:blip r:embed="rId12"/>
        <a:stretch/>
      </xdr:blipFill>
      <xdr:spPr>
        <a:xfrm>
          <a:off x="816120" y="3409920"/>
          <a:ext cx="518400" cy="51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3</xdr:row>
      <xdr:rowOff>133200</xdr:rowOff>
    </xdr:from>
    <xdr:to>
      <xdr:col>11</xdr:col>
      <xdr:colOff>561240</xdr:colOff>
      <xdr:row>5</xdr:row>
      <xdr:rowOff>156240</xdr:rowOff>
    </xdr:to>
    <xdr:pic>
      <xdr:nvPicPr>
        <xdr:cNvPr id="502" name="Imagem 22" descr=""/>
        <xdr:cNvPicPr/>
      </xdr:nvPicPr>
      <xdr:blipFill>
        <a:blip r:embed="rId13"/>
        <a:stretch/>
      </xdr:blipFill>
      <xdr:spPr>
        <a:xfrm>
          <a:off x="6642360" y="885600"/>
          <a:ext cx="518400" cy="51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64440</xdr:colOff>
      <xdr:row>4</xdr:row>
      <xdr:rowOff>169200</xdr:rowOff>
    </xdr:from>
    <xdr:to>
      <xdr:col>11</xdr:col>
      <xdr:colOff>513720</xdr:colOff>
      <xdr:row>6</xdr:row>
      <xdr:rowOff>85320</xdr:rowOff>
    </xdr:to>
    <xdr:pic>
      <xdr:nvPicPr>
        <xdr:cNvPr id="503" name="Imagem 23" descr=""/>
        <xdr:cNvPicPr/>
      </xdr:nvPicPr>
      <xdr:blipFill>
        <a:blip r:embed="rId14"/>
        <a:stretch/>
      </xdr:blipFill>
      <xdr:spPr>
        <a:xfrm>
          <a:off x="6663960" y="1169280"/>
          <a:ext cx="449280" cy="44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190440</xdr:rowOff>
    </xdr:from>
    <xdr:to>
      <xdr:col>9</xdr:col>
      <xdr:colOff>123120</xdr:colOff>
      <xdr:row>9</xdr:row>
      <xdr:rowOff>53640</xdr:rowOff>
    </xdr:to>
    <xdr:pic>
      <xdr:nvPicPr>
        <xdr:cNvPr id="504" name="Imagem 24" descr="">
          <a:hlinkClick r:id="rId15"/>
        </xdr:cNvPr>
        <xdr:cNvPicPr/>
      </xdr:nvPicPr>
      <xdr:blipFill>
        <a:blip r:embed="rId16"/>
        <a:stretch/>
      </xdr:blipFill>
      <xdr:spPr>
        <a:xfrm>
          <a:off x="4272840" y="1190520"/>
          <a:ext cx="1060560" cy="137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19</xdr:row>
      <xdr:rowOff>38160</xdr:rowOff>
    </xdr:from>
    <xdr:to>
      <xdr:col>1</xdr:col>
      <xdr:colOff>294480</xdr:colOff>
      <xdr:row>19</xdr:row>
      <xdr:rowOff>246960</xdr:rowOff>
    </xdr:to>
    <xdr:pic>
      <xdr:nvPicPr>
        <xdr:cNvPr id="505" name="Imagem 25" descr=""/>
        <xdr:cNvPicPr/>
      </xdr:nvPicPr>
      <xdr:blipFill>
        <a:blip r:embed="rId17"/>
        <a:stretch/>
      </xdr:blipFill>
      <xdr:spPr>
        <a:xfrm>
          <a:off x="830520" y="575316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20</xdr:row>
      <xdr:rowOff>9360</xdr:rowOff>
    </xdr:from>
    <xdr:to>
      <xdr:col>1</xdr:col>
      <xdr:colOff>380520</xdr:colOff>
      <xdr:row>21</xdr:row>
      <xdr:rowOff>46800</xdr:rowOff>
    </xdr:to>
    <xdr:pic>
      <xdr:nvPicPr>
        <xdr:cNvPr id="506" name="Imagem 26" descr=""/>
        <xdr:cNvPicPr/>
      </xdr:nvPicPr>
      <xdr:blipFill>
        <a:blip r:embed="rId18"/>
        <a:stretch/>
      </xdr:blipFill>
      <xdr:spPr>
        <a:xfrm>
          <a:off x="821160" y="6010200"/>
          <a:ext cx="30420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14</xdr:row>
      <xdr:rowOff>285840</xdr:rowOff>
    </xdr:from>
    <xdr:to>
      <xdr:col>1</xdr:col>
      <xdr:colOff>456840</xdr:colOff>
      <xdr:row>15</xdr:row>
      <xdr:rowOff>304200</xdr:rowOff>
    </xdr:to>
    <xdr:pic>
      <xdr:nvPicPr>
        <xdr:cNvPr id="507" name="Imagem 27" descr=""/>
        <xdr:cNvPicPr/>
      </xdr:nvPicPr>
      <xdr:blipFill>
        <a:blip r:embed="rId19"/>
        <a:stretch/>
      </xdr:blipFill>
      <xdr:spPr>
        <a:xfrm>
          <a:off x="859320" y="4419720"/>
          <a:ext cx="342360" cy="34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10</xdr:row>
      <xdr:rowOff>276120</xdr:rowOff>
    </xdr:from>
    <xdr:to>
      <xdr:col>1</xdr:col>
      <xdr:colOff>508680</xdr:colOff>
      <xdr:row>12</xdr:row>
      <xdr:rowOff>82440</xdr:rowOff>
    </xdr:to>
    <xdr:pic>
      <xdr:nvPicPr>
        <xdr:cNvPr id="508" name="Imagem 28" descr=""/>
        <xdr:cNvPicPr/>
      </xdr:nvPicPr>
      <xdr:blipFill>
        <a:blip r:embed="rId20"/>
        <a:stretch/>
      </xdr:blipFill>
      <xdr:spPr>
        <a:xfrm>
          <a:off x="799560" y="3114720"/>
          <a:ext cx="453960" cy="45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21</xdr:row>
      <xdr:rowOff>9360</xdr:rowOff>
    </xdr:from>
    <xdr:to>
      <xdr:col>1</xdr:col>
      <xdr:colOff>408600</xdr:colOff>
      <xdr:row>22</xdr:row>
      <xdr:rowOff>37080</xdr:rowOff>
    </xdr:to>
    <xdr:pic>
      <xdr:nvPicPr>
        <xdr:cNvPr id="509" name="Imagem 29" descr=""/>
        <xdr:cNvPicPr/>
      </xdr:nvPicPr>
      <xdr:blipFill>
        <a:blip r:embed="rId21"/>
        <a:stretch/>
      </xdr:blipFill>
      <xdr:spPr>
        <a:xfrm>
          <a:off x="792360" y="6276960"/>
          <a:ext cx="361080" cy="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22</xdr:row>
      <xdr:rowOff>61920</xdr:rowOff>
    </xdr:from>
    <xdr:to>
      <xdr:col>1</xdr:col>
      <xdr:colOff>304200</xdr:colOff>
      <xdr:row>22</xdr:row>
      <xdr:rowOff>273240</xdr:rowOff>
    </xdr:to>
    <xdr:pic>
      <xdr:nvPicPr>
        <xdr:cNvPr id="510" name="Imagem 30" descr=""/>
        <xdr:cNvPicPr/>
      </xdr:nvPicPr>
      <xdr:blipFill>
        <a:blip r:embed="rId22"/>
        <a:stretch/>
      </xdr:blipFill>
      <xdr:spPr>
        <a:xfrm>
          <a:off x="837720" y="6662880"/>
          <a:ext cx="211320" cy="21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16560</xdr:colOff>
      <xdr:row>2</xdr:row>
      <xdr:rowOff>142920</xdr:rowOff>
    </xdr:from>
    <xdr:to>
      <xdr:col>11</xdr:col>
      <xdr:colOff>470520</xdr:colOff>
      <xdr:row>4</xdr:row>
      <xdr:rowOff>101880</xdr:rowOff>
    </xdr:to>
    <xdr:pic>
      <xdr:nvPicPr>
        <xdr:cNvPr id="511" name="Imagem 32" descr=""/>
        <xdr:cNvPicPr/>
      </xdr:nvPicPr>
      <xdr:blipFill>
        <a:blip r:embed="rId23"/>
        <a:stretch/>
      </xdr:blipFill>
      <xdr:spPr>
        <a:xfrm>
          <a:off x="6616080" y="647640"/>
          <a:ext cx="453960" cy="45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11</xdr:row>
      <xdr:rowOff>38160</xdr:rowOff>
    </xdr:from>
    <xdr:to>
      <xdr:col>11</xdr:col>
      <xdr:colOff>399600</xdr:colOff>
      <xdr:row>12</xdr:row>
      <xdr:rowOff>18360</xdr:rowOff>
    </xdr:to>
    <xdr:pic>
      <xdr:nvPicPr>
        <xdr:cNvPr id="512" name="Imagem 33" descr=""/>
        <xdr:cNvPicPr/>
      </xdr:nvPicPr>
      <xdr:blipFill>
        <a:blip r:embed="rId24"/>
        <a:stretch/>
      </xdr:blipFill>
      <xdr:spPr>
        <a:xfrm>
          <a:off x="6694920" y="3200400"/>
          <a:ext cx="30420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11</xdr:row>
      <xdr:rowOff>304920</xdr:rowOff>
    </xdr:from>
    <xdr:to>
      <xdr:col>11</xdr:col>
      <xdr:colOff>427680</xdr:colOff>
      <xdr:row>13</xdr:row>
      <xdr:rowOff>18360</xdr:rowOff>
    </xdr:to>
    <xdr:pic>
      <xdr:nvPicPr>
        <xdr:cNvPr id="513" name="Imagem 34" descr=""/>
        <xdr:cNvPicPr/>
      </xdr:nvPicPr>
      <xdr:blipFill>
        <a:blip r:embed="rId25"/>
        <a:stretch/>
      </xdr:blipFill>
      <xdr:spPr>
        <a:xfrm>
          <a:off x="6666120" y="3467160"/>
          <a:ext cx="361080" cy="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111960</xdr:colOff>
      <xdr:row>13</xdr:row>
      <xdr:rowOff>42840</xdr:rowOff>
    </xdr:from>
    <xdr:to>
      <xdr:col>11</xdr:col>
      <xdr:colOff>323280</xdr:colOff>
      <xdr:row>13</xdr:row>
      <xdr:rowOff>254160</xdr:rowOff>
    </xdr:to>
    <xdr:pic>
      <xdr:nvPicPr>
        <xdr:cNvPr id="514" name="Imagem 35" descr=""/>
        <xdr:cNvPicPr/>
      </xdr:nvPicPr>
      <xdr:blipFill>
        <a:blip r:embed="rId26"/>
        <a:stretch/>
      </xdr:blipFill>
      <xdr:spPr>
        <a:xfrm>
          <a:off x="6711480" y="3852720"/>
          <a:ext cx="211320" cy="21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6</xdr:row>
      <xdr:rowOff>285840</xdr:rowOff>
    </xdr:from>
    <xdr:to>
      <xdr:col>11</xdr:col>
      <xdr:colOff>408960</xdr:colOff>
      <xdr:row>7</xdr:row>
      <xdr:rowOff>285120</xdr:rowOff>
    </xdr:to>
    <xdr:pic>
      <xdr:nvPicPr>
        <xdr:cNvPr id="515" name="Imagem 39" descr=""/>
        <xdr:cNvPicPr/>
      </xdr:nvPicPr>
      <xdr:blipFill>
        <a:blip r:embed="rId27"/>
        <a:stretch/>
      </xdr:blipFill>
      <xdr:spPr>
        <a:xfrm>
          <a:off x="6666120" y="1819440"/>
          <a:ext cx="3423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64440</xdr:colOff>
      <xdr:row>9</xdr:row>
      <xdr:rowOff>285840</xdr:rowOff>
    </xdr:from>
    <xdr:to>
      <xdr:col>1</xdr:col>
      <xdr:colOff>492480</xdr:colOff>
      <xdr:row>11</xdr:row>
      <xdr:rowOff>65880</xdr:rowOff>
    </xdr:to>
    <xdr:pic>
      <xdr:nvPicPr>
        <xdr:cNvPr id="516" name="Imagem 3" descr=""/>
        <xdr:cNvPicPr/>
      </xdr:nvPicPr>
      <xdr:blipFill>
        <a:blip r:embed="rId1"/>
        <a:stretch/>
      </xdr:blipFill>
      <xdr:spPr>
        <a:xfrm>
          <a:off x="809280" y="2800440"/>
          <a:ext cx="42804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18</xdr:row>
      <xdr:rowOff>47520</xdr:rowOff>
    </xdr:from>
    <xdr:to>
      <xdr:col>1</xdr:col>
      <xdr:colOff>294480</xdr:colOff>
      <xdr:row>18</xdr:row>
      <xdr:rowOff>256320</xdr:rowOff>
    </xdr:to>
    <xdr:pic>
      <xdr:nvPicPr>
        <xdr:cNvPr id="517" name="Imagem 6" descr=""/>
        <xdr:cNvPicPr/>
      </xdr:nvPicPr>
      <xdr:blipFill>
        <a:blip r:embed="rId2"/>
        <a:stretch/>
      </xdr:blipFill>
      <xdr:spPr>
        <a:xfrm>
          <a:off x="830520" y="547668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304920</xdr:rowOff>
    </xdr:from>
    <xdr:to>
      <xdr:col>1</xdr:col>
      <xdr:colOff>427680</xdr:colOff>
      <xdr:row>15</xdr:row>
      <xdr:rowOff>37440</xdr:rowOff>
    </xdr:to>
    <xdr:pic>
      <xdr:nvPicPr>
        <xdr:cNvPr id="518" name="Imagem 7" descr=""/>
        <xdr:cNvPicPr/>
      </xdr:nvPicPr>
      <xdr:blipFill>
        <a:blip r:embed="rId3"/>
        <a:stretch/>
      </xdr:blipFill>
      <xdr:spPr>
        <a:xfrm>
          <a:off x="792360" y="4114800"/>
          <a:ext cx="3801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304920</xdr:rowOff>
    </xdr:from>
    <xdr:to>
      <xdr:col>1</xdr:col>
      <xdr:colOff>408960</xdr:colOff>
      <xdr:row>16</xdr:row>
      <xdr:rowOff>28080</xdr:rowOff>
    </xdr:to>
    <xdr:pic>
      <xdr:nvPicPr>
        <xdr:cNvPr id="519" name="Imagem 8" descr=""/>
        <xdr:cNvPicPr/>
      </xdr:nvPicPr>
      <xdr:blipFill>
        <a:blip r:embed="rId4"/>
        <a:stretch/>
      </xdr:blipFill>
      <xdr:spPr>
        <a:xfrm>
          <a:off x="783000" y="443880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15</xdr:row>
      <xdr:rowOff>285840</xdr:rowOff>
    </xdr:from>
    <xdr:to>
      <xdr:col>1</xdr:col>
      <xdr:colOff>475560</xdr:colOff>
      <xdr:row>17</xdr:row>
      <xdr:rowOff>9000</xdr:rowOff>
    </xdr:to>
    <xdr:pic>
      <xdr:nvPicPr>
        <xdr:cNvPr id="520" name="Imagem 9" descr=""/>
        <xdr:cNvPicPr/>
      </xdr:nvPicPr>
      <xdr:blipFill>
        <a:blip r:embed="rId5"/>
        <a:stretch/>
      </xdr:blipFill>
      <xdr:spPr>
        <a:xfrm>
          <a:off x="849600" y="474372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285840</xdr:rowOff>
    </xdr:from>
    <xdr:to>
      <xdr:col>1</xdr:col>
      <xdr:colOff>475560</xdr:colOff>
      <xdr:row>18</xdr:row>
      <xdr:rowOff>47160</xdr:rowOff>
    </xdr:to>
    <xdr:pic>
      <xdr:nvPicPr>
        <xdr:cNvPr id="521" name="Imagem 10" descr=""/>
        <xdr:cNvPicPr/>
      </xdr:nvPicPr>
      <xdr:blipFill>
        <a:blip r:embed="rId6"/>
        <a:stretch/>
      </xdr:blipFill>
      <xdr:spPr>
        <a:xfrm>
          <a:off x="811440" y="506736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1</xdr:row>
      <xdr:rowOff>181080</xdr:rowOff>
    </xdr:from>
    <xdr:to>
      <xdr:col>11</xdr:col>
      <xdr:colOff>473400</xdr:colOff>
      <xdr:row>3</xdr:row>
      <xdr:rowOff>113760</xdr:rowOff>
    </xdr:to>
    <xdr:pic>
      <xdr:nvPicPr>
        <xdr:cNvPr id="522" name="Imagem 12" descr=""/>
        <xdr:cNvPicPr/>
      </xdr:nvPicPr>
      <xdr:blipFill>
        <a:blip r:embed="rId7"/>
        <a:stretch/>
      </xdr:blipFill>
      <xdr:spPr>
        <a:xfrm>
          <a:off x="6644880" y="438120"/>
          <a:ext cx="4280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10</xdr:row>
      <xdr:rowOff>76320</xdr:rowOff>
    </xdr:from>
    <xdr:to>
      <xdr:col>11</xdr:col>
      <xdr:colOff>294480</xdr:colOff>
      <xdr:row>10</xdr:row>
      <xdr:rowOff>285120</xdr:rowOff>
    </xdr:to>
    <xdr:pic>
      <xdr:nvPicPr>
        <xdr:cNvPr id="523" name="Imagem 15" descr=""/>
        <xdr:cNvPicPr/>
      </xdr:nvPicPr>
      <xdr:blipFill>
        <a:blip r:embed="rId8"/>
        <a:stretch/>
      </xdr:blipFill>
      <xdr:spPr>
        <a:xfrm>
          <a:off x="6685200" y="291492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276120</xdr:rowOff>
    </xdr:from>
    <xdr:to>
      <xdr:col>11</xdr:col>
      <xdr:colOff>418320</xdr:colOff>
      <xdr:row>7</xdr:row>
      <xdr:rowOff>27720</xdr:rowOff>
    </xdr:to>
    <xdr:pic>
      <xdr:nvPicPr>
        <xdr:cNvPr id="524" name="Imagem 16" descr=""/>
        <xdr:cNvPicPr/>
      </xdr:nvPicPr>
      <xdr:blipFill>
        <a:blip r:embed="rId9"/>
        <a:stretch/>
      </xdr:blipFill>
      <xdr:spPr>
        <a:xfrm>
          <a:off x="6637680" y="1523880"/>
          <a:ext cx="38016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6</xdr:row>
      <xdr:rowOff>304920</xdr:rowOff>
    </xdr:from>
    <xdr:to>
      <xdr:col>11</xdr:col>
      <xdr:colOff>389880</xdr:colOff>
      <xdr:row>8</xdr:row>
      <xdr:rowOff>28080</xdr:rowOff>
    </xdr:to>
    <xdr:pic>
      <xdr:nvPicPr>
        <xdr:cNvPr id="525" name="Imagem 17" descr=""/>
        <xdr:cNvPicPr/>
      </xdr:nvPicPr>
      <xdr:blipFill>
        <a:blip r:embed="rId10"/>
        <a:stretch/>
      </xdr:blipFill>
      <xdr:spPr>
        <a:xfrm>
          <a:off x="6618600" y="183852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7</xdr:row>
      <xdr:rowOff>285840</xdr:rowOff>
    </xdr:from>
    <xdr:to>
      <xdr:col>11</xdr:col>
      <xdr:colOff>437400</xdr:colOff>
      <xdr:row>9</xdr:row>
      <xdr:rowOff>18360</xdr:rowOff>
    </xdr:to>
    <xdr:pic>
      <xdr:nvPicPr>
        <xdr:cNvPr id="526" name="Imagem 18" descr=""/>
        <xdr:cNvPicPr/>
      </xdr:nvPicPr>
      <xdr:blipFill>
        <a:blip r:embed="rId11"/>
        <a:stretch/>
      </xdr:blipFill>
      <xdr:spPr>
        <a:xfrm>
          <a:off x="6666120" y="216216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8</xdr:row>
      <xdr:rowOff>295200</xdr:rowOff>
    </xdr:from>
    <xdr:to>
      <xdr:col>11</xdr:col>
      <xdr:colOff>475560</xdr:colOff>
      <xdr:row>10</xdr:row>
      <xdr:rowOff>46800</xdr:rowOff>
    </xdr:to>
    <xdr:pic>
      <xdr:nvPicPr>
        <xdr:cNvPr id="527" name="Imagem 19" descr=""/>
        <xdr:cNvPicPr/>
      </xdr:nvPicPr>
      <xdr:blipFill>
        <a:blip r:embed="rId12"/>
        <a:stretch/>
      </xdr:blipFill>
      <xdr:spPr>
        <a:xfrm>
          <a:off x="6666120" y="247644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152280</xdr:colOff>
      <xdr:row>5</xdr:row>
      <xdr:rowOff>133200</xdr:rowOff>
    </xdr:from>
    <xdr:to>
      <xdr:col>9</xdr:col>
      <xdr:colOff>576360</xdr:colOff>
      <xdr:row>8</xdr:row>
      <xdr:rowOff>208800</xdr:rowOff>
    </xdr:to>
    <xdr:pic>
      <xdr:nvPicPr>
        <xdr:cNvPr id="528" name="Imagem 21" descr="">
          <a:hlinkClick r:id="rId13"/>
        </xdr:cNvPr>
        <xdr:cNvPicPr/>
      </xdr:nvPicPr>
      <xdr:blipFill>
        <a:blip r:embed="rId14"/>
        <a:stretch/>
      </xdr:blipFill>
      <xdr:spPr>
        <a:xfrm>
          <a:off x="3832200" y="1380960"/>
          <a:ext cx="1954440" cy="10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19</xdr:row>
      <xdr:rowOff>47520</xdr:rowOff>
    </xdr:from>
    <xdr:to>
      <xdr:col>1</xdr:col>
      <xdr:colOff>303840</xdr:colOff>
      <xdr:row>19</xdr:row>
      <xdr:rowOff>284760</xdr:rowOff>
    </xdr:to>
    <xdr:pic>
      <xdr:nvPicPr>
        <xdr:cNvPr id="529" name="Imagem 22" descr=""/>
        <xdr:cNvPicPr/>
      </xdr:nvPicPr>
      <xdr:blipFill>
        <a:blip r:embed="rId15"/>
        <a:stretch/>
      </xdr:blipFill>
      <xdr:spPr>
        <a:xfrm>
          <a:off x="811440" y="5762520"/>
          <a:ext cx="237240" cy="23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19</xdr:row>
      <xdr:rowOff>266760</xdr:rowOff>
    </xdr:from>
    <xdr:to>
      <xdr:col>1</xdr:col>
      <xdr:colOff>408960</xdr:colOff>
      <xdr:row>21</xdr:row>
      <xdr:rowOff>46800</xdr:rowOff>
    </xdr:to>
    <xdr:pic>
      <xdr:nvPicPr>
        <xdr:cNvPr id="530" name="Imagem 23" descr=""/>
        <xdr:cNvPicPr/>
      </xdr:nvPicPr>
      <xdr:blipFill>
        <a:blip r:embed="rId16"/>
        <a:stretch/>
      </xdr:blipFill>
      <xdr:spPr>
        <a:xfrm>
          <a:off x="821160" y="5981760"/>
          <a:ext cx="3326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295200</xdr:rowOff>
    </xdr:from>
    <xdr:to>
      <xdr:col>1</xdr:col>
      <xdr:colOff>475560</xdr:colOff>
      <xdr:row>12</xdr:row>
      <xdr:rowOff>56520</xdr:rowOff>
    </xdr:to>
    <xdr:pic>
      <xdr:nvPicPr>
        <xdr:cNvPr id="531" name="Imagem 24" descr=""/>
        <xdr:cNvPicPr/>
      </xdr:nvPicPr>
      <xdr:blipFill>
        <a:blip r:embed="rId17"/>
        <a:stretch/>
      </xdr:blipFill>
      <xdr:spPr>
        <a:xfrm>
          <a:off x="811440" y="313380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12</xdr:row>
      <xdr:rowOff>283320</xdr:rowOff>
    </xdr:from>
    <xdr:to>
      <xdr:col>1</xdr:col>
      <xdr:colOff>513720</xdr:colOff>
      <xdr:row>14</xdr:row>
      <xdr:rowOff>84960</xdr:rowOff>
    </xdr:to>
    <xdr:pic>
      <xdr:nvPicPr>
        <xdr:cNvPr id="532" name="Imagem 25" descr=""/>
        <xdr:cNvPicPr/>
      </xdr:nvPicPr>
      <xdr:blipFill>
        <a:blip r:embed="rId18"/>
        <a:stretch/>
      </xdr:blipFill>
      <xdr:spPr>
        <a:xfrm>
          <a:off x="809280" y="3769560"/>
          <a:ext cx="449280" cy="44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11</xdr:row>
      <xdr:rowOff>247680</xdr:rowOff>
    </xdr:from>
    <xdr:to>
      <xdr:col>1</xdr:col>
      <xdr:colOff>589680</xdr:colOff>
      <xdr:row>13</xdr:row>
      <xdr:rowOff>118440</xdr:rowOff>
    </xdr:to>
    <xdr:pic>
      <xdr:nvPicPr>
        <xdr:cNvPr id="533" name="Imagem 26" descr=""/>
        <xdr:cNvPicPr/>
      </xdr:nvPicPr>
      <xdr:blipFill>
        <a:blip r:embed="rId19"/>
        <a:stretch/>
      </xdr:blipFill>
      <xdr:spPr>
        <a:xfrm>
          <a:off x="816120" y="3409920"/>
          <a:ext cx="518400" cy="51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11</xdr:row>
      <xdr:rowOff>28440</xdr:rowOff>
    </xdr:from>
    <xdr:to>
      <xdr:col>11</xdr:col>
      <xdr:colOff>313560</xdr:colOff>
      <xdr:row>11</xdr:row>
      <xdr:rowOff>265680</xdr:rowOff>
    </xdr:to>
    <xdr:pic>
      <xdr:nvPicPr>
        <xdr:cNvPr id="534" name="Imagem 27" descr=""/>
        <xdr:cNvPicPr/>
      </xdr:nvPicPr>
      <xdr:blipFill>
        <a:blip r:embed="rId20"/>
        <a:stretch/>
      </xdr:blipFill>
      <xdr:spPr>
        <a:xfrm>
          <a:off x="6675840" y="3190680"/>
          <a:ext cx="237240" cy="23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11</xdr:row>
      <xdr:rowOff>314280</xdr:rowOff>
    </xdr:from>
    <xdr:to>
      <xdr:col>11</xdr:col>
      <xdr:colOff>399240</xdr:colOff>
      <xdr:row>12</xdr:row>
      <xdr:rowOff>322920</xdr:rowOff>
    </xdr:to>
    <xdr:pic>
      <xdr:nvPicPr>
        <xdr:cNvPr id="535" name="Imagem 28" descr=""/>
        <xdr:cNvPicPr/>
      </xdr:nvPicPr>
      <xdr:blipFill>
        <a:blip r:embed="rId21"/>
        <a:stretch/>
      </xdr:blipFill>
      <xdr:spPr>
        <a:xfrm>
          <a:off x="6666120" y="3476520"/>
          <a:ext cx="3326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2</xdr:row>
      <xdr:rowOff>162000</xdr:rowOff>
    </xdr:from>
    <xdr:to>
      <xdr:col>11</xdr:col>
      <xdr:colOff>466200</xdr:colOff>
      <xdr:row>4</xdr:row>
      <xdr:rowOff>75600</xdr:rowOff>
    </xdr:to>
    <xdr:pic>
      <xdr:nvPicPr>
        <xdr:cNvPr id="536" name="Imagem 32" descr=""/>
        <xdr:cNvPicPr/>
      </xdr:nvPicPr>
      <xdr:blipFill>
        <a:blip r:embed="rId22"/>
        <a:stretch/>
      </xdr:blipFill>
      <xdr:spPr>
        <a:xfrm>
          <a:off x="6656760" y="66672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3</xdr:row>
      <xdr:rowOff>133200</xdr:rowOff>
    </xdr:from>
    <xdr:to>
      <xdr:col>11</xdr:col>
      <xdr:colOff>561240</xdr:colOff>
      <xdr:row>5</xdr:row>
      <xdr:rowOff>156240</xdr:rowOff>
    </xdr:to>
    <xdr:pic>
      <xdr:nvPicPr>
        <xdr:cNvPr id="537" name="Imagem 33" descr=""/>
        <xdr:cNvPicPr/>
      </xdr:nvPicPr>
      <xdr:blipFill>
        <a:blip r:embed="rId23"/>
        <a:stretch/>
      </xdr:blipFill>
      <xdr:spPr>
        <a:xfrm>
          <a:off x="6642360" y="885600"/>
          <a:ext cx="518400" cy="51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64440</xdr:colOff>
      <xdr:row>4</xdr:row>
      <xdr:rowOff>169200</xdr:rowOff>
    </xdr:from>
    <xdr:to>
      <xdr:col>11</xdr:col>
      <xdr:colOff>513720</xdr:colOff>
      <xdr:row>6</xdr:row>
      <xdr:rowOff>85320</xdr:rowOff>
    </xdr:to>
    <xdr:pic>
      <xdr:nvPicPr>
        <xdr:cNvPr id="538" name="Imagem 34" descr=""/>
        <xdr:cNvPicPr/>
      </xdr:nvPicPr>
      <xdr:blipFill>
        <a:blip r:embed="rId24"/>
        <a:stretch/>
      </xdr:blipFill>
      <xdr:spPr>
        <a:xfrm>
          <a:off x="6663960" y="1169280"/>
          <a:ext cx="449280" cy="44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9360</xdr:colOff>
      <xdr:row>5</xdr:row>
      <xdr:rowOff>57240</xdr:rowOff>
    </xdr:from>
    <xdr:to>
      <xdr:col>9</xdr:col>
      <xdr:colOff>294480</xdr:colOff>
      <xdr:row>8</xdr:row>
      <xdr:rowOff>284040</xdr:rowOff>
    </xdr:to>
    <xdr:pic>
      <xdr:nvPicPr>
        <xdr:cNvPr id="539" name="Imagem 21" descr="">
          <a:hlinkClick r:id="rId1"/>
        </xdr:cNvPr>
        <xdr:cNvPicPr/>
      </xdr:nvPicPr>
      <xdr:blipFill>
        <a:blip r:embed="rId2"/>
        <a:stretch/>
      </xdr:blipFill>
      <xdr:spPr>
        <a:xfrm>
          <a:off x="4091760" y="1305000"/>
          <a:ext cx="1413000" cy="116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19</xdr:row>
      <xdr:rowOff>38160</xdr:rowOff>
    </xdr:from>
    <xdr:to>
      <xdr:col>1</xdr:col>
      <xdr:colOff>275400</xdr:colOff>
      <xdr:row>19</xdr:row>
      <xdr:rowOff>246960</xdr:rowOff>
    </xdr:to>
    <xdr:pic>
      <xdr:nvPicPr>
        <xdr:cNvPr id="540" name="Imagem 22" descr=""/>
        <xdr:cNvPicPr/>
      </xdr:nvPicPr>
      <xdr:blipFill>
        <a:blip r:embed="rId3"/>
        <a:stretch/>
      </xdr:blipFill>
      <xdr:spPr>
        <a:xfrm>
          <a:off x="811440" y="575316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9</xdr:row>
      <xdr:rowOff>285840</xdr:rowOff>
    </xdr:from>
    <xdr:to>
      <xdr:col>1</xdr:col>
      <xdr:colOff>492480</xdr:colOff>
      <xdr:row>11</xdr:row>
      <xdr:rowOff>65880</xdr:rowOff>
    </xdr:to>
    <xdr:pic>
      <xdr:nvPicPr>
        <xdr:cNvPr id="541" name="Imagem 23" descr=""/>
        <xdr:cNvPicPr/>
      </xdr:nvPicPr>
      <xdr:blipFill>
        <a:blip r:embed="rId4"/>
        <a:stretch/>
      </xdr:blipFill>
      <xdr:spPr>
        <a:xfrm>
          <a:off x="809280" y="2800440"/>
          <a:ext cx="42804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12</xdr:row>
      <xdr:rowOff>28440</xdr:rowOff>
    </xdr:from>
    <xdr:to>
      <xdr:col>1</xdr:col>
      <xdr:colOff>418320</xdr:colOff>
      <xdr:row>13</xdr:row>
      <xdr:rowOff>23040</xdr:rowOff>
    </xdr:to>
    <xdr:pic>
      <xdr:nvPicPr>
        <xdr:cNvPr id="542" name="Imagem 24" descr=""/>
        <xdr:cNvPicPr/>
      </xdr:nvPicPr>
      <xdr:blipFill>
        <a:blip r:embed="rId5"/>
        <a:stretch/>
      </xdr:blipFill>
      <xdr:spPr>
        <a:xfrm>
          <a:off x="844920" y="3514680"/>
          <a:ext cx="318240" cy="31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69120</xdr:colOff>
      <xdr:row>11</xdr:row>
      <xdr:rowOff>4680</xdr:rowOff>
    </xdr:from>
    <xdr:to>
      <xdr:col>1</xdr:col>
      <xdr:colOff>418680</xdr:colOff>
      <xdr:row>12</xdr:row>
      <xdr:rowOff>30240</xdr:rowOff>
    </xdr:to>
    <xdr:pic>
      <xdr:nvPicPr>
        <xdr:cNvPr id="543" name="Imagem 25" descr=""/>
        <xdr:cNvPicPr/>
      </xdr:nvPicPr>
      <xdr:blipFill>
        <a:blip r:embed="rId6"/>
        <a:stretch/>
      </xdr:blipFill>
      <xdr:spPr>
        <a:xfrm>
          <a:off x="813960" y="3166920"/>
          <a:ext cx="349560" cy="34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18</xdr:row>
      <xdr:rowOff>47520</xdr:rowOff>
    </xdr:from>
    <xdr:to>
      <xdr:col>1</xdr:col>
      <xdr:colOff>294480</xdr:colOff>
      <xdr:row>18</xdr:row>
      <xdr:rowOff>256320</xdr:rowOff>
    </xdr:to>
    <xdr:pic>
      <xdr:nvPicPr>
        <xdr:cNvPr id="544" name="Imagem 26" descr=""/>
        <xdr:cNvPicPr/>
      </xdr:nvPicPr>
      <xdr:blipFill>
        <a:blip r:embed="rId7"/>
        <a:stretch/>
      </xdr:blipFill>
      <xdr:spPr>
        <a:xfrm>
          <a:off x="830520" y="547668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304920</xdr:rowOff>
    </xdr:from>
    <xdr:to>
      <xdr:col>1</xdr:col>
      <xdr:colOff>427680</xdr:colOff>
      <xdr:row>15</xdr:row>
      <xdr:rowOff>37440</xdr:rowOff>
    </xdr:to>
    <xdr:pic>
      <xdr:nvPicPr>
        <xdr:cNvPr id="545" name="Imagem 27" descr=""/>
        <xdr:cNvPicPr/>
      </xdr:nvPicPr>
      <xdr:blipFill>
        <a:blip r:embed="rId8"/>
        <a:stretch/>
      </xdr:blipFill>
      <xdr:spPr>
        <a:xfrm>
          <a:off x="792360" y="4114800"/>
          <a:ext cx="3801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304920</xdr:rowOff>
    </xdr:from>
    <xdr:to>
      <xdr:col>1</xdr:col>
      <xdr:colOff>408960</xdr:colOff>
      <xdr:row>16</xdr:row>
      <xdr:rowOff>28080</xdr:rowOff>
    </xdr:to>
    <xdr:pic>
      <xdr:nvPicPr>
        <xdr:cNvPr id="546" name="Imagem 28" descr=""/>
        <xdr:cNvPicPr/>
      </xdr:nvPicPr>
      <xdr:blipFill>
        <a:blip r:embed="rId9"/>
        <a:stretch/>
      </xdr:blipFill>
      <xdr:spPr>
        <a:xfrm>
          <a:off x="783000" y="443880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15</xdr:row>
      <xdr:rowOff>285840</xdr:rowOff>
    </xdr:from>
    <xdr:to>
      <xdr:col>1</xdr:col>
      <xdr:colOff>475560</xdr:colOff>
      <xdr:row>17</xdr:row>
      <xdr:rowOff>9000</xdr:rowOff>
    </xdr:to>
    <xdr:pic>
      <xdr:nvPicPr>
        <xdr:cNvPr id="547" name="Imagem 29" descr=""/>
        <xdr:cNvPicPr/>
      </xdr:nvPicPr>
      <xdr:blipFill>
        <a:blip r:embed="rId10"/>
        <a:stretch/>
      </xdr:blipFill>
      <xdr:spPr>
        <a:xfrm>
          <a:off x="849600" y="474372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285840</xdr:rowOff>
    </xdr:from>
    <xdr:to>
      <xdr:col>1</xdr:col>
      <xdr:colOff>475560</xdr:colOff>
      <xdr:row>18</xdr:row>
      <xdr:rowOff>47160</xdr:rowOff>
    </xdr:to>
    <xdr:pic>
      <xdr:nvPicPr>
        <xdr:cNvPr id="548" name="Imagem 30" descr=""/>
        <xdr:cNvPicPr/>
      </xdr:nvPicPr>
      <xdr:blipFill>
        <a:blip r:embed="rId11"/>
        <a:stretch/>
      </xdr:blipFill>
      <xdr:spPr>
        <a:xfrm>
          <a:off x="811440" y="506736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12</xdr:row>
      <xdr:rowOff>295200</xdr:rowOff>
    </xdr:from>
    <xdr:to>
      <xdr:col>1</xdr:col>
      <xdr:colOff>465840</xdr:colOff>
      <xdr:row>14</xdr:row>
      <xdr:rowOff>46800</xdr:rowOff>
    </xdr:to>
    <xdr:pic>
      <xdr:nvPicPr>
        <xdr:cNvPr id="549" name="Imagem 31" descr=""/>
        <xdr:cNvPicPr/>
      </xdr:nvPicPr>
      <xdr:blipFill>
        <a:blip r:embed="rId12"/>
        <a:stretch/>
      </xdr:blipFill>
      <xdr:spPr>
        <a:xfrm>
          <a:off x="811440" y="3781440"/>
          <a:ext cx="39924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1</xdr:row>
      <xdr:rowOff>181080</xdr:rowOff>
    </xdr:from>
    <xdr:to>
      <xdr:col>11</xdr:col>
      <xdr:colOff>473400</xdr:colOff>
      <xdr:row>3</xdr:row>
      <xdr:rowOff>113760</xdr:rowOff>
    </xdr:to>
    <xdr:pic>
      <xdr:nvPicPr>
        <xdr:cNvPr id="550" name="Imagem 32" descr=""/>
        <xdr:cNvPicPr/>
      </xdr:nvPicPr>
      <xdr:blipFill>
        <a:blip r:embed="rId13"/>
        <a:stretch/>
      </xdr:blipFill>
      <xdr:spPr>
        <a:xfrm>
          <a:off x="6644880" y="438120"/>
          <a:ext cx="4280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3</xdr:row>
      <xdr:rowOff>228600</xdr:rowOff>
    </xdr:from>
    <xdr:to>
      <xdr:col>11</xdr:col>
      <xdr:colOff>408600</xdr:colOff>
      <xdr:row>5</xdr:row>
      <xdr:rowOff>51480</xdr:rowOff>
    </xdr:to>
    <xdr:pic>
      <xdr:nvPicPr>
        <xdr:cNvPr id="551" name="Imagem 33" descr=""/>
        <xdr:cNvPicPr/>
      </xdr:nvPicPr>
      <xdr:blipFill>
        <a:blip r:embed="rId14"/>
        <a:stretch/>
      </xdr:blipFill>
      <xdr:spPr>
        <a:xfrm>
          <a:off x="6689880" y="981000"/>
          <a:ext cx="318240" cy="31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88200</xdr:colOff>
      <xdr:row>2</xdr:row>
      <xdr:rowOff>204840</xdr:rowOff>
    </xdr:from>
    <xdr:to>
      <xdr:col>11</xdr:col>
      <xdr:colOff>437760</xdr:colOff>
      <xdr:row>4</xdr:row>
      <xdr:rowOff>59040</xdr:rowOff>
    </xdr:to>
    <xdr:pic>
      <xdr:nvPicPr>
        <xdr:cNvPr id="552" name="Imagem 34" descr=""/>
        <xdr:cNvPicPr/>
      </xdr:nvPicPr>
      <xdr:blipFill>
        <a:blip r:embed="rId15"/>
        <a:stretch/>
      </xdr:blipFill>
      <xdr:spPr>
        <a:xfrm>
          <a:off x="6687720" y="709560"/>
          <a:ext cx="349560" cy="34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10</xdr:row>
      <xdr:rowOff>76320</xdr:rowOff>
    </xdr:from>
    <xdr:to>
      <xdr:col>11</xdr:col>
      <xdr:colOff>294480</xdr:colOff>
      <xdr:row>10</xdr:row>
      <xdr:rowOff>285120</xdr:rowOff>
    </xdr:to>
    <xdr:pic>
      <xdr:nvPicPr>
        <xdr:cNvPr id="553" name="Imagem 35" descr=""/>
        <xdr:cNvPicPr/>
      </xdr:nvPicPr>
      <xdr:blipFill>
        <a:blip r:embed="rId16"/>
        <a:stretch/>
      </xdr:blipFill>
      <xdr:spPr>
        <a:xfrm>
          <a:off x="6685200" y="291492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276120</xdr:rowOff>
    </xdr:from>
    <xdr:to>
      <xdr:col>11</xdr:col>
      <xdr:colOff>418320</xdr:colOff>
      <xdr:row>7</xdr:row>
      <xdr:rowOff>27720</xdr:rowOff>
    </xdr:to>
    <xdr:pic>
      <xdr:nvPicPr>
        <xdr:cNvPr id="554" name="Imagem 36" descr=""/>
        <xdr:cNvPicPr/>
      </xdr:nvPicPr>
      <xdr:blipFill>
        <a:blip r:embed="rId17"/>
        <a:stretch/>
      </xdr:blipFill>
      <xdr:spPr>
        <a:xfrm>
          <a:off x="6637680" y="1523880"/>
          <a:ext cx="38016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6</xdr:row>
      <xdr:rowOff>304920</xdr:rowOff>
    </xdr:from>
    <xdr:to>
      <xdr:col>11</xdr:col>
      <xdr:colOff>389880</xdr:colOff>
      <xdr:row>8</xdr:row>
      <xdr:rowOff>28080</xdr:rowOff>
    </xdr:to>
    <xdr:pic>
      <xdr:nvPicPr>
        <xdr:cNvPr id="555" name="Imagem 37" descr=""/>
        <xdr:cNvPicPr/>
      </xdr:nvPicPr>
      <xdr:blipFill>
        <a:blip r:embed="rId18"/>
        <a:stretch/>
      </xdr:blipFill>
      <xdr:spPr>
        <a:xfrm>
          <a:off x="6618600" y="183852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7</xdr:row>
      <xdr:rowOff>285840</xdr:rowOff>
    </xdr:from>
    <xdr:to>
      <xdr:col>11</xdr:col>
      <xdr:colOff>437400</xdr:colOff>
      <xdr:row>9</xdr:row>
      <xdr:rowOff>18360</xdr:rowOff>
    </xdr:to>
    <xdr:pic>
      <xdr:nvPicPr>
        <xdr:cNvPr id="556" name="Imagem 38" descr=""/>
        <xdr:cNvPicPr/>
      </xdr:nvPicPr>
      <xdr:blipFill>
        <a:blip r:embed="rId19"/>
        <a:stretch/>
      </xdr:blipFill>
      <xdr:spPr>
        <a:xfrm>
          <a:off x="6666120" y="2162160"/>
          <a:ext cx="37080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8</xdr:row>
      <xdr:rowOff>295200</xdr:rowOff>
    </xdr:from>
    <xdr:to>
      <xdr:col>11</xdr:col>
      <xdr:colOff>475560</xdr:colOff>
      <xdr:row>10</xdr:row>
      <xdr:rowOff>46800</xdr:rowOff>
    </xdr:to>
    <xdr:pic>
      <xdr:nvPicPr>
        <xdr:cNvPr id="557" name="Imagem 39" descr=""/>
        <xdr:cNvPicPr/>
      </xdr:nvPicPr>
      <xdr:blipFill>
        <a:blip r:embed="rId20"/>
        <a:stretch/>
      </xdr:blipFill>
      <xdr:spPr>
        <a:xfrm>
          <a:off x="6666120" y="2476440"/>
          <a:ext cx="408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4</xdr:row>
      <xdr:rowOff>162000</xdr:rowOff>
    </xdr:from>
    <xdr:to>
      <xdr:col>11</xdr:col>
      <xdr:colOff>465840</xdr:colOff>
      <xdr:row>6</xdr:row>
      <xdr:rowOff>28080</xdr:rowOff>
    </xdr:to>
    <xdr:pic>
      <xdr:nvPicPr>
        <xdr:cNvPr id="558" name="Imagem 40" descr=""/>
        <xdr:cNvPicPr/>
      </xdr:nvPicPr>
      <xdr:blipFill>
        <a:blip r:embed="rId21"/>
        <a:stretch/>
      </xdr:blipFill>
      <xdr:spPr>
        <a:xfrm>
          <a:off x="6666120" y="1162080"/>
          <a:ext cx="399240" cy="39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19</xdr:row>
      <xdr:rowOff>9360</xdr:rowOff>
    </xdr:from>
    <xdr:to>
      <xdr:col>1</xdr:col>
      <xdr:colOff>380160</xdr:colOff>
      <xdr:row>20</xdr:row>
      <xdr:rowOff>41400</xdr:rowOff>
    </xdr:to>
    <xdr:pic>
      <xdr:nvPicPr>
        <xdr:cNvPr id="559" name="Imagem 1" descr=""/>
        <xdr:cNvPicPr/>
      </xdr:nvPicPr>
      <xdr:blipFill>
        <a:blip r:embed="rId1"/>
        <a:stretch/>
      </xdr:blipFill>
      <xdr:spPr>
        <a:xfrm>
          <a:off x="771120" y="572436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7200</xdr:colOff>
      <xdr:row>20</xdr:row>
      <xdr:rowOff>28440</xdr:rowOff>
    </xdr:from>
    <xdr:to>
      <xdr:col>1</xdr:col>
      <xdr:colOff>361080</xdr:colOff>
      <xdr:row>21</xdr:row>
      <xdr:rowOff>79560</xdr:rowOff>
    </xdr:to>
    <xdr:pic>
      <xdr:nvPicPr>
        <xdr:cNvPr id="560" name="Imagem 2" descr=""/>
        <xdr:cNvPicPr/>
      </xdr:nvPicPr>
      <xdr:blipFill>
        <a:blip r:embed="rId2"/>
        <a:stretch/>
      </xdr:blipFill>
      <xdr:spPr>
        <a:xfrm>
          <a:off x="752040" y="602928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54000</xdr:rowOff>
    </xdr:from>
    <xdr:to>
      <xdr:col>1</xdr:col>
      <xdr:colOff>399600</xdr:colOff>
      <xdr:row>14</xdr:row>
      <xdr:rowOff>298800</xdr:rowOff>
    </xdr:to>
    <xdr:pic>
      <xdr:nvPicPr>
        <xdr:cNvPr id="561" name="Imagem 3" descr=""/>
        <xdr:cNvPicPr/>
      </xdr:nvPicPr>
      <xdr:blipFill>
        <a:blip r:embed="rId3"/>
        <a:stretch/>
      </xdr:blipFill>
      <xdr:spPr>
        <a:xfrm>
          <a:off x="840240" y="4187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562" name="Imagem 4" descr=""/>
        <xdr:cNvPicPr/>
      </xdr:nvPicPr>
      <xdr:blipFill>
        <a:blip r:embed="rId4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11</xdr:row>
      <xdr:rowOff>61560</xdr:rowOff>
    </xdr:from>
    <xdr:to>
      <xdr:col>2</xdr:col>
      <xdr:colOff>9000</xdr:colOff>
      <xdr:row>11</xdr:row>
      <xdr:rowOff>294480</xdr:rowOff>
    </xdr:to>
    <xdr:pic>
      <xdr:nvPicPr>
        <xdr:cNvPr id="563" name="Imagem 5" descr=""/>
        <xdr:cNvPicPr/>
      </xdr:nvPicPr>
      <xdr:blipFill>
        <a:blip r:embed="rId5"/>
        <a:stretch/>
      </xdr:blipFill>
      <xdr:spPr>
        <a:xfrm>
          <a:off x="837720" y="3223800"/>
          <a:ext cx="527760" cy="23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16</xdr:row>
      <xdr:rowOff>95400</xdr:rowOff>
    </xdr:from>
    <xdr:to>
      <xdr:col>1</xdr:col>
      <xdr:colOff>334800</xdr:colOff>
      <xdr:row>16</xdr:row>
      <xdr:rowOff>231840</xdr:rowOff>
    </xdr:to>
    <xdr:pic>
      <xdr:nvPicPr>
        <xdr:cNvPr id="564" name="Imagem 8" descr=""/>
        <xdr:cNvPicPr/>
      </xdr:nvPicPr>
      <xdr:blipFill>
        <a:blip r:embed="rId6"/>
        <a:stretch/>
      </xdr:blipFill>
      <xdr:spPr>
        <a:xfrm>
          <a:off x="792360" y="48769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72360</xdr:colOff>
      <xdr:row>17</xdr:row>
      <xdr:rowOff>95400</xdr:rowOff>
    </xdr:from>
    <xdr:to>
      <xdr:col>1</xdr:col>
      <xdr:colOff>332640</xdr:colOff>
      <xdr:row>17</xdr:row>
      <xdr:rowOff>283680</xdr:rowOff>
    </xdr:to>
    <xdr:pic>
      <xdr:nvPicPr>
        <xdr:cNvPr id="565" name="Imagem 9" descr=""/>
        <xdr:cNvPicPr/>
      </xdr:nvPicPr>
      <xdr:blipFill>
        <a:blip r:embed="rId7"/>
        <a:stretch/>
      </xdr:blipFill>
      <xdr:spPr>
        <a:xfrm>
          <a:off x="817200" y="520092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87120</xdr:rowOff>
    </xdr:from>
    <xdr:to>
      <xdr:col>11</xdr:col>
      <xdr:colOff>404280</xdr:colOff>
      <xdr:row>2</xdr:row>
      <xdr:rowOff>199440</xdr:rowOff>
    </xdr:to>
    <xdr:pic>
      <xdr:nvPicPr>
        <xdr:cNvPr id="566" name="Imagem 10" descr=""/>
        <xdr:cNvPicPr/>
      </xdr:nvPicPr>
      <xdr:blipFill>
        <a:blip r:embed="rId8"/>
        <a:stretch/>
      </xdr:blipFill>
      <xdr:spPr>
        <a:xfrm>
          <a:off x="6642360" y="59184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62280</xdr:colOff>
      <xdr:row>3</xdr:row>
      <xdr:rowOff>69840</xdr:rowOff>
    </xdr:from>
    <xdr:to>
      <xdr:col>11</xdr:col>
      <xdr:colOff>391320</xdr:colOff>
      <xdr:row>3</xdr:row>
      <xdr:rowOff>215640</xdr:rowOff>
    </xdr:to>
    <xdr:pic>
      <xdr:nvPicPr>
        <xdr:cNvPr id="567" name="Imagem 11" descr=""/>
        <xdr:cNvPicPr/>
      </xdr:nvPicPr>
      <xdr:blipFill>
        <a:blip r:embed="rId9"/>
        <a:stretch/>
      </xdr:blipFill>
      <xdr:spPr>
        <a:xfrm>
          <a:off x="6661800" y="822240"/>
          <a:ext cx="329040" cy="14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6</xdr:row>
      <xdr:rowOff>66600</xdr:rowOff>
    </xdr:from>
    <xdr:to>
      <xdr:col>11</xdr:col>
      <xdr:colOff>351720</xdr:colOff>
      <xdr:row>6</xdr:row>
      <xdr:rowOff>311400</xdr:rowOff>
    </xdr:to>
    <xdr:pic>
      <xdr:nvPicPr>
        <xdr:cNvPr id="568" name="Imagem 14" descr=""/>
        <xdr:cNvPicPr/>
      </xdr:nvPicPr>
      <xdr:blipFill>
        <a:blip r:embed="rId10"/>
        <a:stretch/>
      </xdr:blipFill>
      <xdr:spPr>
        <a:xfrm>
          <a:off x="6647040" y="16002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18</xdr:row>
      <xdr:rowOff>28440</xdr:rowOff>
    </xdr:from>
    <xdr:to>
      <xdr:col>1</xdr:col>
      <xdr:colOff>297000</xdr:colOff>
      <xdr:row>18</xdr:row>
      <xdr:rowOff>237240</xdr:rowOff>
    </xdr:to>
    <xdr:pic>
      <xdr:nvPicPr>
        <xdr:cNvPr id="569" name="Imagem 16" descr=""/>
        <xdr:cNvPicPr/>
      </xdr:nvPicPr>
      <xdr:blipFill>
        <a:blip r:embed="rId11"/>
        <a:stretch/>
      </xdr:blipFill>
      <xdr:spPr>
        <a:xfrm>
          <a:off x="773280" y="545760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11</xdr:row>
      <xdr:rowOff>0</xdr:rowOff>
    </xdr:from>
    <xdr:to>
      <xdr:col>11</xdr:col>
      <xdr:colOff>363240</xdr:colOff>
      <xdr:row>11</xdr:row>
      <xdr:rowOff>317520</xdr:rowOff>
    </xdr:to>
    <xdr:pic>
      <xdr:nvPicPr>
        <xdr:cNvPr id="570" name="Imagem 21" descr=""/>
        <xdr:cNvPicPr/>
      </xdr:nvPicPr>
      <xdr:blipFill>
        <a:blip r:embed="rId12"/>
        <a:stretch/>
      </xdr:blipFill>
      <xdr:spPr>
        <a:xfrm>
          <a:off x="6608880" y="31622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40680</xdr:colOff>
      <xdr:row>8</xdr:row>
      <xdr:rowOff>104760</xdr:rowOff>
    </xdr:from>
    <xdr:to>
      <xdr:col>11</xdr:col>
      <xdr:colOff>327960</xdr:colOff>
      <xdr:row>8</xdr:row>
      <xdr:rowOff>241200</xdr:rowOff>
    </xdr:to>
    <xdr:pic>
      <xdr:nvPicPr>
        <xdr:cNvPr id="571" name="Imagem 22" descr=""/>
        <xdr:cNvPicPr/>
      </xdr:nvPicPr>
      <xdr:blipFill>
        <a:blip r:embed="rId13"/>
        <a:stretch/>
      </xdr:blipFill>
      <xdr:spPr>
        <a:xfrm>
          <a:off x="6640200" y="228600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65160</xdr:colOff>
      <xdr:row>9</xdr:row>
      <xdr:rowOff>95400</xdr:rowOff>
    </xdr:from>
    <xdr:to>
      <xdr:col>11</xdr:col>
      <xdr:colOff>325440</xdr:colOff>
      <xdr:row>9</xdr:row>
      <xdr:rowOff>283680</xdr:rowOff>
    </xdr:to>
    <xdr:pic>
      <xdr:nvPicPr>
        <xdr:cNvPr id="572" name="Imagem 23" descr=""/>
        <xdr:cNvPicPr/>
      </xdr:nvPicPr>
      <xdr:blipFill>
        <a:blip r:embed="rId14"/>
        <a:stretch/>
      </xdr:blipFill>
      <xdr:spPr>
        <a:xfrm>
          <a:off x="6664680" y="261000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10</xdr:row>
      <xdr:rowOff>28440</xdr:rowOff>
    </xdr:from>
    <xdr:to>
      <xdr:col>11</xdr:col>
      <xdr:colOff>318600</xdr:colOff>
      <xdr:row>10</xdr:row>
      <xdr:rowOff>237240</xdr:rowOff>
    </xdr:to>
    <xdr:pic>
      <xdr:nvPicPr>
        <xdr:cNvPr id="573" name="Imagem 24" descr=""/>
        <xdr:cNvPicPr/>
      </xdr:nvPicPr>
      <xdr:blipFill>
        <a:blip r:embed="rId15"/>
        <a:stretch/>
      </xdr:blipFill>
      <xdr:spPr>
        <a:xfrm>
          <a:off x="6649560" y="286704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266760</xdr:colOff>
      <xdr:row>5</xdr:row>
      <xdr:rowOff>85680</xdr:rowOff>
    </xdr:from>
    <xdr:to>
      <xdr:col>9</xdr:col>
      <xdr:colOff>437400</xdr:colOff>
      <xdr:row>8</xdr:row>
      <xdr:rowOff>257760</xdr:rowOff>
    </xdr:to>
    <xdr:pic>
      <xdr:nvPicPr>
        <xdr:cNvPr id="574" name="Imagem 26" descr="">
          <a:hlinkClick r:id="rId16"/>
        </xdr:cNvPr>
        <xdr:cNvPicPr/>
      </xdr:nvPicPr>
      <xdr:blipFill>
        <a:blip r:embed="rId17"/>
        <a:stretch/>
      </xdr:blipFill>
      <xdr:spPr>
        <a:xfrm>
          <a:off x="3946680" y="1333440"/>
          <a:ext cx="1701000" cy="11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12</xdr:row>
      <xdr:rowOff>98280</xdr:rowOff>
    </xdr:from>
    <xdr:to>
      <xdr:col>1</xdr:col>
      <xdr:colOff>570600</xdr:colOff>
      <xdr:row>12</xdr:row>
      <xdr:rowOff>221760</xdr:rowOff>
    </xdr:to>
    <xdr:pic>
      <xdr:nvPicPr>
        <xdr:cNvPr id="575" name="Imagem 27" descr=""/>
        <xdr:cNvPicPr/>
      </xdr:nvPicPr>
      <xdr:blipFill>
        <a:blip r:embed="rId18"/>
        <a:stretch/>
      </xdr:blipFill>
      <xdr:spPr>
        <a:xfrm>
          <a:off x="811440" y="3584520"/>
          <a:ext cx="50400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95400</xdr:rowOff>
    </xdr:from>
    <xdr:to>
      <xdr:col>1</xdr:col>
      <xdr:colOff>342000</xdr:colOff>
      <xdr:row>13</xdr:row>
      <xdr:rowOff>252000</xdr:rowOff>
    </xdr:to>
    <xdr:pic>
      <xdr:nvPicPr>
        <xdr:cNvPr id="576" name="Imagem 28" descr=""/>
        <xdr:cNvPicPr/>
      </xdr:nvPicPr>
      <xdr:blipFill>
        <a:blip r:embed="rId19"/>
        <a:stretch/>
      </xdr:blipFill>
      <xdr:spPr>
        <a:xfrm>
          <a:off x="811440" y="390528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4</xdr:row>
      <xdr:rowOff>3240</xdr:rowOff>
    </xdr:from>
    <xdr:to>
      <xdr:col>11</xdr:col>
      <xdr:colOff>551520</xdr:colOff>
      <xdr:row>4</xdr:row>
      <xdr:rowOff>126720</xdr:rowOff>
    </xdr:to>
    <xdr:pic>
      <xdr:nvPicPr>
        <xdr:cNvPr id="577" name="Imagem 34" descr=""/>
        <xdr:cNvPicPr/>
      </xdr:nvPicPr>
      <xdr:blipFill>
        <a:blip r:embed="rId20"/>
        <a:stretch/>
      </xdr:blipFill>
      <xdr:spPr>
        <a:xfrm>
          <a:off x="6647040" y="1003320"/>
          <a:ext cx="50400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5</xdr:row>
      <xdr:rowOff>76320</xdr:rowOff>
    </xdr:from>
    <xdr:to>
      <xdr:col>11</xdr:col>
      <xdr:colOff>322920</xdr:colOff>
      <xdr:row>5</xdr:row>
      <xdr:rowOff>232920</xdr:rowOff>
    </xdr:to>
    <xdr:pic>
      <xdr:nvPicPr>
        <xdr:cNvPr id="578" name="Imagem 35" descr=""/>
        <xdr:cNvPicPr/>
      </xdr:nvPicPr>
      <xdr:blipFill>
        <a:blip r:embed="rId21"/>
        <a:stretch/>
      </xdr:blipFill>
      <xdr:spPr>
        <a:xfrm>
          <a:off x="6647040" y="1324080"/>
          <a:ext cx="275400" cy="156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19</xdr:row>
      <xdr:rowOff>9360</xdr:rowOff>
    </xdr:from>
    <xdr:to>
      <xdr:col>1</xdr:col>
      <xdr:colOff>380160</xdr:colOff>
      <xdr:row>20</xdr:row>
      <xdr:rowOff>41400</xdr:rowOff>
    </xdr:to>
    <xdr:pic>
      <xdr:nvPicPr>
        <xdr:cNvPr id="579" name="Imagem 1" descr=""/>
        <xdr:cNvPicPr/>
      </xdr:nvPicPr>
      <xdr:blipFill>
        <a:blip r:embed="rId1"/>
        <a:stretch/>
      </xdr:blipFill>
      <xdr:spPr>
        <a:xfrm>
          <a:off x="771120" y="572436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7200</xdr:colOff>
      <xdr:row>20</xdr:row>
      <xdr:rowOff>28440</xdr:rowOff>
    </xdr:from>
    <xdr:to>
      <xdr:col>1</xdr:col>
      <xdr:colOff>361080</xdr:colOff>
      <xdr:row>21</xdr:row>
      <xdr:rowOff>79560</xdr:rowOff>
    </xdr:to>
    <xdr:pic>
      <xdr:nvPicPr>
        <xdr:cNvPr id="580" name="Imagem 2" descr=""/>
        <xdr:cNvPicPr/>
      </xdr:nvPicPr>
      <xdr:blipFill>
        <a:blip r:embed="rId2"/>
        <a:stretch/>
      </xdr:blipFill>
      <xdr:spPr>
        <a:xfrm>
          <a:off x="752040" y="602928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54000</xdr:rowOff>
    </xdr:from>
    <xdr:to>
      <xdr:col>1</xdr:col>
      <xdr:colOff>399600</xdr:colOff>
      <xdr:row>14</xdr:row>
      <xdr:rowOff>298800</xdr:rowOff>
    </xdr:to>
    <xdr:pic>
      <xdr:nvPicPr>
        <xdr:cNvPr id="581" name="Imagem 3" descr=""/>
        <xdr:cNvPicPr/>
      </xdr:nvPicPr>
      <xdr:blipFill>
        <a:blip r:embed="rId3"/>
        <a:stretch/>
      </xdr:blipFill>
      <xdr:spPr>
        <a:xfrm>
          <a:off x="840240" y="4187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582" name="Imagem 5" descr=""/>
        <xdr:cNvPicPr/>
      </xdr:nvPicPr>
      <xdr:blipFill>
        <a:blip r:embed="rId4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11</xdr:row>
      <xdr:rowOff>61560</xdr:rowOff>
    </xdr:from>
    <xdr:to>
      <xdr:col>2</xdr:col>
      <xdr:colOff>9000</xdr:colOff>
      <xdr:row>11</xdr:row>
      <xdr:rowOff>294480</xdr:rowOff>
    </xdr:to>
    <xdr:pic>
      <xdr:nvPicPr>
        <xdr:cNvPr id="583" name="Imagem 6" descr=""/>
        <xdr:cNvPicPr/>
      </xdr:nvPicPr>
      <xdr:blipFill>
        <a:blip r:embed="rId5"/>
        <a:stretch/>
      </xdr:blipFill>
      <xdr:spPr>
        <a:xfrm>
          <a:off x="837720" y="3223800"/>
          <a:ext cx="527760" cy="23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12</xdr:row>
      <xdr:rowOff>109440</xdr:rowOff>
    </xdr:from>
    <xdr:to>
      <xdr:col>2</xdr:col>
      <xdr:colOff>42120</xdr:colOff>
      <xdr:row>12</xdr:row>
      <xdr:rowOff>256320</xdr:rowOff>
    </xdr:to>
    <xdr:pic>
      <xdr:nvPicPr>
        <xdr:cNvPr id="584" name="Imagem 7" descr=""/>
        <xdr:cNvPicPr/>
      </xdr:nvPicPr>
      <xdr:blipFill>
        <a:blip r:embed="rId6"/>
        <a:stretch/>
      </xdr:blipFill>
      <xdr:spPr>
        <a:xfrm>
          <a:off x="797040" y="3595680"/>
          <a:ext cx="601560" cy="14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59400</xdr:colOff>
      <xdr:row>13</xdr:row>
      <xdr:rowOff>102960</xdr:rowOff>
    </xdr:from>
    <xdr:to>
      <xdr:col>2</xdr:col>
      <xdr:colOff>37440</xdr:colOff>
      <xdr:row>13</xdr:row>
      <xdr:rowOff>246960</xdr:rowOff>
    </xdr:to>
    <xdr:pic>
      <xdr:nvPicPr>
        <xdr:cNvPr id="585" name="Imagem 8" descr=""/>
        <xdr:cNvPicPr/>
      </xdr:nvPicPr>
      <xdr:blipFill>
        <a:blip r:embed="rId7"/>
        <a:stretch/>
      </xdr:blipFill>
      <xdr:spPr>
        <a:xfrm>
          <a:off x="804240" y="3912840"/>
          <a:ext cx="589680" cy="14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16</xdr:row>
      <xdr:rowOff>95400</xdr:rowOff>
    </xdr:from>
    <xdr:to>
      <xdr:col>1</xdr:col>
      <xdr:colOff>334800</xdr:colOff>
      <xdr:row>16</xdr:row>
      <xdr:rowOff>231840</xdr:rowOff>
    </xdr:to>
    <xdr:pic>
      <xdr:nvPicPr>
        <xdr:cNvPr id="586" name="Imagem 12" descr=""/>
        <xdr:cNvPicPr/>
      </xdr:nvPicPr>
      <xdr:blipFill>
        <a:blip r:embed="rId8"/>
        <a:stretch/>
      </xdr:blipFill>
      <xdr:spPr>
        <a:xfrm>
          <a:off x="792360" y="48769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72360</xdr:colOff>
      <xdr:row>17</xdr:row>
      <xdr:rowOff>95400</xdr:rowOff>
    </xdr:from>
    <xdr:to>
      <xdr:col>1</xdr:col>
      <xdr:colOff>332640</xdr:colOff>
      <xdr:row>17</xdr:row>
      <xdr:rowOff>283680</xdr:rowOff>
    </xdr:to>
    <xdr:pic>
      <xdr:nvPicPr>
        <xdr:cNvPr id="587" name="Imagem 13" descr=""/>
        <xdr:cNvPicPr/>
      </xdr:nvPicPr>
      <xdr:blipFill>
        <a:blip r:embed="rId9"/>
        <a:stretch/>
      </xdr:blipFill>
      <xdr:spPr>
        <a:xfrm>
          <a:off x="817200" y="520092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87120</xdr:rowOff>
    </xdr:from>
    <xdr:to>
      <xdr:col>11</xdr:col>
      <xdr:colOff>404280</xdr:colOff>
      <xdr:row>2</xdr:row>
      <xdr:rowOff>199440</xdr:rowOff>
    </xdr:to>
    <xdr:pic>
      <xdr:nvPicPr>
        <xdr:cNvPr id="588" name="Imagem 19" descr=""/>
        <xdr:cNvPicPr/>
      </xdr:nvPicPr>
      <xdr:blipFill>
        <a:blip r:embed="rId10"/>
        <a:stretch/>
      </xdr:blipFill>
      <xdr:spPr>
        <a:xfrm>
          <a:off x="6642360" y="59184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62280</xdr:colOff>
      <xdr:row>3</xdr:row>
      <xdr:rowOff>69840</xdr:rowOff>
    </xdr:from>
    <xdr:to>
      <xdr:col>11</xdr:col>
      <xdr:colOff>391320</xdr:colOff>
      <xdr:row>3</xdr:row>
      <xdr:rowOff>215640</xdr:rowOff>
    </xdr:to>
    <xdr:pic>
      <xdr:nvPicPr>
        <xdr:cNvPr id="589" name="Imagem 20" descr=""/>
        <xdr:cNvPicPr/>
      </xdr:nvPicPr>
      <xdr:blipFill>
        <a:blip r:embed="rId11"/>
        <a:stretch/>
      </xdr:blipFill>
      <xdr:spPr>
        <a:xfrm>
          <a:off x="6661800" y="822240"/>
          <a:ext cx="329040" cy="14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4</xdr:row>
      <xdr:rowOff>96840</xdr:rowOff>
    </xdr:from>
    <xdr:to>
      <xdr:col>11</xdr:col>
      <xdr:colOff>418320</xdr:colOff>
      <xdr:row>4</xdr:row>
      <xdr:rowOff>189720</xdr:rowOff>
    </xdr:to>
    <xdr:pic>
      <xdr:nvPicPr>
        <xdr:cNvPr id="590" name="Imagem 21" descr=""/>
        <xdr:cNvPicPr/>
      </xdr:nvPicPr>
      <xdr:blipFill>
        <a:blip r:embed="rId12"/>
        <a:stretch/>
      </xdr:blipFill>
      <xdr:spPr>
        <a:xfrm>
          <a:off x="6637680" y="1096920"/>
          <a:ext cx="380160" cy="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5</xdr:row>
      <xdr:rowOff>123840</xdr:rowOff>
    </xdr:from>
    <xdr:to>
      <xdr:col>11</xdr:col>
      <xdr:colOff>432000</xdr:colOff>
      <xdr:row>5</xdr:row>
      <xdr:rowOff>218520</xdr:rowOff>
    </xdr:to>
    <xdr:pic>
      <xdr:nvPicPr>
        <xdr:cNvPr id="591" name="Imagem 22" descr=""/>
        <xdr:cNvPicPr/>
      </xdr:nvPicPr>
      <xdr:blipFill>
        <a:blip r:embed="rId13"/>
        <a:stretch/>
      </xdr:blipFill>
      <xdr:spPr>
        <a:xfrm>
          <a:off x="6644880" y="13716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6</xdr:row>
      <xdr:rowOff>66600</xdr:rowOff>
    </xdr:from>
    <xdr:to>
      <xdr:col>11</xdr:col>
      <xdr:colOff>351720</xdr:colOff>
      <xdr:row>6</xdr:row>
      <xdr:rowOff>311400</xdr:rowOff>
    </xdr:to>
    <xdr:pic>
      <xdr:nvPicPr>
        <xdr:cNvPr id="592" name="Imagem 32" descr=""/>
        <xdr:cNvPicPr/>
      </xdr:nvPicPr>
      <xdr:blipFill>
        <a:blip r:embed="rId14"/>
        <a:stretch/>
      </xdr:blipFill>
      <xdr:spPr>
        <a:xfrm>
          <a:off x="6647040" y="16002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57240</xdr:colOff>
      <xdr:row>5</xdr:row>
      <xdr:rowOff>85680</xdr:rowOff>
    </xdr:from>
    <xdr:to>
      <xdr:col>9</xdr:col>
      <xdr:colOff>217800</xdr:colOff>
      <xdr:row>8</xdr:row>
      <xdr:rowOff>246960</xdr:rowOff>
    </xdr:to>
    <xdr:pic>
      <xdr:nvPicPr>
        <xdr:cNvPr id="593" name="Imagem 33" descr="">
          <a:hlinkClick r:id="rId15"/>
        </xdr:cNvPr>
        <xdr:cNvPicPr/>
      </xdr:nvPicPr>
      <xdr:blipFill>
        <a:blip r:embed="rId16"/>
        <a:stretch/>
      </xdr:blipFill>
      <xdr:spPr>
        <a:xfrm>
          <a:off x="4139640" y="1333440"/>
          <a:ext cx="1288440" cy="109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18</xdr:row>
      <xdr:rowOff>28440</xdr:rowOff>
    </xdr:from>
    <xdr:to>
      <xdr:col>1</xdr:col>
      <xdr:colOff>297000</xdr:colOff>
      <xdr:row>18</xdr:row>
      <xdr:rowOff>237240</xdr:rowOff>
    </xdr:to>
    <xdr:pic>
      <xdr:nvPicPr>
        <xdr:cNvPr id="594" name="Imagem 34" descr=""/>
        <xdr:cNvPicPr/>
      </xdr:nvPicPr>
      <xdr:blipFill>
        <a:blip r:embed="rId17"/>
        <a:stretch/>
      </xdr:blipFill>
      <xdr:spPr>
        <a:xfrm>
          <a:off x="773280" y="545760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21</xdr:row>
      <xdr:rowOff>19080</xdr:rowOff>
    </xdr:from>
    <xdr:to>
      <xdr:col>1</xdr:col>
      <xdr:colOff>407880</xdr:colOff>
      <xdr:row>21</xdr:row>
      <xdr:rowOff>328320</xdr:rowOff>
    </xdr:to>
    <xdr:pic>
      <xdr:nvPicPr>
        <xdr:cNvPr id="595" name="Imagem 35" descr=""/>
        <xdr:cNvPicPr/>
      </xdr:nvPicPr>
      <xdr:blipFill>
        <a:blip r:embed="rId18"/>
        <a:stretch/>
      </xdr:blipFill>
      <xdr:spPr>
        <a:xfrm>
          <a:off x="773280" y="6286680"/>
          <a:ext cx="379440" cy="3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15</xdr:row>
      <xdr:rowOff>9360</xdr:rowOff>
    </xdr:from>
    <xdr:to>
      <xdr:col>1</xdr:col>
      <xdr:colOff>317160</xdr:colOff>
      <xdr:row>15</xdr:row>
      <xdr:rowOff>275400</xdr:rowOff>
    </xdr:to>
    <xdr:pic>
      <xdr:nvPicPr>
        <xdr:cNvPr id="596" name="Imagem 36" descr=""/>
        <xdr:cNvPicPr/>
      </xdr:nvPicPr>
      <xdr:blipFill>
        <a:blip r:embed="rId19"/>
        <a:stretch/>
      </xdr:blipFill>
      <xdr:spPr>
        <a:xfrm>
          <a:off x="771120" y="4467240"/>
          <a:ext cx="290880" cy="26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22</xdr:row>
      <xdr:rowOff>28440</xdr:rowOff>
    </xdr:from>
    <xdr:to>
      <xdr:col>1</xdr:col>
      <xdr:colOff>407880</xdr:colOff>
      <xdr:row>23</xdr:row>
      <xdr:rowOff>4320</xdr:rowOff>
    </xdr:to>
    <xdr:pic>
      <xdr:nvPicPr>
        <xdr:cNvPr id="597" name="Imagem 37" descr=""/>
        <xdr:cNvPicPr/>
      </xdr:nvPicPr>
      <xdr:blipFill>
        <a:blip r:embed="rId20"/>
        <a:stretch/>
      </xdr:blipFill>
      <xdr:spPr>
        <a:xfrm>
          <a:off x="773280" y="6629400"/>
          <a:ext cx="379440" cy="3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26280</xdr:colOff>
      <xdr:row>7</xdr:row>
      <xdr:rowOff>19080</xdr:rowOff>
    </xdr:from>
    <xdr:to>
      <xdr:col>11</xdr:col>
      <xdr:colOff>317160</xdr:colOff>
      <xdr:row>7</xdr:row>
      <xdr:rowOff>285120</xdr:rowOff>
    </xdr:to>
    <xdr:pic>
      <xdr:nvPicPr>
        <xdr:cNvPr id="598" name="Imagem 38" descr=""/>
        <xdr:cNvPicPr/>
      </xdr:nvPicPr>
      <xdr:blipFill>
        <a:blip r:embed="rId21"/>
        <a:stretch/>
      </xdr:blipFill>
      <xdr:spPr>
        <a:xfrm>
          <a:off x="6625800" y="1895400"/>
          <a:ext cx="290880" cy="26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11</xdr:row>
      <xdr:rowOff>0</xdr:rowOff>
    </xdr:from>
    <xdr:to>
      <xdr:col>11</xdr:col>
      <xdr:colOff>363240</xdr:colOff>
      <xdr:row>11</xdr:row>
      <xdr:rowOff>317520</xdr:rowOff>
    </xdr:to>
    <xdr:pic>
      <xdr:nvPicPr>
        <xdr:cNvPr id="599" name="Imagem 39" descr=""/>
        <xdr:cNvPicPr/>
      </xdr:nvPicPr>
      <xdr:blipFill>
        <a:blip r:embed="rId22"/>
        <a:stretch/>
      </xdr:blipFill>
      <xdr:spPr>
        <a:xfrm>
          <a:off x="6608880" y="31622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40680</xdr:colOff>
      <xdr:row>8</xdr:row>
      <xdr:rowOff>104760</xdr:rowOff>
    </xdr:from>
    <xdr:to>
      <xdr:col>11</xdr:col>
      <xdr:colOff>327960</xdr:colOff>
      <xdr:row>8</xdr:row>
      <xdr:rowOff>241200</xdr:rowOff>
    </xdr:to>
    <xdr:pic>
      <xdr:nvPicPr>
        <xdr:cNvPr id="600" name="Imagem 40" descr=""/>
        <xdr:cNvPicPr/>
      </xdr:nvPicPr>
      <xdr:blipFill>
        <a:blip r:embed="rId23"/>
        <a:stretch/>
      </xdr:blipFill>
      <xdr:spPr>
        <a:xfrm>
          <a:off x="6640200" y="228600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65160</xdr:colOff>
      <xdr:row>9</xdr:row>
      <xdr:rowOff>95400</xdr:rowOff>
    </xdr:from>
    <xdr:to>
      <xdr:col>11</xdr:col>
      <xdr:colOff>325440</xdr:colOff>
      <xdr:row>9</xdr:row>
      <xdr:rowOff>283680</xdr:rowOff>
    </xdr:to>
    <xdr:pic>
      <xdr:nvPicPr>
        <xdr:cNvPr id="601" name="Imagem 41" descr=""/>
        <xdr:cNvPicPr/>
      </xdr:nvPicPr>
      <xdr:blipFill>
        <a:blip r:embed="rId24"/>
        <a:stretch/>
      </xdr:blipFill>
      <xdr:spPr>
        <a:xfrm>
          <a:off x="6664680" y="261000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10</xdr:row>
      <xdr:rowOff>28440</xdr:rowOff>
    </xdr:from>
    <xdr:to>
      <xdr:col>11</xdr:col>
      <xdr:colOff>318600</xdr:colOff>
      <xdr:row>10</xdr:row>
      <xdr:rowOff>237240</xdr:rowOff>
    </xdr:to>
    <xdr:pic>
      <xdr:nvPicPr>
        <xdr:cNvPr id="602" name="Imagem 42" descr=""/>
        <xdr:cNvPicPr/>
      </xdr:nvPicPr>
      <xdr:blipFill>
        <a:blip r:embed="rId25"/>
        <a:stretch/>
      </xdr:blipFill>
      <xdr:spPr>
        <a:xfrm>
          <a:off x="6649560" y="286704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12</xdr:row>
      <xdr:rowOff>0</xdr:rowOff>
    </xdr:from>
    <xdr:to>
      <xdr:col>11</xdr:col>
      <xdr:colOff>407880</xdr:colOff>
      <xdr:row>12</xdr:row>
      <xdr:rowOff>309240</xdr:rowOff>
    </xdr:to>
    <xdr:pic>
      <xdr:nvPicPr>
        <xdr:cNvPr id="603" name="Imagem 43" descr=""/>
        <xdr:cNvPicPr/>
      </xdr:nvPicPr>
      <xdr:blipFill>
        <a:blip r:embed="rId26"/>
        <a:stretch/>
      </xdr:blipFill>
      <xdr:spPr>
        <a:xfrm>
          <a:off x="6627960" y="3486240"/>
          <a:ext cx="379440" cy="3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29</xdr:row>
      <xdr:rowOff>28440</xdr:rowOff>
    </xdr:from>
    <xdr:to>
      <xdr:col>1</xdr:col>
      <xdr:colOff>380160</xdr:colOff>
      <xdr:row>30</xdr:row>
      <xdr:rowOff>27720</xdr:rowOff>
    </xdr:to>
    <xdr:pic>
      <xdr:nvPicPr>
        <xdr:cNvPr id="604" name="Imagem 1" descr=""/>
        <xdr:cNvPicPr/>
      </xdr:nvPicPr>
      <xdr:blipFill>
        <a:blip r:embed="rId1"/>
        <a:stretch/>
      </xdr:blipFill>
      <xdr:spPr>
        <a:xfrm>
          <a:off x="771120" y="8848440"/>
          <a:ext cx="353880" cy="29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29</xdr:row>
      <xdr:rowOff>285840</xdr:rowOff>
    </xdr:from>
    <xdr:to>
      <xdr:col>1</xdr:col>
      <xdr:colOff>370440</xdr:colOff>
      <xdr:row>30</xdr:row>
      <xdr:rowOff>246960</xdr:rowOff>
    </xdr:to>
    <xdr:pic>
      <xdr:nvPicPr>
        <xdr:cNvPr id="605" name="Imagem 2" descr=""/>
        <xdr:cNvPicPr/>
      </xdr:nvPicPr>
      <xdr:blipFill>
        <a:blip r:embed="rId2"/>
        <a:stretch/>
      </xdr:blipFill>
      <xdr:spPr>
        <a:xfrm>
          <a:off x="761400" y="9105840"/>
          <a:ext cx="353880" cy="25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21</xdr:row>
      <xdr:rowOff>82800</xdr:rowOff>
    </xdr:from>
    <xdr:to>
      <xdr:col>1</xdr:col>
      <xdr:colOff>389880</xdr:colOff>
      <xdr:row>21</xdr:row>
      <xdr:rowOff>327600</xdr:rowOff>
    </xdr:to>
    <xdr:pic>
      <xdr:nvPicPr>
        <xdr:cNvPr id="606" name="Imagem 3" descr=""/>
        <xdr:cNvPicPr/>
      </xdr:nvPicPr>
      <xdr:blipFill>
        <a:blip r:embed="rId3"/>
        <a:stretch/>
      </xdr:blipFill>
      <xdr:spPr>
        <a:xfrm>
          <a:off x="830520" y="63504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23</xdr:row>
      <xdr:rowOff>123840</xdr:rowOff>
    </xdr:from>
    <xdr:to>
      <xdr:col>1</xdr:col>
      <xdr:colOff>372960</xdr:colOff>
      <xdr:row>23</xdr:row>
      <xdr:rowOff>260280</xdr:rowOff>
    </xdr:to>
    <xdr:pic>
      <xdr:nvPicPr>
        <xdr:cNvPr id="607" name="Imagem 4" descr=""/>
        <xdr:cNvPicPr/>
      </xdr:nvPicPr>
      <xdr:blipFill>
        <a:blip r:embed="rId4"/>
        <a:stretch/>
      </xdr:blipFill>
      <xdr:spPr>
        <a:xfrm>
          <a:off x="830520" y="705816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105840</xdr:colOff>
      <xdr:row>24</xdr:row>
      <xdr:rowOff>98640</xdr:rowOff>
    </xdr:from>
    <xdr:to>
      <xdr:col>1</xdr:col>
      <xdr:colOff>389880</xdr:colOff>
      <xdr:row>24</xdr:row>
      <xdr:rowOff>304200</xdr:rowOff>
    </xdr:to>
    <xdr:pic>
      <xdr:nvPicPr>
        <xdr:cNvPr id="608" name="Imagem 8" descr=""/>
        <xdr:cNvPicPr/>
      </xdr:nvPicPr>
      <xdr:blipFill>
        <a:blip r:embed="rId5"/>
        <a:stretch/>
      </xdr:blipFill>
      <xdr:spPr>
        <a:xfrm>
          <a:off x="850680" y="7366320"/>
          <a:ext cx="284040" cy="2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57240</xdr:rowOff>
    </xdr:from>
    <xdr:to>
      <xdr:col>1</xdr:col>
      <xdr:colOff>316080</xdr:colOff>
      <xdr:row>25</xdr:row>
      <xdr:rowOff>266040</xdr:rowOff>
    </xdr:to>
    <xdr:pic>
      <xdr:nvPicPr>
        <xdr:cNvPr id="609" name="Imagem 13" descr=""/>
        <xdr:cNvPicPr/>
      </xdr:nvPicPr>
      <xdr:blipFill>
        <a:blip r:embed="rId6"/>
        <a:stretch/>
      </xdr:blipFill>
      <xdr:spPr>
        <a:xfrm>
          <a:off x="792360" y="765828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14</xdr:row>
      <xdr:rowOff>95400</xdr:rowOff>
    </xdr:from>
    <xdr:to>
      <xdr:col>1</xdr:col>
      <xdr:colOff>437400</xdr:colOff>
      <xdr:row>14</xdr:row>
      <xdr:rowOff>240480</xdr:rowOff>
    </xdr:to>
    <xdr:pic>
      <xdr:nvPicPr>
        <xdr:cNvPr id="610" name="Imagem 14" descr=""/>
        <xdr:cNvPicPr/>
      </xdr:nvPicPr>
      <xdr:blipFill>
        <a:blip r:embed="rId7"/>
        <a:stretch/>
      </xdr:blipFill>
      <xdr:spPr>
        <a:xfrm>
          <a:off x="868680" y="422928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10</xdr:row>
      <xdr:rowOff>95400</xdr:rowOff>
    </xdr:from>
    <xdr:to>
      <xdr:col>1</xdr:col>
      <xdr:colOff>475560</xdr:colOff>
      <xdr:row>10</xdr:row>
      <xdr:rowOff>222120</xdr:rowOff>
    </xdr:to>
    <xdr:pic>
      <xdr:nvPicPr>
        <xdr:cNvPr id="611" name="Imagem 15" descr=""/>
        <xdr:cNvPicPr/>
      </xdr:nvPicPr>
      <xdr:blipFill>
        <a:blip r:embed="rId8"/>
        <a:stretch/>
      </xdr:blipFill>
      <xdr:spPr>
        <a:xfrm>
          <a:off x="792360" y="2934000"/>
          <a:ext cx="428040" cy="1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19</xdr:row>
      <xdr:rowOff>66600</xdr:rowOff>
    </xdr:from>
    <xdr:to>
      <xdr:col>1</xdr:col>
      <xdr:colOff>285120</xdr:colOff>
      <xdr:row>19</xdr:row>
      <xdr:rowOff>256320</xdr:rowOff>
    </xdr:to>
    <xdr:pic>
      <xdr:nvPicPr>
        <xdr:cNvPr id="612" name="Imagem 19" descr=""/>
        <xdr:cNvPicPr/>
      </xdr:nvPicPr>
      <xdr:blipFill>
        <a:blip r:embed="rId9"/>
        <a:stretch/>
      </xdr:blipFill>
      <xdr:spPr>
        <a:xfrm>
          <a:off x="840240" y="5781600"/>
          <a:ext cx="18972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17</xdr:row>
      <xdr:rowOff>304920</xdr:rowOff>
    </xdr:from>
    <xdr:to>
      <xdr:col>1</xdr:col>
      <xdr:colOff>380520</xdr:colOff>
      <xdr:row>18</xdr:row>
      <xdr:rowOff>266040</xdr:rowOff>
    </xdr:to>
    <xdr:pic>
      <xdr:nvPicPr>
        <xdr:cNvPr id="613" name="Imagem 22" descr=""/>
        <xdr:cNvPicPr/>
      </xdr:nvPicPr>
      <xdr:blipFill>
        <a:blip r:embed="rId10"/>
        <a:stretch/>
      </xdr:blipFill>
      <xdr:spPr>
        <a:xfrm>
          <a:off x="840240" y="5410440"/>
          <a:ext cx="285120" cy="28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25</xdr:row>
      <xdr:rowOff>280800</xdr:rowOff>
    </xdr:from>
    <xdr:to>
      <xdr:col>1</xdr:col>
      <xdr:colOff>494640</xdr:colOff>
      <xdr:row>27</xdr:row>
      <xdr:rowOff>65880</xdr:rowOff>
    </xdr:to>
    <xdr:pic>
      <xdr:nvPicPr>
        <xdr:cNvPr id="614" name="Imagem 24" descr=""/>
        <xdr:cNvPicPr/>
      </xdr:nvPicPr>
      <xdr:blipFill>
        <a:blip r:embed="rId11"/>
        <a:stretch/>
      </xdr:blipFill>
      <xdr:spPr>
        <a:xfrm>
          <a:off x="825840" y="7881840"/>
          <a:ext cx="413640" cy="41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26</xdr:row>
      <xdr:rowOff>247680</xdr:rowOff>
    </xdr:from>
    <xdr:to>
      <xdr:col>1</xdr:col>
      <xdr:colOff>370440</xdr:colOff>
      <xdr:row>28</xdr:row>
      <xdr:rowOff>18360</xdr:rowOff>
    </xdr:to>
    <xdr:pic>
      <xdr:nvPicPr>
        <xdr:cNvPr id="615" name="Imagem 25" descr=""/>
        <xdr:cNvPicPr/>
      </xdr:nvPicPr>
      <xdr:blipFill>
        <a:blip r:embed="rId12"/>
        <a:stretch/>
      </xdr:blipFill>
      <xdr:spPr>
        <a:xfrm>
          <a:off x="754200" y="8182080"/>
          <a:ext cx="361080" cy="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27</xdr:row>
      <xdr:rowOff>257040</xdr:rowOff>
    </xdr:from>
    <xdr:to>
      <xdr:col>1</xdr:col>
      <xdr:colOff>432720</xdr:colOff>
      <xdr:row>29</xdr:row>
      <xdr:rowOff>63360</xdr:rowOff>
    </xdr:to>
    <xdr:pic>
      <xdr:nvPicPr>
        <xdr:cNvPr id="616" name="Imagem 26" descr=""/>
        <xdr:cNvPicPr/>
      </xdr:nvPicPr>
      <xdr:blipFill>
        <a:blip r:embed="rId13"/>
        <a:stretch/>
      </xdr:blipFill>
      <xdr:spPr>
        <a:xfrm>
          <a:off x="780480" y="8486640"/>
          <a:ext cx="397080" cy="39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266760</xdr:colOff>
      <xdr:row>5</xdr:row>
      <xdr:rowOff>47520</xdr:rowOff>
    </xdr:from>
    <xdr:to>
      <xdr:col>8</xdr:col>
      <xdr:colOff>542880</xdr:colOff>
      <xdr:row>8</xdr:row>
      <xdr:rowOff>281880</xdr:rowOff>
    </xdr:to>
    <xdr:pic>
      <xdr:nvPicPr>
        <xdr:cNvPr id="617" name="Imagem 44" descr="">
          <a:hlinkClick r:id="rId14"/>
        </xdr:cNvPr>
        <xdr:cNvPicPr/>
      </xdr:nvPicPr>
      <xdr:blipFill>
        <a:blip r:embed="rId15"/>
        <a:stretch/>
      </xdr:blipFill>
      <xdr:spPr>
        <a:xfrm>
          <a:off x="4349160" y="1295280"/>
          <a:ext cx="86040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11</xdr:row>
      <xdr:rowOff>76320</xdr:rowOff>
    </xdr:from>
    <xdr:to>
      <xdr:col>1</xdr:col>
      <xdr:colOff>451800</xdr:colOff>
      <xdr:row>11</xdr:row>
      <xdr:rowOff>264600</xdr:rowOff>
    </xdr:to>
    <xdr:pic>
      <xdr:nvPicPr>
        <xdr:cNvPr id="618" name="Imagem 45" descr=""/>
        <xdr:cNvPicPr/>
      </xdr:nvPicPr>
      <xdr:blipFill>
        <a:blip r:embed="rId16"/>
        <a:stretch/>
      </xdr:blipFill>
      <xdr:spPr>
        <a:xfrm>
          <a:off x="849600" y="323856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22</xdr:row>
      <xdr:rowOff>171360</xdr:rowOff>
    </xdr:from>
    <xdr:to>
      <xdr:col>1</xdr:col>
      <xdr:colOff>423720</xdr:colOff>
      <xdr:row>22</xdr:row>
      <xdr:rowOff>257040</xdr:rowOff>
    </xdr:to>
    <xdr:pic>
      <xdr:nvPicPr>
        <xdr:cNvPr id="619" name="Imagem 46" descr=""/>
        <xdr:cNvPicPr/>
      </xdr:nvPicPr>
      <xdr:blipFill>
        <a:blip r:embed="rId17"/>
        <a:stretch/>
      </xdr:blipFill>
      <xdr:spPr>
        <a:xfrm>
          <a:off x="783000" y="677232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20</xdr:row>
      <xdr:rowOff>19080</xdr:rowOff>
    </xdr:from>
    <xdr:to>
      <xdr:col>1</xdr:col>
      <xdr:colOff>399600</xdr:colOff>
      <xdr:row>20</xdr:row>
      <xdr:rowOff>266040</xdr:rowOff>
    </xdr:to>
    <xdr:pic>
      <xdr:nvPicPr>
        <xdr:cNvPr id="620" name="Imagem 47" descr=""/>
        <xdr:cNvPicPr/>
      </xdr:nvPicPr>
      <xdr:blipFill>
        <a:blip r:embed="rId18"/>
        <a:stretch/>
      </xdr:blipFill>
      <xdr:spPr>
        <a:xfrm>
          <a:off x="792360" y="6019920"/>
          <a:ext cx="352080" cy="24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16</xdr:row>
      <xdr:rowOff>9360</xdr:rowOff>
    </xdr:from>
    <xdr:to>
      <xdr:col>1</xdr:col>
      <xdr:colOff>389880</xdr:colOff>
      <xdr:row>16</xdr:row>
      <xdr:rowOff>303840</xdr:rowOff>
    </xdr:to>
    <xdr:pic>
      <xdr:nvPicPr>
        <xdr:cNvPr id="621" name="Imagem 48" descr=""/>
        <xdr:cNvPicPr/>
      </xdr:nvPicPr>
      <xdr:blipFill>
        <a:blip r:embed="rId19"/>
        <a:stretch/>
      </xdr:blipFill>
      <xdr:spPr>
        <a:xfrm>
          <a:off x="840240" y="4790880"/>
          <a:ext cx="294480" cy="29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114120</xdr:colOff>
      <xdr:row>17</xdr:row>
      <xdr:rowOff>9360</xdr:rowOff>
    </xdr:from>
    <xdr:to>
      <xdr:col>1</xdr:col>
      <xdr:colOff>406440</xdr:colOff>
      <xdr:row>17</xdr:row>
      <xdr:rowOff>301680</xdr:rowOff>
    </xdr:to>
    <xdr:pic>
      <xdr:nvPicPr>
        <xdr:cNvPr id="622" name="Imagem 49" descr=""/>
        <xdr:cNvPicPr/>
      </xdr:nvPicPr>
      <xdr:blipFill>
        <a:blip r:embed="rId20"/>
        <a:stretch/>
      </xdr:blipFill>
      <xdr:spPr>
        <a:xfrm>
          <a:off x="858960" y="5114880"/>
          <a:ext cx="292320" cy="29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14</xdr:row>
      <xdr:rowOff>304920</xdr:rowOff>
    </xdr:from>
    <xdr:to>
      <xdr:col>1</xdr:col>
      <xdr:colOff>484920</xdr:colOff>
      <xdr:row>16</xdr:row>
      <xdr:rowOff>56520</xdr:rowOff>
    </xdr:to>
    <xdr:pic>
      <xdr:nvPicPr>
        <xdr:cNvPr id="623" name="Imagem 50" descr=""/>
        <xdr:cNvPicPr/>
      </xdr:nvPicPr>
      <xdr:blipFill>
        <a:blip r:embed="rId21"/>
        <a:stretch/>
      </xdr:blipFill>
      <xdr:spPr>
        <a:xfrm>
          <a:off x="830520" y="4438800"/>
          <a:ext cx="39924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11</xdr:row>
      <xdr:rowOff>209520</xdr:rowOff>
    </xdr:from>
    <xdr:to>
      <xdr:col>2</xdr:col>
      <xdr:colOff>18360</xdr:colOff>
      <xdr:row>13</xdr:row>
      <xdr:rowOff>123120</xdr:rowOff>
    </xdr:to>
    <xdr:pic>
      <xdr:nvPicPr>
        <xdr:cNvPr id="624" name="Imagem 51" descr=""/>
        <xdr:cNvPicPr/>
      </xdr:nvPicPr>
      <xdr:blipFill>
        <a:blip r:embed="rId22"/>
        <a:stretch/>
      </xdr:blipFill>
      <xdr:spPr>
        <a:xfrm>
          <a:off x="811440" y="3371760"/>
          <a:ext cx="56340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12</xdr:row>
      <xdr:rowOff>233280</xdr:rowOff>
    </xdr:from>
    <xdr:to>
      <xdr:col>2</xdr:col>
      <xdr:colOff>18360</xdr:colOff>
      <xdr:row>14</xdr:row>
      <xdr:rowOff>158760</xdr:rowOff>
    </xdr:to>
    <xdr:pic>
      <xdr:nvPicPr>
        <xdr:cNvPr id="625" name="Imagem 52" descr=""/>
        <xdr:cNvPicPr/>
      </xdr:nvPicPr>
      <xdr:blipFill>
        <a:blip r:embed="rId23"/>
        <a:stretch/>
      </xdr:blipFill>
      <xdr:spPr>
        <a:xfrm>
          <a:off x="799560" y="3719520"/>
          <a:ext cx="575280" cy="57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26280</xdr:colOff>
      <xdr:row>21</xdr:row>
      <xdr:rowOff>9360</xdr:rowOff>
    </xdr:from>
    <xdr:to>
      <xdr:col>11</xdr:col>
      <xdr:colOff>380160</xdr:colOff>
      <xdr:row>21</xdr:row>
      <xdr:rowOff>326880</xdr:rowOff>
    </xdr:to>
    <xdr:pic>
      <xdr:nvPicPr>
        <xdr:cNvPr id="626" name="Imagem 53" descr=""/>
        <xdr:cNvPicPr/>
      </xdr:nvPicPr>
      <xdr:blipFill>
        <a:blip r:embed="rId24"/>
        <a:stretch/>
      </xdr:blipFill>
      <xdr:spPr>
        <a:xfrm>
          <a:off x="6625800" y="62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13</xdr:row>
      <xdr:rowOff>34920</xdr:rowOff>
    </xdr:from>
    <xdr:to>
      <xdr:col>11</xdr:col>
      <xdr:colOff>399600</xdr:colOff>
      <xdr:row>13</xdr:row>
      <xdr:rowOff>279720</xdr:rowOff>
    </xdr:to>
    <xdr:pic>
      <xdr:nvPicPr>
        <xdr:cNvPr id="627" name="Imagem 54" descr=""/>
        <xdr:cNvPicPr/>
      </xdr:nvPicPr>
      <xdr:blipFill>
        <a:blip r:embed="rId25"/>
        <a:stretch/>
      </xdr:blipFill>
      <xdr:spPr>
        <a:xfrm>
          <a:off x="6694920" y="38448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15</xdr:row>
      <xdr:rowOff>85680</xdr:rowOff>
    </xdr:from>
    <xdr:to>
      <xdr:col>11</xdr:col>
      <xdr:colOff>382680</xdr:colOff>
      <xdr:row>15</xdr:row>
      <xdr:rowOff>222120</xdr:rowOff>
    </xdr:to>
    <xdr:pic>
      <xdr:nvPicPr>
        <xdr:cNvPr id="628" name="Imagem 55" descr=""/>
        <xdr:cNvPicPr/>
      </xdr:nvPicPr>
      <xdr:blipFill>
        <a:blip r:embed="rId26"/>
        <a:stretch/>
      </xdr:blipFill>
      <xdr:spPr>
        <a:xfrm>
          <a:off x="6694920" y="454356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115200</xdr:colOff>
      <xdr:row>16</xdr:row>
      <xdr:rowOff>51120</xdr:rowOff>
    </xdr:from>
    <xdr:to>
      <xdr:col>11</xdr:col>
      <xdr:colOff>399240</xdr:colOff>
      <xdr:row>16</xdr:row>
      <xdr:rowOff>256680</xdr:rowOff>
    </xdr:to>
    <xdr:pic>
      <xdr:nvPicPr>
        <xdr:cNvPr id="629" name="Imagem 56" descr=""/>
        <xdr:cNvPicPr/>
      </xdr:nvPicPr>
      <xdr:blipFill>
        <a:blip r:embed="rId27"/>
        <a:stretch/>
      </xdr:blipFill>
      <xdr:spPr>
        <a:xfrm>
          <a:off x="6714720" y="4832640"/>
          <a:ext cx="284040" cy="2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17</xdr:row>
      <xdr:rowOff>38160</xdr:rowOff>
    </xdr:from>
    <xdr:to>
      <xdr:col>11</xdr:col>
      <xdr:colOff>325800</xdr:colOff>
      <xdr:row>17</xdr:row>
      <xdr:rowOff>246960</xdr:rowOff>
    </xdr:to>
    <xdr:pic>
      <xdr:nvPicPr>
        <xdr:cNvPr id="630" name="Imagem 57" descr=""/>
        <xdr:cNvPicPr/>
      </xdr:nvPicPr>
      <xdr:blipFill>
        <a:blip r:embed="rId28"/>
        <a:stretch/>
      </xdr:blipFill>
      <xdr:spPr>
        <a:xfrm>
          <a:off x="6656760" y="514368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6</xdr:row>
      <xdr:rowOff>76320</xdr:rowOff>
    </xdr:from>
    <xdr:to>
      <xdr:col>11</xdr:col>
      <xdr:colOff>408960</xdr:colOff>
      <xdr:row>6</xdr:row>
      <xdr:rowOff>221400</xdr:rowOff>
    </xdr:to>
    <xdr:pic>
      <xdr:nvPicPr>
        <xdr:cNvPr id="631" name="Imagem 58" descr=""/>
        <xdr:cNvPicPr/>
      </xdr:nvPicPr>
      <xdr:blipFill>
        <a:blip r:embed="rId29"/>
        <a:stretch/>
      </xdr:blipFill>
      <xdr:spPr>
        <a:xfrm>
          <a:off x="6694920" y="160992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2</xdr:row>
      <xdr:rowOff>95400</xdr:rowOff>
    </xdr:from>
    <xdr:to>
      <xdr:col>11</xdr:col>
      <xdr:colOff>485280</xdr:colOff>
      <xdr:row>2</xdr:row>
      <xdr:rowOff>222120</xdr:rowOff>
    </xdr:to>
    <xdr:pic>
      <xdr:nvPicPr>
        <xdr:cNvPr id="632" name="Imagem 59" descr=""/>
        <xdr:cNvPicPr/>
      </xdr:nvPicPr>
      <xdr:blipFill>
        <a:blip r:embed="rId30"/>
        <a:stretch/>
      </xdr:blipFill>
      <xdr:spPr>
        <a:xfrm>
          <a:off x="6656760" y="600120"/>
          <a:ext cx="428040" cy="1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11</xdr:row>
      <xdr:rowOff>57240</xdr:rowOff>
    </xdr:from>
    <xdr:to>
      <xdr:col>11</xdr:col>
      <xdr:colOff>294480</xdr:colOff>
      <xdr:row>11</xdr:row>
      <xdr:rowOff>246960</xdr:rowOff>
    </xdr:to>
    <xdr:pic>
      <xdr:nvPicPr>
        <xdr:cNvPr id="633" name="Imagem 60" descr=""/>
        <xdr:cNvPicPr/>
      </xdr:nvPicPr>
      <xdr:blipFill>
        <a:blip r:embed="rId31"/>
        <a:stretch/>
      </xdr:blipFill>
      <xdr:spPr>
        <a:xfrm>
          <a:off x="6704280" y="3219480"/>
          <a:ext cx="18972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10</xdr:row>
      <xdr:rowOff>0</xdr:rowOff>
    </xdr:from>
    <xdr:to>
      <xdr:col>11</xdr:col>
      <xdr:colOff>361440</xdr:colOff>
      <xdr:row>10</xdr:row>
      <xdr:rowOff>285120</xdr:rowOff>
    </xdr:to>
    <xdr:pic>
      <xdr:nvPicPr>
        <xdr:cNvPr id="634" name="Imagem 61" descr=""/>
        <xdr:cNvPicPr/>
      </xdr:nvPicPr>
      <xdr:blipFill>
        <a:blip r:embed="rId32"/>
        <a:stretch/>
      </xdr:blipFill>
      <xdr:spPr>
        <a:xfrm>
          <a:off x="6675840" y="2838600"/>
          <a:ext cx="28512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17</xdr:row>
      <xdr:rowOff>280800</xdr:rowOff>
    </xdr:from>
    <xdr:to>
      <xdr:col>11</xdr:col>
      <xdr:colOff>504000</xdr:colOff>
      <xdr:row>19</xdr:row>
      <xdr:rowOff>84960</xdr:rowOff>
    </xdr:to>
    <xdr:pic>
      <xdr:nvPicPr>
        <xdr:cNvPr id="635" name="Imagem 62" descr=""/>
        <xdr:cNvPicPr/>
      </xdr:nvPicPr>
      <xdr:blipFill>
        <a:blip r:embed="rId33"/>
        <a:stretch/>
      </xdr:blipFill>
      <xdr:spPr>
        <a:xfrm>
          <a:off x="6689880" y="5386320"/>
          <a:ext cx="413640" cy="41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18</xdr:row>
      <xdr:rowOff>247680</xdr:rowOff>
    </xdr:from>
    <xdr:to>
      <xdr:col>11</xdr:col>
      <xdr:colOff>380160</xdr:colOff>
      <xdr:row>20</xdr:row>
      <xdr:rowOff>37440</xdr:rowOff>
    </xdr:to>
    <xdr:pic>
      <xdr:nvPicPr>
        <xdr:cNvPr id="636" name="Imagem 63" descr=""/>
        <xdr:cNvPicPr/>
      </xdr:nvPicPr>
      <xdr:blipFill>
        <a:blip r:embed="rId34"/>
        <a:stretch/>
      </xdr:blipFill>
      <xdr:spPr>
        <a:xfrm>
          <a:off x="6618600" y="5676840"/>
          <a:ext cx="3610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19</xdr:row>
      <xdr:rowOff>219240</xdr:rowOff>
    </xdr:from>
    <xdr:to>
      <xdr:col>11</xdr:col>
      <xdr:colOff>442440</xdr:colOff>
      <xdr:row>21</xdr:row>
      <xdr:rowOff>63720</xdr:rowOff>
    </xdr:to>
    <xdr:pic>
      <xdr:nvPicPr>
        <xdr:cNvPr id="637" name="Imagem 64" descr=""/>
        <xdr:cNvPicPr/>
      </xdr:nvPicPr>
      <xdr:blipFill>
        <a:blip r:embed="rId35"/>
        <a:stretch/>
      </xdr:blipFill>
      <xdr:spPr>
        <a:xfrm>
          <a:off x="6644880" y="5934240"/>
          <a:ext cx="397080" cy="39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3</xdr:row>
      <xdr:rowOff>0</xdr:rowOff>
    </xdr:from>
    <xdr:to>
      <xdr:col>11</xdr:col>
      <xdr:colOff>438480</xdr:colOff>
      <xdr:row>3</xdr:row>
      <xdr:rowOff>227880</xdr:rowOff>
    </xdr:to>
    <xdr:pic>
      <xdr:nvPicPr>
        <xdr:cNvPr id="638" name="Imagem 65" descr=""/>
        <xdr:cNvPicPr/>
      </xdr:nvPicPr>
      <xdr:blipFill>
        <a:blip r:embed="rId36"/>
        <a:stretch/>
      </xdr:blipFill>
      <xdr:spPr>
        <a:xfrm>
          <a:off x="6618600" y="752400"/>
          <a:ext cx="41940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14</xdr:row>
      <xdr:rowOff>133200</xdr:rowOff>
    </xdr:from>
    <xdr:to>
      <xdr:col>11</xdr:col>
      <xdr:colOff>433080</xdr:colOff>
      <xdr:row>14</xdr:row>
      <xdr:rowOff>218880</xdr:rowOff>
    </xdr:to>
    <xdr:pic>
      <xdr:nvPicPr>
        <xdr:cNvPr id="639" name="Imagem 66" descr=""/>
        <xdr:cNvPicPr/>
      </xdr:nvPicPr>
      <xdr:blipFill>
        <a:blip r:embed="rId37"/>
        <a:stretch/>
      </xdr:blipFill>
      <xdr:spPr>
        <a:xfrm>
          <a:off x="6647040" y="426708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12</xdr:row>
      <xdr:rowOff>28440</xdr:rowOff>
    </xdr:from>
    <xdr:to>
      <xdr:col>11</xdr:col>
      <xdr:colOff>390240</xdr:colOff>
      <xdr:row>12</xdr:row>
      <xdr:rowOff>275400</xdr:rowOff>
    </xdr:to>
    <xdr:pic>
      <xdr:nvPicPr>
        <xdr:cNvPr id="640" name="Imagem 67" descr=""/>
        <xdr:cNvPicPr/>
      </xdr:nvPicPr>
      <xdr:blipFill>
        <a:blip r:embed="rId38"/>
        <a:stretch/>
      </xdr:blipFill>
      <xdr:spPr>
        <a:xfrm>
          <a:off x="6637680" y="3514680"/>
          <a:ext cx="352080" cy="24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142920</xdr:colOff>
      <xdr:row>8</xdr:row>
      <xdr:rowOff>85680</xdr:rowOff>
    </xdr:from>
    <xdr:to>
      <xdr:col>11</xdr:col>
      <xdr:colOff>323280</xdr:colOff>
      <xdr:row>8</xdr:row>
      <xdr:rowOff>266040</xdr:rowOff>
    </xdr:to>
    <xdr:pic>
      <xdr:nvPicPr>
        <xdr:cNvPr id="641" name="Imagem 68" descr=""/>
        <xdr:cNvPicPr/>
      </xdr:nvPicPr>
      <xdr:blipFill>
        <a:blip r:embed="rId39"/>
        <a:stretch/>
      </xdr:blipFill>
      <xdr:spPr>
        <a:xfrm>
          <a:off x="6742440" y="2266920"/>
          <a:ext cx="18036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9</xdr:row>
      <xdr:rowOff>28440</xdr:rowOff>
    </xdr:from>
    <xdr:to>
      <xdr:col>11</xdr:col>
      <xdr:colOff>285120</xdr:colOff>
      <xdr:row>9</xdr:row>
      <xdr:rowOff>237240</xdr:rowOff>
    </xdr:to>
    <xdr:pic>
      <xdr:nvPicPr>
        <xdr:cNvPr id="642" name="Imagem 69" descr=""/>
        <xdr:cNvPicPr/>
      </xdr:nvPicPr>
      <xdr:blipFill>
        <a:blip r:embed="rId40"/>
        <a:stretch/>
      </xdr:blipFill>
      <xdr:spPr>
        <a:xfrm>
          <a:off x="6675840" y="2543040"/>
          <a:ext cx="2088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6</xdr:row>
      <xdr:rowOff>257040</xdr:rowOff>
    </xdr:from>
    <xdr:to>
      <xdr:col>11</xdr:col>
      <xdr:colOff>446760</xdr:colOff>
      <xdr:row>8</xdr:row>
      <xdr:rowOff>8640</xdr:rowOff>
    </xdr:to>
    <xdr:pic>
      <xdr:nvPicPr>
        <xdr:cNvPr id="643" name="Imagem 70" descr=""/>
        <xdr:cNvPicPr/>
      </xdr:nvPicPr>
      <xdr:blipFill>
        <a:blip r:embed="rId41"/>
        <a:stretch/>
      </xdr:blipFill>
      <xdr:spPr>
        <a:xfrm>
          <a:off x="6647040" y="1790640"/>
          <a:ext cx="39924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85680</xdr:rowOff>
    </xdr:from>
    <xdr:to>
      <xdr:col>11</xdr:col>
      <xdr:colOff>437400</xdr:colOff>
      <xdr:row>5</xdr:row>
      <xdr:rowOff>151560</xdr:rowOff>
    </xdr:to>
    <xdr:pic>
      <xdr:nvPicPr>
        <xdr:cNvPr id="644" name="Imagem 71" descr=""/>
        <xdr:cNvPicPr/>
      </xdr:nvPicPr>
      <xdr:blipFill>
        <a:blip r:embed="rId42"/>
        <a:stretch/>
      </xdr:blipFill>
      <xdr:spPr>
        <a:xfrm>
          <a:off x="6637680" y="838080"/>
          <a:ext cx="39924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35640</xdr:colOff>
      <xdr:row>4</xdr:row>
      <xdr:rowOff>90360</xdr:rowOff>
    </xdr:from>
    <xdr:to>
      <xdr:col>11</xdr:col>
      <xdr:colOff>456480</xdr:colOff>
      <xdr:row>6</xdr:row>
      <xdr:rowOff>130320</xdr:rowOff>
    </xdr:to>
    <xdr:pic>
      <xdr:nvPicPr>
        <xdr:cNvPr id="645" name="Imagem 72" descr=""/>
        <xdr:cNvPicPr/>
      </xdr:nvPicPr>
      <xdr:blipFill>
        <a:blip r:embed="rId43"/>
        <a:stretch/>
      </xdr:blipFill>
      <xdr:spPr>
        <a:xfrm>
          <a:off x="6635160" y="1090440"/>
          <a:ext cx="420840" cy="57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73800</xdr:colOff>
      <xdr:row>28</xdr:row>
      <xdr:rowOff>9360</xdr:rowOff>
    </xdr:from>
    <xdr:to>
      <xdr:col>1</xdr:col>
      <xdr:colOff>427680</xdr:colOff>
      <xdr:row>29</xdr:row>
      <xdr:rowOff>31680</xdr:rowOff>
    </xdr:to>
    <xdr:pic>
      <xdr:nvPicPr>
        <xdr:cNvPr id="646" name="Imagem 1" descr=""/>
        <xdr:cNvPicPr/>
      </xdr:nvPicPr>
      <xdr:blipFill>
        <a:blip r:embed="rId1"/>
        <a:stretch/>
      </xdr:blipFill>
      <xdr:spPr>
        <a:xfrm>
          <a:off x="818640" y="85341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29</xdr:row>
      <xdr:rowOff>9360</xdr:rowOff>
    </xdr:from>
    <xdr:to>
      <xdr:col>1</xdr:col>
      <xdr:colOff>399240</xdr:colOff>
      <xdr:row>30</xdr:row>
      <xdr:rowOff>31680</xdr:rowOff>
    </xdr:to>
    <xdr:pic>
      <xdr:nvPicPr>
        <xdr:cNvPr id="647" name="Imagem 2" descr=""/>
        <xdr:cNvPicPr/>
      </xdr:nvPicPr>
      <xdr:blipFill>
        <a:blip r:embed="rId2"/>
        <a:stretch/>
      </xdr:blipFill>
      <xdr:spPr>
        <a:xfrm>
          <a:off x="790200" y="882936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24</xdr:row>
      <xdr:rowOff>44640</xdr:rowOff>
    </xdr:from>
    <xdr:to>
      <xdr:col>1</xdr:col>
      <xdr:colOff>380520</xdr:colOff>
      <xdr:row>24</xdr:row>
      <xdr:rowOff>289440</xdr:rowOff>
    </xdr:to>
    <xdr:pic>
      <xdr:nvPicPr>
        <xdr:cNvPr id="648" name="Imagem 3" descr=""/>
        <xdr:cNvPicPr/>
      </xdr:nvPicPr>
      <xdr:blipFill>
        <a:blip r:embed="rId3"/>
        <a:stretch/>
      </xdr:blipFill>
      <xdr:spPr>
        <a:xfrm>
          <a:off x="821160" y="731232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25</xdr:row>
      <xdr:rowOff>114480</xdr:rowOff>
    </xdr:from>
    <xdr:to>
      <xdr:col>1</xdr:col>
      <xdr:colOff>344520</xdr:colOff>
      <xdr:row>25</xdr:row>
      <xdr:rowOff>250920</xdr:rowOff>
    </xdr:to>
    <xdr:pic>
      <xdr:nvPicPr>
        <xdr:cNvPr id="649" name="Imagem 12" descr=""/>
        <xdr:cNvPicPr/>
      </xdr:nvPicPr>
      <xdr:blipFill>
        <a:blip r:embed="rId4"/>
        <a:stretch/>
      </xdr:blipFill>
      <xdr:spPr>
        <a:xfrm>
          <a:off x="802080" y="77155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30</xdr:row>
      <xdr:rowOff>37440</xdr:rowOff>
    </xdr:from>
    <xdr:to>
      <xdr:col>1</xdr:col>
      <xdr:colOff>332640</xdr:colOff>
      <xdr:row>30</xdr:row>
      <xdr:rowOff>275400</xdr:rowOff>
    </xdr:to>
    <xdr:pic>
      <xdr:nvPicPr>
        <xdr:cNvPr id="650" name="Imagem 17" descr=""/>
        <xdr:cNvPicPr/>
      </xdr:nvPicPr>
      <xdr:blipFill>
        <a:blip r:embed="rId5"/>
        <a:stretch/>
      </xdr:blipFill>
      <xdr:spPr>
        <a:xfrm>
          <a:off x="849600" y="915300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11880</xdr:colOff>
      <xdr:row>20</xdr:row>
      <xdr:rowOff>41400</xdr:rowOff>
    </xdr:from>
    <xdr:to>
      <xdr:col>11</xdr:col>
      <xdr:colOff>287640</xdr:colOff>
      <xdr:row>21</xdr:row>
      <xdr:rowOff>22320</xdr:rowOff>
    </xdr:to>
    <xdr:pic>
      <xdr:nvPicPr>
        <xdr:cNvPr id="651" name="Imagem 18" descr=""/>
        <xdr:cNvPicPr/>
      </xdr:nvPicPr>
      <xdr:blipFill>
        <a:blip r:embed="rId6"/>
        <a:stretch/>
      </xdr:blipFill>
      <xdr:spPr>
        <a:xfrm>
          <a:off x="6611400" y="604224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71640</xdr:colOff>
      <xdr:row>17</xdr:row>
      <xdr:rowOff>115920</xdr:rowOff>
    </xdr:from>
    <xdr:to>
      <xdr:col>11</xdr:col>
      <xdr:colOff>295560</xdr:colOff>
      <xdr:row>17</xdr:row>
      <xdr:rowOff>222120</xdr:rowOff>
    </xdr:to>
    <xdr:pic>
      <xdr:nvPicPr>
        <xdr:cNvPr id="652" name="Imagem 26" descr=""/>
        <xdr:cNvPicPr/>
      </xdr:nvPicPr>
      <xdr:blipFill>
        <a:blip r:embed="rId7"/>
        <a:stretch/>
      </xdr:blipFill>
      <xdr:spPr>
        <a:xfrm>
          <a:off x="6671160" y="5221440"/>
          <a:ext cx="223920" cy="10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57960</xdr:colOff>
      <xdr:row>26</xdr:row>
      <xdr:rowOff>51120</xdr:rowOff>
    </xdr:from>
    <xdr:to>
      <xdr:col>1</xdr:col>
      <xdr:colOff>342000</xdr:colOff>
      <xdr:row>26</xdr:row>
      <xdr:rowOff>256680</xdr:rowOff>
    </xdr:to>
    <xdr:pic>
      <xdr:nvPicPr>
        <xdr:cNvPr id="653" name="Imagem 27" descr=""/>
        <xdr:cNvPicPr/>
      </xdr:nvPicPr>
      <xdr:blipFill>
        <a:blip r:embed="rId8"/>
        <a:stretch/>
      </xdr:blipFill>
      <xdr:spPr>
        <a:xfrm>
          <a:off x="802800" y="7985520"/>
          <a:ext cx="284040" cy="2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14</xdr:row>
      <xdr:rowOff>52200</xdr:rowOff>
    </xdr:from>
    <xdr:to>
      <xdr:col>11</xdr:col>
      <xdr:colOff>282960</xdr:colOff>
      <xdr:row>14</xdr:row>
      <xdr:rowOff>227880</xdr:rowOff>
    </xdr:to>
    <xdr:pic>
      <xdr:nvPicPr>
        <xdr:cNvPr id="654" name="Imagem 30" descr=""/>
        <xdr:cNvPicPr/>
      </xdr:nvPicPr>
      <xdr:blipFill>
        <a:blip r:embed="rId9"/>
        <a:stretch/>
      </xdr:blipFill>
      <xdr:spPr>
        <a:xfrm>
          <a:off x="6656760" y="4186080"/>
          <a:ext cx="2257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21</xdr:row>
      <xdr:rowOff>80640</xdr:rowOff>
    </xdr:from>
    <xdr:to>
      <xdr:col>11</xdr:col>
      <xdr:colOff>239400</xdr:colOff>
      <xdr:row>21</xdr:row>
      <xdr:rowOff>266040</xdr:rowOff>
    </xdr:to>
    <xdr:pic>
      <xdr:nvPicPr>
        <xdr:cNvPr id="655" name="Imagem 31" descr=""/>
        <xdr:cNvPicPr/>
      </xdr:nvPicPr>
      <xdr:blipFill>
        <a:blip r:embed="rId10"/>
        <a:stretch/>
      </xdr:blipFill>
      <xdr:spPr>
        <a:xfrm>
          <a:off x="6661440" y="6348240"/>
          <a:ext cx="17748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16</xdr:row>
      <xdr:rowOff>47520</xdr:rowOff>
    </xdr:from>
    <xdr:to>
      <xdr:col>11</xdr:col>
      <xdr:colOff>408960</xdr:colOff>
      <xdr:row>16</xdr:row>
      <xdr:rowOff>292320</xdr:rowOff>
    </xdr:to>
    <xdr:pic>
      <xdr:nvPicPr>
        <xdr:cNvPr id="656" name="Imagem 32" descr=""/>
        <xdr:cNvPicPr/>
      </xdr:nvPicPr>
      <xdr:blipFill>
        <a:blip r:embed="rId11"/>
        <a:stretch/>
      </xdr:blipFill>
      <xdr:spPr>
        <a:xfrm>
          <a:off x="6704280" y="482904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66600</xdr:colOff>
      <xdr:row>5</xdr:row>
      <xdr:rowOff>76320</xdr:rowOff>
    </xdr:from>
    <xdr:to>
      <xdr:col>9</xdr:col>
      <xdr:colOff>240120</xdr:colOff>
      <xdr:row>8</xdr:row>
      <xdr:rowOff>246960</xdr:rowOff>
    </xdr:to>
    <xdr:pic>
      <xdr:nvPicPr>
        <xdr:cNvPr id="657" name="Imagem 33" descr="">
          <a:hlinkClick r:id="rId12"/>
        </xdr:cNvPr>
        <xdr:cNvPicPr/>
      </xdr:nvPicPr>
      <xdr:blipFill>
        <a:blip r:embed="rId13"/>
        <a:stretch/>
      </xdr:blipFill>
      <xdr:spPr>
        <a:xfrm>
          <a:off x="4149000" y="1324080"/>
          <a:ext cx="1301400" cy="11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27</xdr:row>
      <xdr:rowOff>47520</xdr:rowOff>
    </xdr:from>
    <xdr:to>
      <xdr:col>1</xdr:col>
      <xdr:colOff>316080</xdr:colOff>
      <xdr:row>27</xdr:row>
      <xdr:rowOff>256320</xdr:rowOff>
    </xdr:to>
    <xdr:pic>
      <xdr:nvPicPr>
        <xdr:cNvPr id="658" name="Imagem 34" descr=""/>
        <xdr:cNvPicPr/>
      </xdr:nvPicPr>
      <xdr:blipFill>
        <a:blip r:embed="rId14"/>
        <a:stretch/>
      </xdr:blipFill>
      <xdr:spPr>
        <a:xfrm>
          <a:off x="792360" y="827712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15</xdr:row>
      <xdr:rowOff>85680</xdr:rowOff>
    </xdr:from>
    <xdr:to>
      <xdr:col>1</xdr:col>
      <xdr:colOff>370800</xdr:colOff>
      <xdr:row>15</xdr:row>
      <xdr:rowOff>230760</xdr:rowOff>
    </xdr:to>
    <xdr:pic>
      <xdr:nvPicPr>
        <xdr:cNvPr id="659" name="Imagem 36" descr=""/>
        <xdr:cNvPicPr/>
      </xdr:nvPicPr>
      <xdr:blipFill>
        <a:blip r:embed="rId15"/>
        <a:stretch/>
      </xdr:blipFill>
      <xdr:spPr>
        <a:xfrm>
          <a:off x="802080" y="45435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10</xdr:row>
      <xdr:rowOff>95400</xdr:rowOff>
    </xdr:from>
    <xdr:to>
      <xdr:col>1</xdr:col>
      <xdr:colOff>475560</xdr:colOff>
      <xdr:row>10</xdr:row>
      <xdr:rowOff>222120</xdr:rowOff>
    </xdr:to>
    <xdr:pic>
      <xdr:nvPicPr>
        <xdr:cNvPr id="660" name="Imagem 37" descr=""/>
        <xdr:cNvPicPr/>
      </xdr:nvPicPr>
      <xdr:blipFill>
        <a:blip r:embed="rId16"/>
        <a:stretch/>
      </xdr:blipFill>
      <xdr:spPr>
        <a:xfrm>
          <a:off x="792360" y="2934000"/>
          <a:ext cx="428040" cy="1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11</xdr:row>
      <xdr:rowOff>123840</xdr:rowOff>
    </xdr:from>
    <xdr:to>
      <xdr:col>1</xdr:col>
      <xdr:colOff>484920</xdr:colOff>
      <xdr:row>11</xdr:row>
      <xdr:rowOff>228600</xdr:rowOff>
    </xdr:to>
    <xdr:pic>
      <xdr:nvPicPr>
        <xdr:cNvPr id="661" name="Imagem 38" descr=""/>
        <xdr:cNvPicPr/>
      </xdr:nvPicPr>
      <xdr:blipFill>
        <a:blip r:embed="rId17"/>
        <a:stretch/>
      </xdr:blipFill>
      <xdr:spPr>
        <a:xfrm>
          <a:off x="792360" y="3286080"/>
          <a:ext cx="437400" cy="10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17</xdr:row>
      <xdr:rowOff>143280</xdr:rowOff>
    </xdr:from>
    <xdr:to>
      <xdr:col>1</xdr:col>
      <xdr:colOff>475560</xdr:colOff>
      <xdr:row>17</xdr:row>
      <xdr:rowOff>218160</xdr:rowOff>
    </xdr:to>
    <xdr:pic>
      <xdr:nvPicPr>
        <xdr:cNvPr id="662" name="Imagem 39" descr=""/>
        <xdr:cNvPicPr/>
      </xdr:nvPicPr>
      <xdr:blipFill>
        <a:blip r:embed="rId18"/>
        <a:stretch/>
      </xdr:blipFill>
      <xdr:spPr>
        <a:xfrm>
          <a:off x="783000" y="5248800"/>
          <a:ext cx="437400" cy="7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16</xdr:row>
      <xdr:rowOff>96480</xdr:rowOff>
    </xdr:from>
    <xdr:to>
      <xdr:col>1</xdr:col>
      <xdr:colOff>389880</xdr:colOff>
      <xdr:row>16</xdr:row>
      <xdr:rowOff>228600</xdr:rowOff>
    </xdr:to>
    <xdr:pic>
      <xdr:nvPicPr>
        <xdr:cNvPr id="663" name="Imagem 40" descr=""/>
        <xdr:cNvPicPr/>
      </xdr:nvPicPr>
      <xdr:blipFill>
        <a:blip r:embed="rId19"/>
        <a:stretch/>
      </xdr:blipFill>
      <xdr:spPr>
        <a:xfrm>
          <a:off x="818640" y="4878000"/>
          <a:ext cx="316080" cy="13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12</xdr:row>
      <xdr:rowOff>57240</xdr:rowOff>
    </xdr:from>
    <xdr:to>
      <xdr:col>1</xdr:col>
      <xdr:colOff>266040</xdr:colOff>
      <xdr:row>12</xdr:row>
      <xdr:rowOff>246960</xdr:rowOff>
    </xdr:to>
    <xdr:pic>
      <xdr:nvPicPr>
        <xdr:cNvPr id="664" name="Imagem 41" descr=""/>
        <xdr:cNvPicPr/>
      </xdr:nvPicPr>
      <xdr:blipFill>
        <a:blip r:embed="rId20"/>
        <a:stretch/>
      </xdr:blipFill>
      <xdr:spPr>
        <a:xfrm>
          <a:off x="821160" y="3543480"/>
          <a:ext cx="18972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114480</xdr:rowOff>
    </xdr:from>
    <xdr:to>
      <xdr:col>2</xdr:col>
      <xdr:colOff>31680</xdr:colOff>
      <xdr:row>13</xdr:row>
      <xdr:rowOff>228240</xdr:rowOff>
    </xdr:to>
    <xdr:pic>
      <xdr:nvPicPr>
        <xdr:cNvPr id="665" name="Imagem 42" descr=""/>
        <xdr:cNvPicPr/>
      </xdr:nvPicPr>
      <xdr:blipFill>
        <a:blip r:embed="rId21"/>
        <a:stretch/>
      </xdr:blipFill>
      <xdr:spPr>
        <a:xfrm>
          <a:off x="821160" y="3924360"/>
          <a:ext cx="567000" cy="113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13</xdr:row>
      <xdr:rowOff>142920</xdr:rowOff>
    </xdr:from>
    <xdr:to>
      <xdr:col>2</xdr:col>
      <xdr:colOff>56520</xdr:colOff>
      <xdr:row>15</xdr:row>
      <xdr:rowOff>123120</xdr:rowOff>
    </xdr:to>
    <xdr:pic>
      <xdr:nvPicPr>
        <xdr:cNvPr id="666" name="Imagem 44" descr=""/>
        <xdr:cNvPicPr/>
      </xdr:nvPicPr>
      <xdr:blipFill>
        <a:blip r:embed="rId22"/>
        <a:stretch/>
      </xdr:blipFill>
      <xdr:spPr>
        <a:xfrm>
          <a:off x="783000" y="3952800"/>
          <a:ext cx="63000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0</xdr:rowOff>
    </xdr:from>
    <xdr:to>
      <xdr:col>1</xdr:col>
      <xdr:colOff>342360</xdr:colOff>
      <xdr:row>21</xdr:row>
      <xdr:rowOff>18360</xdr:rowOff>
    </xdr:to>
    <xdr:pic>
      <xdr:nvPicPr>
        <xdr:cNvPr id="667" name="Imagem 45" descr=""/>
        <xdr:cNvPicPr/>
      </xdr:nvPicPr>
      <xdr:blipFill>
        <a:blip r:embed="rId23"/>
        <a:stretch/>
      </xdr:blipFill>
      <xdr:spPr>
        <a:xfrm>
          <a:off x="802080" y="6000840"/>
          <a:ext cx="28512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18</xdr:row>
      <xdr:rowOff>276120</xdr:rowOff>
    </xdr:from>
    <xdr:to>
      <xdr:col>1</xdr:col>
      <xdr:colOff>356760</xdr:colOff>
      <xdr:row>19</xdr:row>
      <xdr:rowOff>282600</xdr:rowOff>
    </xdr:to>
    <xdr:pic>
      <xdr:nvPicPr>
        <xdr:cNvPr id="668" name="Imagem 46" descr=""/>
        <xdr:cNvPicPr/>
      </xdr:nvPicPr>
      <xdr:blipFill>
        <a:blip r:embed="rId24"/>
        <a:stretch/>
      </xdr:blipFill>
      <xdr:spPr>
        <a:xfrm>
          <a:off x="809280" y="5705280"/>
          <a:ext cx="292320" cy="29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22</xdr:row>
      <xdr:rowOff>309600</xdr:rowOff>
    </xdr:from>
    <xdr:to>
      <xdr:col>1</xdr:col>
      <xdr:colOff>475560</xdr:colOff>
      <xdr:row>24</xdr:row>
      <xdr:rowOff>56520</xdr:rowOff>
    </xdr:to>
    <xdr:pic>
      <xdr:nvPicPr>
        <xdr:cNvPr id="669" name="Imagem 47" descr=""/>
        <xdr:cNvPicPr/>
      </xdr:nvPicPr>
      <xdr:blipFill>
        <a:blip r:embed="rId25"/>
        <a:stretch/>
      </xdr:blipFill>
      <xdr:spPr>
        <a:xfrm>
          <a:off x="806760" y="6910560"/>
          <a:ext cx="413640" cy="41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20</xdr:row>
      <xdr:rowOff>257040</xdr:rowOff>
    </xdr:from>
    <xdr:to>
      <xdr:col>1</xdr:col>
      <xdr:colOff>370440</xdr:colOff>
      <xdr:row>22</xdr:row>
      <xdr:rowOff>18360</xdr:rowOff>
    </xdr:to>
    <xdr:pic>
      <xdr:nvPicPr>
        <xdr:cNvPr id="670" name="Imagem 48" descr=""/>
        <xdr:cNvPicPr/>
      </xdr:nvPicPr>
      <xdr:blipFill>
        <a:blip r:embed="rId26"/>
        <a:stretch/>
      </xdr:blipFill>
      <xdr:spPr>
        <a:xfrm>
          <a:off x="754200" y="6257880"/>
          <a:ext cx="3610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702360</xdr:colOff>
      <xdr:row>21</xdr:row>
      <xdr:rowOff>304920</xdr:rowOff>
    </xdr:from>
    <xdr:to>
      <xdr:col>1</xdr:col>
      <xdr:colOff>394560</xdr:colOff>
      <xdr:row>23</xdr:row>
      <xdr:rowOff>35280</xdr:rowOff>
    </xdr:to>
    <xdr:pic>
      <xdr:nvPicPr>
        <xdr:cNvPr id="671" name="Imagem 49" descr=""/>
        <xdr:cNvPicPr/>
      </xdr:nvPicPr>
      <xdr:blipFill>
        <a:blip r:embed="rId27"/>
        <a:stretch/>
      </xdr:blipFill>
      <xdr:spPr>
        <a:xfrm>
          <a:off x="702360" y="6572520"/>
          <a:ext cx="437040" cy="39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18</xdr:row>
      <xdr:rowOff>76320</xdr:rowOff>
    </xdr:from>
    <xdr:to>
      <xdr:col>1</xdr:col>
      <xdr:colOff>342000</xdr:colOff>
      <xdr:row>18</xdr:row>
      <xdr:rowOff>232920</xdr:rowOff>
    </xdr:to>
    <xdr:pic>
      <xdr:nvPicPr>
        <xdr:cNvPr id="672" name="Imagem 50" descr=""/>
        <xdr:cNvPicPr/>
      </xdr:nvPicPr>
      <xdr:blipFill>
        <a:blip r:embed="rId28"/>
        <a:stretch/>
      </xdr:blipFill>
      <xdr:spPr>
        <a:xfrm>
          <a:off x="811440" y="550548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597600</xdr:colOff>
      <xdr:row>13</xdr:row>
      <xdr:rowOff>304920</xdr:rowOff>
    </xdr:from>
    <xdr:to>
      <xdr:col>11</xdr:col>
      <xdr:colOff>394560</xdr:colOff>
      <xdr:row>15</xdr:row>
      <xdr:rowOff>54000</xdr:rowOff>
    </xdr:to>
    <xdr:pic>
      <xdr:nvPicPr>
        <xdr:cNvPr id="673" name="Imagem 51" descr=""/>
        <xdr:cNvPicPr/>
      </xdr:nvPicPr>
      <xdr:blipFill>
        <a:blip r:embed="rId29"/>
        <a:stretch/>
      </xdr:blipFill>
      <xdr:spPr>
        <a:xfrm>
          <a:off x="6562800" y="4114800"/>
          <a:ext cx="431280" cy="39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12</xdr:row>
      <xdr:rowOff>295200</xdr:rowOff>
    </xdr:from>
    <xdr:to>
      <xdr:col>11</xdr:col>
      <xdr:colOff>416160</xdr:colOff>
      <xdr:row>14</xdr:row>
      <xdr:rowOff>44280</xdr:rowOff>
    </xdr:to>
    <xdr:pic>
      <xdr:nvPicPr>
        <xdr:cNvPr id="674" name="Imagem 52" descr=""/>
        <xdr:cNvPicPr/>
      </xdr:nvPicPr>
      <xdr:blipFill>
        <a:blip r:embed="rId30"/>
        <a:stretch/>
      </xdr:blipFill>
      <xdr:spPr>
        <a:xfrm>
          <a:off x="6618600" y="3781440"/>
          <a:ext cx="397080" cy="39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2</xdr:row>
      <xdr:rowOff>76320</xdr:rowOff>
    </xdr:from>
    <xdr:to>
      <xdr:col>11</xdr:col>
      <xdr:colOff>485280</xdr:colOff>
      <xdr:row>2</xdr:row>
      <xdr:rowOff>203040</xdr:rowOff>
    </xdr:to>
    <xdr:pic>
      <xdr:nvPicPr>
        <xdr:cNvPr id="675" name="Imagem 53" descr=""/>
        <xdr:cNvPicPr/>
      </xdr:nvPicPr>
      <xdr:blipFill>
        <a:blip r:embed="rId31"/>
        <a:stretch/>
      </xdr:blipFill>
      <xdr:spPr>
        <a:xfrm>
          <a:off x="6656760" y="581040"/>
          <a:ext cx="428040" cy="1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76320</xdr:rowOff>
    </xdr:from>
    <xdr:to>
      <xdr:col>11</xdr:col>
      <xdr:colOff>523080</xdr:colOff>
      <xdr:row>3</xdr:row>
      <xdr:rowOff>181080</xdr:rowOff>
    </xdr:to>
    <xdr:pic>
      <xdr:nvPicPr>
        <xdr:cNvPr id="676" name="Imagem 54" descr=""/>
        <xdr:cNvPicPr/>
      </xdr:nvPicPr>
      <xdr:blipFill>
        <a:blip r:embed="rId32"/>
        <a:stretch/>
      </xdr:blipFill>
      <xdr:spPr>
        <a:xfrm>
          <a:off x="6685200" y="828720"/>
          <a:ext cx="437400" cy="10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4</xdr:row>
      <xdr:rowOff>38160</xdr:rowOff>
    </xdr:from>
    <xdr:to>
      <xdr:col>11</xdr:col>
      <xdr:colOff>275400</xdr:colOff>
      <xdr:row>4</xdr:row>
      <xdr:rowOff>227880</xdr:rowOff>
    </xdr:to>
    <xdr:pic>
      <xdr:nvPicPr>
        <xdr:cNvPr id="677" name="Imagem 55" descr=""/>
        <xdr:cNvPicPr/>
      </xdr:nvPicPr>
      <xdr:blipFill>
        <a:blip r:embed="rId33"/>
        <a:stretch/>
      </xdr:blipFill>
      <xdr:spPr>
        <a:xfrm>
          <a:off x="6685200" y="1038240"/>
          <a:ext cx="18972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142920</xdr:rowOff>
    </xdr:from>
    <xdr:to>
      <xdr:col>11</xdr:col>
      <xdr:colOff>418320</xdr:colOff>
      <xdr:row>7</xdr:row>
      <xdr:rowOff>142200</xdr:rowOff>
    </xdr:to>
    <xdr:pic>
      <xdr:nvPicPr>
        <xdr:cNvPr id="678" name="Imagem 56" descr=""/>
        <xdr:cNvPicPr/>
      </xdr:nvPicPr>
      <xdr:blipFill>
        <a:blip r:embed="rId34"/>
        <a:stretch/>
      </xdr:blipFill>
      <xdr:spPr>
        <a:xfrm>
          <a:off x="6637680" y="1390680"/>
          <a:ext cx="380160" cy="62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7</xdr:row>
      <xdr:rowOff>85680</xdr:rowOff>
    </xdr:from>
    <xdr:to>
      <xdr:col>11</xdr:col>
      <xdr:colOff>389880</xdr:colOff>
      <xdr:row>7</xdr:row>
      <xdr:rowOff>230760</xdr:rowOff>
    </xdr:to>
    <xdr:pic>
      <xdr:nvPicPr>
        <xdr:cNvPr id="679" name="Imagem 57" descr=""/>
        <xdr:cNvPicPr/>
      </xdr:nvPicPr>
      <xdr:blipFill>
        <a:blip r:embed="rId35"/>
        <a:stretch/>
      </xdr:blipFill>
      <xdr:spPr>
        <a:xfrm>
          <a:off x="6675840" y="19620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9</xdr:row>
      <xdr:rowOff>153000</xdr:rowOff>
    </xdr:from>
    <xdr:to>
      <xdr:col>11</xdr:col>
      <xdr:colOff>494640</xdr:colOff>
      <xdr:row>9</xdr:row>
      <xdr:rowOff>227880</xdr:rowOff>
    </xdr:to>
    <xdr:pic>
      <xdr:nvPicPr>
        <xdr:cNvPr id="680" name="Imagem 58" descr=""/>
        <xdr:cNvPicPr/>
      </xdr:nvPicPr>
      <xdr:blipFill>
        <a:blip r:embed="rId36"/>
        <a:stretch/>
      </xdr:blipFill>
      <xdr:spPr>
        <a:xfrm>
          <a:off x="6656760" y="2667600"/>
          <a:ext cx="437400" cy="7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92880</xdr:colOff>
      <xdr:row>8</xdr:row>
      <xdr:rowOff>115560</xdr:rowOff>
    </xdr:from>
    <xdr:to>
      <xdr:col>11</xdr:col>
      <xdr:colOff>408960</xdr:colOff>
      <xdr:row>8</xdr:row>
      <xdr:rowOff>247680</xdr:rowOff>
    </xdr:to>
    <xdr:pic>
      <xdr:nvPicPr>
        <xdr:cNvPr id="681" name="Imagem 59" descr=""/>
        <xdr:cNvPicPr/>
      </xdr:nvPicPr>
      <xdr:blipFill>
        <a:blip r:embed="rId37"/>
        <a:stretch/>
      </xdr:blipFill>
      <xdr:spPr>
        <a:xfrm>
          <a:off x="6692400" y="2296800"/>
          <a:ext cx="316080" cy="13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10</xdr:row>
      <xdr:rowOff>85680</xdr:rowOff>
    </xdr:from>
    <xdr:to>
      <xdr:col>11</xdr:col>
      <xdr:colOff>361080</xdr:colOff>
      <xdr:row>10</xdr:row>
      <xdr:rowOff>242280</xdr:rowOff>
    </xdr:to>
    <xdr:pic>
      <xdr:nvPicPr>
        <xdr:cNvPr id="682" name="Imagem 60" descr=""/>
        <xdr:cNvPicPr/>
      </xdr:nvPicPr>
      <xdr:blipFill>
        <a:blip r:embed="rId38"/>
        <a:stretch/>
      </xdr:blipFill>
      <xdr:spPr>
        <a:xfrm>
          <a:off x="6685200" y="292428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11</xdr:row>
      <xdr:rowOff>314280</xdr:rowOff>
    </xdr:from>
    <xdr:to>
      <xdr:col>11</xdr:col>
      <xdr:colOff>361440</xdr:colOff>
      <xdr:row>12</xdr:row>
      <xdr:rowOff>275400</xdr:rowOff>
    </xdr:to>
    <xdr:pic>
      <xdr:nvPicPr>
        <xdr:cNvPr id="683" name="Imagem 61" descr=""/>
        <xdr:cNvPicPr/>
      </xdr:nvPicPr>
      <xdr:blipFill>
        <a:blip r:embed="rId39"/>
        <a:stretch/>
      </xdr:blipFill>
      <xdr:spPr>
        <a:xfrm>
          <a:off x="6675840" y="3476520"/>
          <a:ext cx="28512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11</xdr:row>
      <xdr:rowOff>19080</xdr:rowOff>
    </xdr:from>
    <xdr:to>
      <xdr:col>11</xdr:col>
      <xdr:colOff>375480</xdr:colOff>
      <xdr:row>11</xdr:row>
      <xdr:rowOff>311400</xdr:rowOff>
    </xdr:to>
    <xdr:pic>
      <xdr:nvPicPr>
        <xdr:cNvPr id="684" name="Imagem 62" descr=""/>
        <xdr:cNvPicPr/>
      </xdr:nvPicPr>
      <xdr:blipFill>
        <a:blip r:embed="rId40"/>
        <a:stretch/>
      </xdr:blipFill>
      <xdr:spPr>
        <a:xfrm>
          <a:off x="6682680" y="3181320"/>
          <a:ext cx="292320" cy="29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14</xdr:row>
      <xdr:rowOff>290520</xdr:rowOff>
    </xdr:from>
    <xdr:to>
      <xdr:col>11</xdr:col>
      <xdr:colOff>475560</xdr:colOff>
      <xdr:row>16</xdr:row>
      <xdr:rowOff>56520</xdr:rowOff>
    </xdr:to>
    <xdr:pic>
      <xdr:nvPicPr>
        <xdr:cNvPr id="685" name="Imagem 63" descr=""/>
        <xdr:cNvPicPr/>
      </xdr:nvPicPr>
      <xdr:blipFill>
        <a:blip r:embed="rId41"/>
        <a:stretch/>
      </xdr:blipFill>
      <xdr:spPr>
        <a:xfrm>
          <a:off x="6661440" y="4424400"/>
          <a:ext cx="413640" cy="41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86760</xdr:colOff>
      <xdr:row>18</xdr:row>
      <xdr:rowOff>51120</xdr:rowOff>
    </xdr:from>
    <xdr:to>
      <xdr:col>11</xdr:col>
      <xdr:colOff>370800</xdr:colOff>
      <xdr:row>18</xdr:row>
      <xdr:rowOff>256680</xdr:rowOff>
    </xdr:to>
    <xdr:pic>
      <xdr:nvPicPr>
        <xdr:cNvPr id="686" name="Imagem 64" descr=""/>
        <xdr:cNvPicPr/>
      </xdr:nvPicPr>
      <xdr:blipFill>
        <a:blip r:embed="rId42"/>
        <a:stretch/>
      </xdr:blipFill>
      <xdr:spPr>
        <a:xfrm>
          <a:off x="6686280" y="5480280"/>
          <a:ext cx="284040" cy="2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19</xdr:row>
      <xdr:rowOff>57240</xdr:rowOff>
    </xdr:from>
    <xdr:to>
      <xdr:col>11</xdr:col>
      <xdr:colOff>344880</xdr:colOff>
      <xdr:row>19</xdr:row>
      <xdr:rowOff>266040</xdr:rowOff>
    </xdr:to>
    <xdr:pic>
      <xdr:nvPicPr>
        <xdr:cNvPr id="687" name="Imagem 65" descr=""/>
        <xdr:cNvPicPr/>
      </xdr:nvPicPr>
      <xdr:blipFill>
        <a:blip r:embed="rId43"/>
        <a:stretch/>
      </xdr:blipFill>
      <xdr:spPr>
        <a:xfrm>
          <a:off x="6675840" y="577224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5</xdr:row>
      <xdr:rowOff>153720</xdr:rowOff>
    </xdr:from>
    <xdr:to>
      <xdr:col>11</xdr:col>
      <xdr:colOff>322920</xdr:colOff>
      <xdr:row>5</xdr:row>
      <xdr:rowOff>208800</xdr:rowOff>
    </xdr:to>
    <xdr:pic>
      <xdr:nvPicPr>
        <xdr:cNvPr id="688" name="Imagem 66" descr=""/>
        <xdr:cNvPicPr/>
      </xdr:nvPicPr>
      <xdr:blipFill>
        <a:blip r:embed="rId44"/>
        <a:stretch/>
      </xdr:blipFill>
      <xdr:spPr>
        <a:xfrm>
          <a:off x="6647040" y="1401480"/>
          <a:ext cx="275400" cy="5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689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690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691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692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693" name="Imagem 7" descr=""/>
        <xdr:cNvPicPr/>
      </xdr:nvPicPr>
      <xdr:blipFill>
        <a:blip r:embed="rId5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694" name="Imagem 15" descr=""/>
        <xdr:cNvPicPr/>
      </xdr:nvPicPr>
      <xdr:blipFill>
        <a:blip r:embed="rId6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695" name="Imagem 16" descr=""/>
        <xdr:cNvPicPr/>
      </xdr:nvPicPr>
      <xdr:blipFill>
        <a:blip r:embed="rId7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696" name="Imagem 17" descr=""/>
        <xdr:cNvPicPr/>
      </xdr:nvPicPr>
      <xdr:blipFill>
        <a:blip r:embed="rId8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697" name="Imagem 18" descr=""/>
        <xdr:cNvPicPr/>
      </xdr:nvPicPr>
      <xdr:blipFill>
        <a:blip r:embed="rId9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13</xdr:row>
      <xdr:rowOff>76320</xdr:rowOff>
    </xdr:from>
    <xdr:to>
      <xdr:col>1</xdr:col>
      <xdr:colOff>448560</xdr:colOff>
      <xdr:row>13</xdr:row>
      <xdr:rowOff>238320</xdr:rowOff>
    </xdr:to>
    <xdr:pic>
      <xdr:nvPicPr>
        <xdr:cNvPr id="698" name="Imagem 19" descr=""/>
        <xdr:cNvPicPr/>
      </xdr:nvPicPr>
      <xdr:blipFill>
        <a:blip r:embed="rId10"/>
        <a:stretch/>
      </xdr:blipFill>
      <xdr:spPr>
        <a:xfrm>
          <a:off x="797040" y="388620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699" name="Imagem 20" descr=""/>
        <xdr:cNvPicPr/>
      </xdr:nvPicPr>
      <xdr:blipFill>
        <a:blip r:embed="rId11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700" name="Imagem 21" descr=""/>
        <xdr:cNvPicPr/>
      </xdr:nvPicPr>
      <xdr:blipFill>
        <a:blip r:embed="rId12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52200</xdr:colOff>
      <xdr:row>5</xdr:row>
      <xdr:rowOff>66600</xdr:rowOff>
    </xdr:from>
    <xdr:to>
      <xdr:col>11</xdr:col>
      <xdr:colOff>448560</xdr:colOff>
      <xdr:row>5</xdr:row>
      <xdr:rowOff>228600</xdr:rowOff>
    </xdr:to>
    <xdr:pic>
      <xdr:nvPicPr>
        <xdr:cNvPr id="701" name="Imagem 22" descr=""/>
        <xdr:cNvPicPr/>
      </xdr:nvPicPr>
      <xdr:blipFill>
        <a:blip r:embed="rId13"/>
        <a:stretch/>
      </xdr:blipFill>
      <xdr:spPr>
        <a:xfrm>
          <a:off x="6651720" y="131436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263520</xdr:rowOff>
    </xdr:from>
    <xdr:to>
      <xdr:col>1</xdr:col>
      <xdr:colOff>361440</xdr:colOff>
      <xdr:row>22</xdr:row>
      <xdr:rowOff>22680</xdr:rowOff>
    </xdr:to>
    <xdr:pic>
      <xdr:nvPicPr>
        <xdr:cNvPr id="702" name="Imagem 23" descr=""/>
        <xdr:cNvPicPr/>
      </xdr:nvPicPr>
      <xdr:blipFill>
        <a:blip r:embed="rId14"/>
        <a:stretch/>
      </xdr:blipFill>
      <xdr:spPr>
        <a:xfrm>
          <a:off x="802080" y="626436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12</xdr:row>
      <xdr:rowOff>44640</xdr:rowOff>
    </xdr:from>
    <xdr:to>
      <xdr:col>11</xdr:col>
      <xdr:colOff>370800</xdr:colOff>
      <xdr:row>12</xdr:row>
      <xdr:rowOff>289440</xdr:rowOff>
    </xdr:to>
    <xdr:pic>
      <xdr:nvPicPr>
        <xdr:cNvPr id="703" name="Imagem 24" descr=""/>
        <xdr:cNvPicPr/>
      </xdr:nvPicPr>
      <xdr:blipFill>
        <a:blip r:embed="rId15"/>
        <a:stretch/>
      </xdr:blipFill>
      <xdr:spPr>
        <a:xfrm>
          <a:off x="6666120" y="3530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190440</xdr:colOff>
      <xdr:row>5</xdr:row>
      <xdr:rowOff>25920</xdr:rowOff>
    </xdr:from>
    <xdr:to>
      <xdr:col>9</xdr:col>
      <xdr:colOff>434520</xdr:colOff>
      <xdr:row>8</xdr:row>
      <xdr:rowOff>322920</xdr:rowOff>
    </xdr:to>
    <xdr:pic>
      <xdr:nvPicPr>
        <xdr:cNvPr id="704" name="Imagem 25" descr="">
          <a:hlinkClick r:id="rId16"/>
        </xdr:cNvPr>
        <xdr:cNvPicPr/>
      </xdr:nvPicPr>
      <xdr:blipFill>
        <a:blip r:embed="rId17"/>
        <a:stretch/>
      </xdr:blipFill>
      <xdr:spPr>
        <a:xfrm>
          <a:off x="3870360" y="1273680"/>
          <a:ext cx="1774440" cy="1230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17</xdr:row>
      <xdr:rowOff>0</xdr:rowOff>
    </xdr:from>
    <xdr:to>
      <xdr:col>1</xdr:col>
      <xdr:colOff>396360</xdr:colOff>
      <xdr:row>17</xdr:row>
      <xdr:rowOff>322920</xdr:rowOff>
    </xdr:to>
    <xdr:pic>
      <xdr:nvPicPr>
        <xdr:cNvPr id="705" name="Imagem 26" descr=""/>
        <xdr:cNvPicPr/>
      </xdr:nvPicPr>
      <xdr:blipFill>
        <a:blip r:embed="rId18"/>
        <a:stretch/>
      </xdr:blipFill>
      <xdr:spPr>
        <a:xfrm>
          <a:off x="783000" y="5105520"/>
          <a:ext cx="35820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9</xdr:row>
      <xdr:rowOff>28440</xdr:rowOff>
    </xdr:from>
    <xdr:to>
      <xdr:col>11</xdr:col>
      <xdr:colOff>396360</xdr:colOff>
      <xdr:row>10</xdr:row>
      <xdr:rowOff>27720</xdr:rowOff>
    </xdr:to>
    <xdr:pic>
      <xdr:nvPicPr>
        <xdr:cNvPr id="706" name="Imagem 27" descr=""/>
        <xdr:cNvPicPr/>
      </xdr:nvPicPr>
      <xdr:blipFill>
        <a:blip r:embed="rId19"/>
        <a:stretch/>
      </xdr:blipFill>
      <xdr:spPr>
        <a:xfrm>
          <a:off x="6637680" y="2543040"/>
          <a:ext cx="35820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2</xdr:row>
      <xdr:rowOff>71640</xdr:rowOff>
    </xdr:from>
    <xdr:to>
      <xdr:col>11</xdr:col>
      <xdr:colOff>513360</xdr:colOff>
      <xdr:row>2</xdr:row>
      <xdr:rowOff>184680</xdr:rowOff>
    </xdr:to>
    <xdr:pic>
      <xdr:nvPicPr>
        <xdr:cNvPr id="707" name="Imagem 28" descr=""/>
        <xdr:cNvPicPr/>
      </xdr:nvPicPr>
      <xdr:blipFill>
        <a:blip r:embed="rId20"/>
        <a:stretch/>
      </xdr:blipFill>
      <xdr:spPr>
        <a:xfrm>
          <a:off x="6627960" y="576360"/>
          <a:ext cx="484920" cy="11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3</xdr:row>
      <xdr:rowOff>51480</xdr:rowOff>
    </xdr:from>
    <xdr:to>
      <xdr:col>11</xdr:col>
      <xdr:colOff>523440</xdr:colOff>
      <xdr:row>3</xdr:row>
      <xdr:rowOff>210600</xdr:rowOff>
    </xdr:to>
    <xdr:pic>
      <xdr:nvPicPr>
        <xdr:cNvPr id="708" name="Imagem 29" descr=""/>
        <xdr:cNvPicPr/>
      </xdr:nvPicPr>
      <xdr:blipFill>
        <a:blip r:embed="rId21"/>
        <a:stretch/>
      </xdr:blipFill>
      <xdr:spPr>
        <a:xfrm>
          <a:off x="6644880" y="803880"/>
          <a:ext cx="478080" cy="15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4680</xdr:colOff>
      <xdr:row>4</xdr:row>
      <xdr:rowOff>70200</xdr:rowOff>
    </xdr:from>
    <xdr:to>
      <xdr:col>11</xdr:col>
      <xdr:colOff>551520</xdr:colOff>
      <xdr:row>4</xdr:row>
      <xdr:rowOff>170280</xdr:rowOff>
    </xdr:to>
    <xdr:pic>
      <xdr:nvPicPr>
        <xdr:cNvPr id="709" name="Imagem 30" descr=""/>
        <xdr:cNvPicPr/>
      </xdr:nvPicPr>
      <xdr:blipFill>
        <a:blip r:embed="rId22"/>
        <a:stretch/>
      </xdr:blipFill>
      <xdr:spPr>
        <a:xfrm>
          <a:off x="6604200" y="1070280"/>
          <a:ext cx="546840" cy="10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10</xdr:row>
      <xdr:rowOff>133200</xdr:rowOff>
    </xdr:from>
    <xdr:to>
      <xdr:col>1</xdr:col>
      <xdr:colOff>585000</xdr:colOff>
      <xdr:row>10</xdr:row>
      <xdr:rowOff>246240</xdr:rowOff>
    </xdr:to>
    <xdr:pic>
      <xdr:nvPicPr>
        <xdr:cNvPr id="710" name="Imagem 31" descr=""/>
        <xdr:cNvPicPr/>
      </xdr:nvPicPr>
      <xdr:blipFill>
        <a:blip r:embed="rId23"/>
        <a:stretch/>
      </xdr:blipFill>
      <xdr:spPr>
        <a:xfrm>
          <a:off x="844920" y="2971800"/>
          <a:ext cx="484920" cy="11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107280</xdr:colOff>
      <xdr:row>11</xdr:row>
      <xdr:rowOff>65880</xdr:rowOff>
    </xdr:from>
    <xdr:to>
      <xdr:col>1</xdr:col>
      <xdr:colOff>585360</xdr:colOff>
      <xdr:row>11</xdr:row>
      <xdr:rowOff>225000</xdr:rowOff>
    </xdr:to>
    <xdr:pic>
      <xdr:nvPicPr>
        <xdr:cNvPr id="711" name="Imagem 32" descr=""/>
        <xdr:cNvPicPr/>
      </xdr:nvPicPr>
      <xdr:blipFill>
        <a:blip r:embed="rId24"/>
        <a:stretch/>
      </xdr:blipFill>
      <xdr:spPr>
        <a:xfrm>
          <a:off x="852120" y="3228120"/>
          <a:ext cx="478080" cy="15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12</xdr:row>
      <xdr:rowOff>113040</xdr:rowOff>
    </xdr:from>
    <xdr:to>
      <xdr:col>2</xdr:col>
      <xdr:colOff>3960</xdr:colOff>
      <xdr:row>12</xdr:row>
      <xdr:rowOff>213120</xdr:rowOff>
    </xdr:to>
    <xdr:pic>
      <xdr:nvPicPr>
        <xdr:cNvPr id="712" name="Imagem 33" descr=""/>
        <xdr:cNvPicPr/>
      </xdr:nvPicPr>
      <xdr:blipFill>
        <a:blip r:embed="rId25"/>
        <a:stretch/>
      </xdr:blipFill>
      <xdr:spPr>
        <a:xfrm>
          <a:off x="811440" y="3599280"/>
          <a:ext cx="549000" cy="10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10</xdr:row>
      <xdr:rowOff>42480</xdr:rowOff>
    </xdr:from>
    <xdr:to>
      <xdr:col>1</xdr:col>
      <xdr:colOff>479880</xdr:colOff>
      <xdr:row>10</xdr:row>
      <xdr:rowOff>256320</xdr:rowOff>
    </xdr:to>
    <xdr:pic>
      <xdr:nvPicPr>
        <xdr:cNvPr id="36" name="Imagem 3" descr=""/>
        <xdr:cNvPicPr/>
      </xdr:nvPicPr>
      <xdr:blipFill>
        <a:blip r:embed="rId1"/>
        <a:stretch/>
      </xdr:blipFill>
      <xdr:spPr>
        <a:xfrm>
          <a:off x="782280" y="288108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17</xdr:row>
      <xdr:rowOff>38160</xdr:rowOff>
    </xdr:from>
    <xdr:to>
      <xdr:col>1</xdr:col>
      <xdr:colOff>509760</xdr:colOff>
      <xdr:row>17</xdr:row>
      <xdr:rowOff>313920</xdr:rowOff>
    </xdr:to>
    <xdr:pic>
      <xdr:nvPicPr>
        <xdr:cNvPr id="37" name="Imagem 5" descr=""/>
        <xdr:cNvPicPr/>
      </xdr:nvPicPr>
      <xdr:blipFill>
        <a:blip r:embed="rId2"/>
        <a:stretch/>
      </xdr:blipFill>
      <xdr:spPr>
        <a:xfrm>
          <a:off x="792000" y="514368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19</xdr:row>
      <xdr:rowOff>19080</xdr:rowOff>
    </xdr:from>
    <xdr:to>
      <xdr:col>1</xdr:col>
      <xdr:colOff>263520</xdr:colOff>
      <xdr:row>19</xdr:row>
      <xdr:rowOff>227880</xdr:rowOff>
    </xdr:to>
    <xdr:pic>
      <xdr:nvPicPr>
        <xdr:cNvPr id="38" name="Imagem 6" descr=""/>
        <xdr:cNvPicPr/>
      </xdr:nvPicPr>
      <xdr:blipFill>
        <a:blip r:embed="rId3"/>
        <a:stretch/>
      </xdr:blipFill>
      <xdr:spPr>
        <a:xfrm>
          <a:off x="782280" y="5734080"/>
          <a:ext cx="21600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39" name="Imagem 8" descr=""/>
        <xdr:cNvPicPr/>
      </xdr:nvPicPr>
      <xdr:blipFill>
        <a:blip r:embed="rId4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40" name="Imagem 9" descr=""/>
        <xdr:cNvPicPr/>
      </xdr:nvPicPr>
      <xdr:blipFill>
        <a:blip r:embed="rId5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41" name="Imagem 10" descr=""/>
        <xdr:cNvPicPr/>
      </xdr:nvPicPr>
      <xdr:blipFill>
        <a:blip r:embed="rId6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552600</xdr:colOff>
      <xdr:row>11</xdr:row>
      <xdr:rowOff>222480</xdr:rowOff>
    </xdr:from>
    <xdr:to>
      <xdr:col>2</xdr:col>
      <xdr:colOff>9000</xdr:colOff>
      <xdr:row>13</xdr:row>
      <xdr:rowOff>161280</xdr:rowOff>
    </xdr:to>
    <xdr:pic>
      <xdr:nvPicPr>
        <xdr:cNvPr id="42" name="Imagem 12" descr=""/>
        <xdr:cNvPicPr/>
      </xdr:nvPicPr>
      <xdr:blipFill>
        <a:blip r:embed="rId7"/>
        <a:stretch/>
      </xdr:blipFill>
      <xdr:spPr>
        <a:xfrm>
          <a:off x="552600" y="3384720"/>
          <a:ext cx="802440" cy="58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11</xdr:row>
      <xdr:rowOff>33120</xdr:rowOff>
    </xdr:from>
    <xdr:to>
      <xdr:col>1</xdr:col>
      <xdr:colOff>489600</xdr:colOff>
      <xdr:row>11</xdr:row>
      <xdr:rowOff>246960</xdr:rowOff>
    </xdr:to>
    <xdr:pic>
      <xdr:nvPicPr>
        <xdr:cNvPr id="43" name="Imagem 13" descr=""/>
        <xdr:cNvPicPr/>
      </xdr:nvPicPr>
      <xdr:blipFill>
        <a:blip r:embed="rId8"/>
        <a:stretch/>
      </xdr:blipFill>
      <xdr:spPr>
        <a:xfrm>
          <a:off x="792000" y="319536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61560</xdr:rowOff>
    </xdr:from>
    <xdr:to>
      <xdr:col>1</xdr:col>
      <xdr:colOff>498960</xdr:colOff>
      <xdr:row>13</xdr:row>
      <xdr:rowOff>275400</xdr:rowOff>
    </xdr:to>
    <xdr:pic>
      <xdr:nvPicPr>
        <xdr:cNvPr id="44" name="Imagem 14" descr=""/>
        <xdr:cNvPicPr/>
      </xdr:nvPicPr>
      <xdr:blipFill>
        <a:blip r:embed="rId9"/>
        <a:stretch/>
      </xdr:blipFill>
      <xdr:spPr>
        <a:xfrm>
          <a:off x="801360" y="387144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14</xdr:row>
      <xdr:rowOff>14040</xdr:rowOff>
    </xdr:from>
    <xdr:to>
      <xdr:col>1</xdr:col>
      <xdr:colOff>498960</xdr:colOff>
      <xdr:row>14</xdr:row>
      <xdr:rowOff>227880</xdr:rowOff>
    </xdr:to>
    <xdr:pic>
      <xdr:nvPicPr>
        <xdr:cNvPr id="45" name="Imagem 15" descr=""/>
        <xdr:cNvPicPr/>
      </xdr:nvPicPr>
      <xdr:blipFill>
        <a:blip r:embed="rId10"/>
        <a:stretch/>
      </xdr:blipFill>
      <xdr:spPr>
        <a:xfrm>
          <a:off x="801360" y="414792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14040</xdr:rowOff>
    </xdr:from>
    <xdr:to>
      <xdr:col>1</xdr:col>
      <xdr:colOff>498960</xdr:colOff>
      <xdr:row>15</xdr:row>
      <xdr:rowOff>227880</xdr:rowOff>
    </xdr:to>
    <xdr:pic>
      <xdr:nvPicPr>
        <xdr:cNvPr id="46" name="Imagem 16" descr=""/>
        <xdr:cNvPicPr/>
      </xdr:nvPicPr>
      <xdr:blipFill>
        <a:blip r:embed="rId11"/>
        <a:stretch/>
      </xdr:blipFill>
      <xdr:spPr>
        <a:xfrm>
          <a:off x="801360" y="447192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16</xdr:row>
      <xdr:rowOff>23760</xdr:rowOff>
    </xdr:from>
    <xdr:to>
      <xdr:col>1</xdr:col>
      <xdr:colOff>508680</xdr:colOff>
      <xdr:row>16</xdr:row>
      <xdr:rowOff>237600</xdr:rowOff>
    </xdr:to>
    <xdr:pic>
      <xdr:nvPicPr>
        <xdr:cNvPr id="47" name="Imagem 17" descr=""/>
        <xdr:cNvPicPr/>
      </xdr:nvPicPr>
      <xdr:blipFill>
        <a:blip r:embed="rId12"/>
        <a:stretch/>
      </xdr:blipFill>
      <xdr:spPr>
        <a:xfrm>
          <a:off x="811080" y="4805280"/>
          <a:ext cx="432360" cy="2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18</xdr:row>
      <xdr:rowOff>38160</xdr:rowOff>
    </xdr:from>
    <xdr:to>
      <xdr:col>1</xdr:col>
      <xdr:colOff>509760</xdr:colOff>
      <xdr:row>19</xdr:row>
      <xdr:rowOff>28080</xdr:rowOff>
    </xdr:to>
    <xdr:pic>
      <xdr:nvPicPr>
        <xdr:cNvPr id="48" name="Imagem 18" descr=""/>
        <xdr:cNvPicPr/>
      </xdr:nvPicPr>
      <xdr:blipFill>
        <a:blip r:embed="rId13"/>
        <a:stretch/>
      </xdr:blipFill>
      <xdr:spPr>
        <a:xfrm>
          <a:off x="792000" y="546732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19</xdr:row>
      <xdr:rowOff>276120</xdr:rowOff>
    </xdr:from>
    <xdr:to>
      <xdr:col>1</xdr:col>
      <xdr:colOff>253800</xdr:colOff>
      <xdr:row>20</xdr:row>
      <xdr:rowOff>151560</xdr:rowOff>
    </xdr:to>
    <xdr:pic>
      <xdr:nvPicPr>
        <xdr:cNvPr id="49" name="Imagem 25" descr=""/>
        <xdr:cNvPicPr/>
      </xdr:nvPicPr>
      <xdr:blipFill>
        <a:blip r:embed="rId14"/>
        <a:stretch/>
      </xdr:blipFill>
      <xdr:spPr>
        <a:xfrm>
          <a:off x="782280" y="5991120"/>
          <a:ext cx="2062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21</xdr:row>
      <xdr:rowOff>0</xdr:rowOff>
    </xdr:from>
    <xdr:to>
      <xdr:col>1</xdr:col>
      <xdr:colOff>275760</xdr:colOff>
      <xdr:row>21</xdr:row>
      <xdr:rowOff>210960</xdr:rowOff>
    </xdr:to>
    <xdr:pic>
      <xdr:nvPicPr>
        <xdr:cNvPr id="50" name="Imagem 26" descr=""/>
        <xdr:cNvPicPr/>
      </xdr:nvPicPr>
      <xdr:blipFill>
        <a:blip r:embed="rId15"/>
        <a:stretch/>
      </xdr:blipFill>
      <xdr:spPr>
        <a:xfrm>
          <a:off x="792000" y="6305400"/>
          <a:ext cx="218520" cy="21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22</xdr:row>
      <xdr:rowOff>28440</xdr:rowOff>
    </xdr:from>
    <xdr:to>
      <xdr:col>1</xdr:col>
      <xdr:colOff>253440</xdr:colOff>
      <xdr:row>22</xdr:row>
      <xdr:rowOff>218160</xdr:rowOff>
    </xdr:to>
    <xdr:pic>
      <xdr:nvPicPr>
        <xdr:cNvPr id="51" name="Imagem 27" descr=""/>
        <xdr:cNvPicPr/>
      </xdr:nvPicPr>
      <xdr:blipFill>
        <a:blip r:embed="rId16"/>
        <a:stretch/>
      </xdr:blipFill>
      <xdr:spPr>
        <a:xfrm>
          <a:off x="792000" y="6581520"/>
          <a:ext cx="19620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23</xdr:row>
      <xdr:rowOff>19080</xdr:rowOff>
    </xdr:from>
    <xdr:to>
      <xdr:col>1</xdr:col>
      <xdr:colOff>262800</xdr:colOff>
      <xdr:row>23</xdr:row>
      <xdr:rowOff>208800</xdr:rowOff>
    </xdr:to>
    <xdr:pic>
      <xdr:nvPicPr>
        <xdr:cNvPr id="52" name="Imagem 28" descr=""/>
        <xdr:cNvPicPr/>
      </xdr:nvPicPr>
      <xdr:blipFill>
        <a:blip r:embed="rId17"/>
        <a:stretch/>
      </xdr:blipFill>
      <xdr:spPr>
        <a:xfrm>
          <a:off x="801360" y="6829560"/>
          <a:ext cx="19620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62280</xdr:colOff>
      <xdr:row>5</xdr:row>
      <xdr:rowOff>57240</xdr:rowOff>
    </xdr:from>
    <xdr:to>
      <xdr:col>9</xdr:col>
      <xdr:colOff>531000</xdr:colOff>
      <xdr:row>8</xdr:row>
      <xdr:rowOff>18360</xdr:rowOff>
    </xdr:to>
    <xdr:pic>
      <xdr:nvPicPr>
        <xdr:cNvPr id="53" name="Imagem 32" descr="">
          <a:hlinkClick r:id="rId18"/>
        </xdr:cNvPr>
        <xdr:cNvPicPr/>
      </xdr:nvPicPr>
      <xdr:blipFill>
        <a:blip r:embed="rId19"/>
        <a:stretch/>
      </xdr:blipFill>
      <xdr:spPr>
        <a:xfrm>
          <a:off x="4418280" y="1305000"/>
          <a:ext cx="1692000" cy="89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590400</xdr:colOff>
      <xdr:row>1</xdr:row>
      <xdr:rowOff>70200</xdr:rowOff>
    </xdr:from>
    <xdr:to>
      <xdr:col>12</xdr:col>
      <xdr:colOff>132480</xdr:colOff>
      <xdr:row>3</xdr:row>
      <xdr:rowOff>161280</xdr:rowOff>
    </xdr:to>
    <xdr:pic>
      <xdr:nvPicPr>
        <xdr:cNvPr id="54" name="Imagem 20" descr=""/>
        <xdr:cNvPicPr/>
      </xdr:nvPicPr>
      <xdr:blipFill>
        <a:blip r:embed="rId20"/>
        <a:stretch/>
      </xdr:blipFill>
      <xdr:spPr>
        <a:xfrm>
          <a:off x="6780960" y="327240"/>
          <a:ext cx="798120" cy="58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304920</xdr:colOff>
      <xdr:row>6</xdr:row>
      <xdr:rowOff>95400</xdr:rowOff>
    </xdr:from>
    <xdr:to>
      <xdr:col>11</xdr:col>
      <xdr:colOff>550800</xdr:colOff>
      <xdr:row>6</xdr:row>
      <xdr:rowOff>333000</xdr:rowOff>
    </xdr:to>
    <xdr:pic>
      <xdr:nvPicPr>
        <xdr:cNvPr id="55" name="Imagem 21" descr=""/>
        <xdr:cNvPicPr/>
      </xdr:nvPicPr>
      <xdr:blipFill>
        <a:blip r:embed="rId21"/>
        <a:stretch/>
      </xdr:blipFill>
      <xdr:spPr>
        <a:xfrm>
          <a:off x="7140240" y="162900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314280</xdr:colOff>
      <xdr:row>7</xdr:row>
      <xdr:rowOff>57240</xdr:rowOff>
    </xdr:from>
    <xdr:to>
      <xdr:col>11</xdr:col>
      <xdr:colOff>560160</xdr:colOff>
      <xdr:row>7</xdr:row>
      <xdr:rowOff>294840</xdr:rowOff>
    </xdr:to>
    <xdr:pic>
      <xdr:nvPicPr>
        <xdr:cNvPr id="56" name="Imagem 22" descr=""/>
        <xdr:cNvPicPr/>
      </xdr:nvPicPr>
      <xdr:blipFill>
        <a:blip r:embed="rId22"/>
        <a:stretch/>
      </xdr:blipFill>
      <xdr:spPr>
        <a:xfrm>
          <a:off x="7149600" y="1933560"/>
          <a:ext cx="245880" cy="237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102240</xdr:colOff>
      <xdr:row>23</xdr:row>
      <xdr:rowOff>28440</xdr:rowOff>
    </xdr:from>
    <xdr:to>
      <xdr:col>1</xdr:col>
      <xdr:colOff>456120</xdr:colOff>
      <xdr:row>24</xdr:row>
      <xdr:rowOff>12600</xdr:rowOff>
    </xdr:to>
    <xdr:pic>
      <xdr:nvPicPr>
        <xdr:cNvPr id="713" name="Imagem 1" descr=""/>
        <xdr:cNvPicPr/>
      </xdr:nvPicPr>
      <xdr:blipFill>
        <a:blip r:embed="rId1"/>
        <a:stretch/>
      </xdr:blipFill>
      <xdr:spPr>
        <a:xfrm>
          <a:off x="847080" y="69627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24</xdr:row>
      <xdr:rowOff>38160</xdr:rowOff>
    </xdr:from>
    <xdr:to>
      <xdr:col>1</xdr:col>
      <xdr:colOff>427680</xdr:colOff>
      <xdr:row>25</xdr:row>
      <xdr:rowOff>22320</xdr:rowOff>
    </xdr:to>
    <xdr:pic>
      <xdr:nvPicPr>
        <xdr:cNvPr id="714" name="Imagem 2" descr=""/>
        <xdr:cNvPicPr/>
      </xdr:nvPicPr>
      <xdr:blipFill>
        <a:blip r:embed="rId2"/>
        <a:stretch/>
      </xdr:blipFill>
      <xdr:spPr>
        <a:xfrm>
          <a:off x="818640" y="73058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715" name="Imagem 3" descr=""/>
        <xdr:cNvPicPr/>
      </xdr:nvPicPr>
      <xdr:blipFill>
        <a:blip r:embed="rId3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17</xdr:row>
      <xdr:rowOff>34920</xdr:rowOff>
    </xdr:from>
    <xdr:to>
      <xdr:col>1</xdr:col>
      <xdr:colOff>447120</xdr:colOff>
      <xdr:row>17</xdr:row>
      <xdr:rowOff>282600</xdr:rowOff>
    </xdr:to>
    <xdr:pic>
      <xdr:nvPicPr>
        <xdr:cNvPr id="716" name="Imagem 4" descr=""/>
        <xdr:cNvPicPr/>
      </xdr:nvPicPr>
      <xdr:blipFill>
        <a:blip r:embed="rId4"/>
        <a:stretch/>
      </xdr:blipFill>
      <xdr:spPr>
        <a:xfrm>
          <a:off x="837720" y="5140440"/>
          <a:ext cx="35424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16</xdr:row>
      <xdr:rowOff>114480</xdr:rowOff>
    </xdr:from>
    <xdr:to>
      <xdr:col>1</xdr:col>
      <xdr:colOff>478080</xdr:colOff>
      <xdr:row>16</xdr:row>
      <xdr:rowOff>246960</xdr:rowOff>
    </xdr:to>
    <xdr:pic>
      <xdr:nvPicPr>
        <xdr:cNvPr id="717" name="Imagem 5" descr=""/>
        <xdr:cNvPicPr/>
      </xdr:nvPicPr>
      <xdr:blipFill>
        <a:blip r:embed="rId5"/>
        <a:stretch/>
      </xdr:blipFill>
      <xdr:spPr>
        <a:xfrm>
          <a:off x="787680" y="4896000"/>
          <a:ext cx="435240" cy="1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76320</xdr:rowOff>
    </xdr:from>
    <xdr:to>
      <xdr:col>1</xdr:col>
      <xdr:colOff>392040</xdr:colOff>
      <xdr:row>18</xdr:row>
      <xdr:rowOff>212760</xdr:rowOff>
    </xdr:to>
    <xdr:pic>
      <xdr:nvPicPr>
        <xdr:cNvPr id="718" name="Imagem 6" descr=""/>
        <xdr:cNvPicPr/>
      </xdr:nvPicPr>
      <xdr:blipFill>
        <a:blip r:embed="rId6"/>
        <a:stretch/>
      </xdr:blipFill>
      <xdr:spPr>
        <a:xfrm>
          <a:off x="849600" y="55054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20</xdr:row>
      <xdr:rowOff>75960</xdr:rowOff>
    </xdr:from>
    <xdr:to>
      <xdr:col>1</xdr:col>
      <xdr:colOff>418680</xdr:colOff>
      <xdr:row>20</xdr:row>
      <xdr:rowOff>229320</xdr:rowOff>
    </xdr:to>
    <xdr:pic>
      <xdr:nvPicPr>
        <xdr:cNvPr id="719" name="Imagem 7" descr=""/>
        <xdr:cNvPicPr/>
      </xdr:nvPicPr>
      <xdr:blipFill>
        <a:blip r:embed="rId7"/>
        <a:stretch/>
      </xdr:blipFill>
      <xdr:spPr>
        <a:xfrm>
          <a:off x="840240" y="6076800"/>
          <a:ext cx="323280" cy="15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21</xdr:row>
      <xdr:rowOff>28440</xdr:rowOff>
    </xdr:from>
    <xdr:to>
      <xdr:col>1</xdr:col>
      <xdr:colOff>331920</xdr:colOff>
      <xdr:row>21</xdr:row>
      <xdr:rowOff>272160</xdr:rowOff>
    </xdr:to>
    <xdr:pic>
      <xdr:nvPicPr>
        <xdr:cNvPr id="720" name="Imagem 8" descr=""/>
        <xdr:cNvPicPr/>
      </xdr:nvPicPr>
      <xdr:blipFill>
        <a:blip r:embed="rId8"/>
        <a:stretch/>
      </xdr:blipFill>
      <xdr:spPr>
        <a:xfrm>
          <a:off x="809280" y="6296040"/>
          <a:ext cx="267480" cy="24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22</xdr:row>
      <xdr:rowOff>50040</xdr:rowOff>
    </xdr:from>
    <xdr:to>
      <xdr:col>1</xdr:col>
      <xdr:colOff>361080</xdr:colOff>
      <xdr:row>22</xdr:row>
      <xdr:rowOff>275400</xdr:rowOff>
    </xdr:to>
    <xdr:pic>
      <xdr:nvPicPr>
        <xdr:cNvPr id="721" name="Imagem 9" descr=""/>
        <xdr:cNvPicPr/>
      </xdr:nvPicPr>
      <xdr:blipFill>
        <a:blip r:embed="rId9"/>
        <a:stretch/>
      </xdr:blipFill>
      <xdr:spPr>
        <a:xfrm>
          <a:off x="816120" y="6651000"/>
          <a:ext cx="28980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37440</xdr:rowOff>
    </xdr:from>
    <xdr:to>
      <xdr:col>1</xdr:col>
      <xdr:colOff>275400</xdr:colOff>
      <xdr:row>25</xdr:row>
      <xdr:rowOff>275400</xdr:rowOff>
    </xdr:to>
    <xdr:pic>
      <xdr:nvPicPr>
        <xdr:cNvPr id="722" name="Imagem 10" descr=""/>
        <xdr:cNvPicPr/>
      </xdr:nvPicPr>
      <xdr:blipFill>
        <a:blip r:embed="rId10"/>
        <a:stretch/>
      </xdr:blipFill>
      <xdr:spPr>
        <a:xfrm>
          <a:off x="792360" y="763848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21600</xdr:colOff>
      <xdr:row>15</xdr:row>
      <xdr:rowOff>51120</xdr:rowOff>
    </xdr:from>
    <xdr:to>
      <xdr:col>11</xdr:col>
      <xdr:colOff>297360</xdr:colOff>
      <xdr:row>15</xdr:row>
      <xdr:rowOff>298800</xdr:rowOff>
    </xdr:to>
    <xdr:pic>
      <xdr:nvPicPr>
        <xdr:cNvPr id="723" name="Imagem 11" descr=""/>
        <xdr:cNvPicPr/>
      </xdr:nvPicPr>
      <xdr:blipFill>
        <a:blip r:embed="rId11"/>
        <a:stretch/>
      </xdr:blipFill>
      <xdr:spPr>
        <a:xfrm>
          <a:off x="6621120" y="450900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77400</xdr:rowOff>
    </xdr:from>
    <xdr:to>
      <xdr:col>11</xdr:col>
      <xdr:colOff>404280</xdr:colOff>
      <xdr:row>2</xdr:row>
      <xdr:rowOff>189720</xdr:rowOff>
    </xdr:to>
    <xdr:pic>
      <xdr:nvPicPr>
        <xdr:cNvPr id="724" name="Imagem 12" descr=""/>
        <xdr:cNvPicPr/>
      </xdr:nvPicPr>
      <xdr:blipFill>
        <a:blip r:embed="rId12"/>
        <a:stretch/>
      </xdr:blipFill>
      <xdr:spPr>
        <a:xfrm>
          <a:off x="6642360" y="58212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16</xdr:row>
      <xdr:rowOff>142920</xdr:rowOff>
    </xdr:from>
    <xdr:to>
      <xdr:col>11</xdr:col>
      <xdr:colOff>441360</xdr:colOff>
      <xdr:row>16</xdr:row>
      <xdr:rowOff>237600</xdr:rowOff>
    </xdr:to>
    <xdr:pic>
      <xdr:nvPicPr>
        <xdr:cNvPr id="725" name="Imagem 13" descr=""/>
        <xdr:cNvPicPr/>
      </xdr:nvPicPr>
      <xdr:blipFill>
        <a:blip r:embed="rId13"/>
        <a:stretch/>
      </xdr:blipFill>
      <xdr:spPr>
        <a:xfrm>
          <a:off x="6654240" y="492444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52560</xdr:colOff>
      <xdr:row>7</xdr:row>
      <xdr:rowOff>101880</xdr:rowOff>
    </xdr:from>
    <xdr:to>
      <xdr:col>11</xdr:col>
      <xdr:colOff>342360</xdr:colOff>
      <xdr:row>7</xdr:row>
      <xdr:rowOff>227880</xdr:rowOff>
    </xdr:to>
    <xdr:pic>
      <xdr:nvPicPr>
        <xdr:cNvPr id="726" name="Imagem 14" descr=""/>
        <xdr:cNvPicPr/>
      </xdr:nvPicPr>
      <xdr:blipFill>
        <a:blip r:embed="rId14"/>
        <a:stretch/>
      </xdr:blipFill>
      <xdr:spPr>
        <a:xfrm>
          <a:off x="6652080" y="1978200"/>
          <a:ext cx="289800" cy="1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9</xdr:row>
      <xdr:rowOff>70560</xdr:rowOff>
    </xdr:from>
    <xdr:to>
      <xdr:col>11</xdr:col>
      <xdr:colOff>354600</xdr:colOff>
      <xdr:row>9</xdr:row>
      <xdr:rowOff>263520</xdr:rowOff>
    </xdr:to>
    <xdr:pic>
      <xdr:nvPicPr>
        <xdr:cNvPr id="727" name="Imagem 15" descr=""/>
        <xdr:cNvPicPr/>
      </xdr:nvPicPr>
      <xdr:blipFill>
        <a:blip r:embed="rId15"/>
        <a:stretch/>
      </xdr:blipFill>
      <xdr:spPr>
        <a:xfrm>
          <a:off x="6678000" y="2585160"/>
          <a:ext cx="276120" cy="19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8</xdr:row>
      <xdr:rowOff>134280</xdr:rowOff>
    </xdr:from>
    <xdr:to>
      <xdr:col>11</xdr:col>
      <xdr:colOff>367560</xdr:colOff>
      <xdr:row>8</xdr:row>
      <xdr:rowOff>237600</xdr:rowOff>
    </xdr:to>
    <xdr:pic>
      <xdr:nvPicPr>
        <xdr:cNvPr id="728" name="Imagem 16" descr=""/>
        <xdr:cNvPicPr/>
      </xdr:nvPicPr>
      <xdr:blipFill>
        <a:blip r:embed="rId16"/>
        <a:stretch/>
      </xdr:blipFill>
      <xdr:spPr>
        <a:xfrm>
          <a:off x="6627960" y="2315520"/>
          <a:ext cx="339120" cy="10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10</xdr:row>
      <xdr:rowOff>125280</xdr:rowOff>
    </xdr:from>
    <xdr:to>
      <xdr:col>11</xdr:col>
      <xdr:colOff>314280</xdr:colOff>
      <xdr:row>10</xdr:row>
      <xdr:rowOff>231480</xdr:rowOff>
    </xdr:to>
    <xdr:pic>
      <xdr:nvPicPr>
        <xdr:cNvPr id="729" name="Imagem 17" descr=""/>
        <xdr:cNvPicPr/>
      </xdr:nvPicPr>
      <xdr:blipFill>
        <a:blip r:embed="rId17"/>
        <a:stretch/>
      </xdr:blipFill>
      <xdr:spPr>
        <a:xfrm>
          <a:off x="6689880" y="2963880"/>
          <a:ext cx="223920" cy="10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12</xdr:row>
      <xdr:rowOff>109800</xdr:rowOff>
    </xdr:from>
    <xdr:to>
      <xdr:col>11</xdr:col>
      <xdr:colOff>333000</xdr:colOff>
      <xdr:row>12</xdr:row>
      <xdr:rowOff>229320</xdr:rowOff>
    </xdr:to>
    <xdr:pic>
      <xdr:nvPicPr>
        <xdr:cNvPr id="730" name="Imagem 18" descr=""/>
        <xdr:cNvPicPr/>
      </xdr:nvPicPr>
      <xdr:blipFill>
        <a:blip r:embed="rId18"/>
        <a:stretch/>
      </xdr:blipFill>
      <xdr:spPr>
        <a:xfrm>
          <a:off x="6680520" y="3596040"/>
          <a:ext cx="25200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13</xdr:row>
      <xdr:rowOff>53640</xdr:rowOff>
    </xdr:from>
    <xdr:to>
      <xdr:col>11</xdr:col>
      <xdr:colOff>258480</xdr:colOff>
      <xdr:row>13</xdr:row>
      <xdr:rowOff>243720</xdr:rowOff>
    </xdr:to>
    <xdr:pic>
      <xdr:nvPicPr>
        <xdr:cNvPr id="731" name="Imagem 19" descr=""/>
        <xdr:cNvPicPr/>
      </xdr:nvPicPr>
      <xdr:blipFill>
        <a:blip r:embed="rId19"/>
        <a:stretch/>
      </xdr:blipFill>
      <xdr:spPr>
        <a:xfrm>
          <a:off x="6649560" y="3863520"/>
          <a:ext cx="20844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14</xdr:row>
      <xdr:rowOff>52200</xdr:rowOff>
    </xdr:from>
    <xdr:to>
      <xdr:col>11</xdr:col>
      <xdr:colOff>282960</xdr:colOff>
      <xdr:row>14</xdr:row>
      <xdr:rowOff>227880</xdr:rowOff>
    </xdr:to>
    <xdr:pic>
      <xdr:nvPicPr>
        <xdr:cNvPr id="732" name="Imagem 20" descr=""/>
        <xdr:cNvPicPr/>
      </xdr:nvPicPr>
      <xdr:blipFill>
        <a:blip r:embed="rId20"/>
        <a:stretch/>
      </xdr:blipFill>
      <xdr:spPr>
        <a:xfrm>
          <a:off x="6656760" y="4186080"/>
          <a:ext cx="2257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100080</xdr:colOff>
      <xdr:row>17</xdr:row>
      <xdr:rowOff>61560</xdr:rowOff>
    </xdr:from>
    <xdr:to>
      <xdr:col>11</xdr:col>
      <xdr:colOff>277560</xdr:colOff>
      <xdr:row>17</xdr:row>
      <xdr:rowOff>246960</xdr:rowOff>
    </xdr:to>
    <xdr:pic>
      <xdr:nvPicPr>
        <xdr:cNvPr id="733" name="Imagem 21" descr=""/>
        <xdr:cNvPicPr/>
      </xdr:nvPicPr>
      <xdr:blipFill>
        <a:blip r:embed="rId21"/>
        <a:stretch/>
      </xdr:blipFill>
      <xdr:spPr>
        <a:xfrm>
          <a:off x="6699600" y="5167080"/>
          <a:ext cx="17748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5</xdr:row>
      <xdr:rowOff>9360</xdr:rowOff>
    </xdr:from>
    <xdr:to>
      <xdr:col>11</xdr:col>
      <xdr:colOff>389880</xdr:colOff>
      <xdr:row>5</xdr:row>
      <xdr:rowOff>254160</xdr:rowOff>
    </xdr:to>
    <xdr:pic>
      <xdr:nvPicPr>
        <xdr:cNvPr id="734" name="Imagem 22" descr=""/>
        <xdr:cNvPicPr/>
      </xdr:nvPicPr>
      <xdr:blipFill>
        <a:blip r:embed="rId22"/>
        <a:stretch/>
      </xdr:blipFill>
      <xdr:spPr>
        <a:xfrm>
          <a:off x="6685200" y="125712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14</xdr:row>
      <xdr:rowOff>142920</xdr:rowOff>
    </xdr:from>
    <xdr:to>
      <xdr:col>1</xdr:col>
      <xdr:colOff>389880</xdr:colOff>
      <xdr:row>14</xdr:row>
      <xdr:rowOff>214920</xdr:rowOff>
    </xdr:to>
    <xdr:pic>
      <xdr:nvPicPr>
        <xdr:cNvPr id="735" name="Imagem 24" descr=""/>
        <xdr:cNvPicPr/>
      </xdr:nvPicPr>
      <xdr:blipFill>
        <a:blip r:embed="rId23"/>
        <a:stretch/>
      </xdr:blipFill>
      <xdr:spPr>
        <a:xfrm>
          <a:off x="811440" y="427680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104760</xdr:rowOff>
    </xdr:from>
    <xdr:to>
      <xdr:col>1</xdr:col>
      <xdr:colOff>389880</xdr:colOff>
      <xdr:row>15</xdr:row>
      <xdr:rowOff>176760</xdr:rowOff>
    </xdr:to>
    <xdr:pic>
      <xdr:nvPicPr>
        <xdr:cNvPr id="736" name="Imagem 25" descr=""/>
        <xdr:cNvPicPr/>
      </xdr:nvPicPr>
      <xdr:blipFill>
        <a:blip r:embed="rId24"/>
        <a:stretch/>
      </xdr:blipFill>
      <xdr:spPr>
        <a:xfrm>
          <a:off x="811440" y="456264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38160</xdr:rowOff>
    </xdr:from>
    <xdr:to>
      <xdr:col>1</xdr:col>
      <xdr:colOff>380520</xdr:colOff>
      <xdr:row>13</xdr:row>
      <xdr:rowOff>282960</xdr:rowOff>
    </xdr:to>
    <xdr:pic>
      <xdr:nvPicPr>
        <xdr:cNvPr id="737" name="Imagem 26" descr=""/>
        <xdr:cNvPicPr/>
      </xdr:nvPicPr>
      <xdr:blipFill>
        <a:blip r:embed="rId25"/>
        <a:stretch/>
      </xdr:blipFill>
      <xdr:spPr>
        <a:xfrm>
          <a:off x="821160" y="384804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30</xdr:row>
      <xdr:rowOff>95400</xdr:rowOff>
    </xdr:from>
    <xdr:to>
      <xdr:col>1</xdr:col>
      <xdr:colOff>424800</xdr:colOff>
      <xdr:row>30</xdr:row>
      <xdr:rowOff>190080</xdr:rowOff>
    </xdr:to>
    <xdr:pic>
      <xdr:nvPicPr>
        <xdr:cNvPr id="738" name="Imagem 27" descr=""/>
        <xdr:cNvPicPr/>
      </xdr:nvPicPr>
      <xdr:blipFill>
        <a:blip r:embed="rId26"/>
        <a:stretch/>
      </xdr:blipFill>
      <xdr:spPr>
        <a:xfrm>
          <a:off x="783000" y="91440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29</xdr:row>
      <xdr:rowOff>38160</xdr:rowOff>
    </xdr:from>
    <xdr:to>
      <xdr:col>1</xdr:col>
      <xdr:colOff>316800</xdr:colOff>
      <xdr:row>29</xdr:row>
      <xdr:rowOff>219960</xdr:rowOff>
    </xdr:to>
    <xdr:pic>
      <xdr:nvPicPr>
        <xdr:cNvPr id="739" name="Imagem 28" descr=""/>
        <xdr:cNvPicPr/>
      </xdr:nvPicPr>
      <xdr:blipFill>
        <a:blip r:embed="rId27"/>
        <a:stretch/>
      </xdr:blipFill>
      <xdr:spPr>
        <a:xfrm>
          <a:off x="792360" y="88394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26</xdr:row>
      <xdr:rowOff>85680</xdr:rowOff>
    </xdr:from>
    <xdr:to>
      <xdr:col>1</xdr:col>
      <xdr:colOff>410040</xdr:colOff>
      <xdr:row>26</xdr:row>
      <xdr:rowOff>241200</xdr:rowOff>
    </xdr:to>
    <xdr:pic>
      <xdr:nvPicPr>
        <xdr:cNvPr id="740" name="Imagem 29" descr=""/>
        <xdr:cNvPicPr/>
      </xdr:nvPicPr>
      <xdr:blipFill>
        <a:blip r:embed="rId28"/>
        <a:stretch/>
      </xdr:blipFill>
      <xdr:spPr>
        <a:xfrm flipH="1">
          <a:off x="797040" y="8020080"/>
          <a:ext cx="357840" cy="15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28</xdr:row>
      <xdr:rowOff>47520</xdr:rowOff>
    </xdr:from>
    <xdr:to>
      <xdr:col>1</xdr:col>
      <xdr:colOff>357840</xdr:colOff>
      <xdr:row>28</xdr:row>
      <xdr:rowOff>252000</xdr:rowOff>
    </xdr:to>
    <xdr:pic>
      <xdr:nvPicPr>
        <xdr:cNvPr id="741" name="Imagem 30" descr=""/>
        <xdr:cNvPicPr/>
      </xdr:nvPicPr>
      <xdr:blipFill>
        <a:blip r:embed="rId29"/>
        <a:stretch/>
      </xdr:blipFill>
      <xdr:spPr>
        <a:xfrm>
          <a:off x="844920" y="8534160"/>
          <a:ext cx="25776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19</xdr:row>
      <xdr:rowOff>0</xdr:rowOff>
    </xdr:from>
    <xdr:to>
      <xdr:col>1</xdr:col>
      <xdr:colOff>285120</xdr:colOff>
      <xdr:row>19</xdr:row>
      <xdr:rowOff>277560</xdr:rowOff>
    </xdr:to>
    <xdr:pic>
      <xdr:nvPicPr>
        <xdr:cNvPr id="742" name="Imagem 31" descr=""/>
        <xdr:cNvPicPr/>
      </xdr:nvPicPr>
      <xdr:blipFill>
        <a:blip r:embed="rId30"/>
        <a:stretch/>
      </xdr:blipFill>
      <xdr:spPr>
        <a:xfrm>
          <a:off x="859320" y="571500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11</xdr:row>
      <xdr:rowOff>88920</xdr:rowOff>
    </xdr:from>
    <xdr:to>
      <xdr:col>1</xdr:col>
      <xdr:colOff>513720</xdr:colOff>
      <xdr:row>11</xdr:row>
      <xdr:rowOff>252720</xdr:rowOff>
    </xdr:to>
    <xdr:pic>
      <xdr:nvPicPr>
        <xdr:cNvPr id="743" name="Imagem 32" descr=""/>
        <xdr:cNvPicPr/>
      </xdr:nvPicPr>
      <xdr:blipFill>
        <a:blip r:embed="rId31"/>
        <a:stretch/>
      </xdr:blipFill>
      <xdr:spPr>
        <a:xfrm>
          <a:off x="802080" y="3251160"/>
          <a:ext cx="456480" cy="16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9360</xdr:rowOff>
    </xdr:from>
    <xdr:to>
      <xdr:col>11</xdr:col>
      <xdr:colOff>494640</xdr:colOff>
      <xdr:row>3</xdr:row>
      <xdr:rowOff>173160</xdr:rowOff>
    </xdr:to>
    <xdr:pic>
      <xdr:nvPicPr>
        <xdr:cNvPr id="744" name="Imagem 33" descr=""/>
        <xdr:cNvPicPr/>
      </xdr:nvPicPr>
      <xdr:blipFill>
        <a:blip r:embed="rId32"/>
        <a:stretch/>
      </xdr:blipFill>
      <xdr:spPr>
        <a:xfrm>
          <a:off x="6637680" y="761760"/>
          <a:ext cx="456480" cy="16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27</xdr:row>
      <xdr:rowOff>66600</xdr:rowOff>
    </xdr:from>
    <xdr:to>
      <xdr:col>1</xdr:col>
      <xdr:colOff>332640</xdr:colOff>
      <xdr:row>27</xdr:row>
      <xdr:rowOff>223200</xdr:rowOff>
    </xdr:to>
    <xdr:pic>
      <xdr:nvPicPr>
        <xdr:cNvPr id="745" name="Imagem 34" descr=""/>
        <xdr:cNvPicPr/>
      </xdr:nvPicPr>
      <xdr:blipFill>
        <a:blip r:embed="rId33"/>
        <a:stretch/>
      </xdr:blipFill>
      <xdr:spPr>
        <a:xfrm>
          <a:off x="802080" y="830556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12</xdr:row>
      <xdr:rowOff>81720</xdr:rowOff>
    </xdr:from>
    <xdr:to>
      <xdr:col>1</xdr:col>
      <xdr:colOff>580320</xdr:colOff>
      <xdr:row>12</xdr:row>
      <xdr:rowOff>212040</xdr:rowOff>
    </xdr:to>
    <xdr:pic>
      <xdr:nvPicPr>
        <xdr:cNvPr id="746" name="Imagem 35" descr=""/>
        <xdr:cNvPicPr/>
      </xdr:nvPicPr>
      <xdr:blipFill>
        <a:blip r:embed="rId34"/>
        <a:stretch/>
      </xdr:blipFill>
      <xdr:spPr>
        <a:xfrm>
          <a:off x="792360" y="3567960"/>
          <a:ext cx="532800" cy="13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4</xdr:row>
      <xdr:rowOff>56520</xdr:rowOff>
    </xdr:from>
    <xdr:to>
      <xdr:col>11</xdr:col>
      <xdr:colOff>456480</xdr:colOff>
      <xdr:row>4</xdr:row>
      <xdr:rowOff>149400</xdr:rowOff>
    </xdr:to>
    <xdr:pic>
      <xdr:nvPicPr>
        <xdr:cNvPr id="747" name="Imagem 36" descr=""/>
        <xdr:cNvPicPr/>
      </xdr:nvPicPr>
      <xdr:blipFill>
        <a:blip r:embed="rId35"/>
        <a:stretch/>
      </xdr:blipFill>
      <xdr:spPr>
        <a:xfrm>
          <a:off x="6675840" y="1056600"/>
          <a:ext cx="380160" cy="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11</xdr:row>
      <xdr:rowOff>47520</xdr:rowOff>
    </xdr:from>
    <xdr:to>
      <xdr:col>11</xdr:col>
      <xdr:colOff>266040</xdr:colOff>
      <xdr:row>12</xdr:row>
      <xdr:rowOff>1440</xdr:rowOff>
    </xdr:to>
    <xdr:pic>
      <xdr:nvPicPr>
        <xdr:cNvPr id="748" name="Imagem 37" descr=""/>
        <xdr:cNvPicPr/>
      </xdr:nvPicPr>
      <xdr:blipFill>
        <a:blip r:embed="rId36"/>
        <a:stretch/>
      </xdr:blipFill>
      <xdr:spPr>
        <a:xfrm>
          <a:off x="6694920" y="3209760"/>
          <a:ext cx="17064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18</xdr:row>
      <xdr:rowOff>47520</xdr:rowOff>
    </xdr:from>
    <xdr:to>
      <xdr:col>11</xdr:col>
      <xdr:colOff>374040</xdr:colOff>
      <xdr:row>18</xdr:row>
      <xdr:rowOff>229320</xdr:rowOff>
    </xdr:to>
    <xdr:pic>
      <xdr:nvPicPr>
        <xdr:cNvPr id="749" name="Imagem 38" descr=""/>
        <xdr:cNvPicPr/>
      </xdr:nvPicPr>
      <xdr:blipFill>
        <a:blip r:embed="rId37"/>
        <a:stretch/>
      </xdr:blipFill>
      <xdr:spPr>
        <a:xfrm>
          <a:off x="6704280" y="547668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20</xdr:row>
      <xdr:rowOff>28440</xdr:rowOff>
    </xdr:from>
    <xdr:to>
      <xdr:col>11</xdr:col>
      <xdr:colOff>348120</xdr:colOff>
      <xdr:row>20</xdr:row>
      <xdr:rowOff>232920</xdr:rowOff>
    </xdr:to>
    <xdr:pic>
      <xdr:nvPicPr>
        <xdr:cNvPr id="750" name="Imagem 39" descr=""/>
        <xdr:cNvPicPr/>
      </xdr:nvPicPr>
      <xdr:blipFill>
        <a:blip r:embed="rId38"/>
        <a:stretch/>
      </xdr:blipFill>
      <xdr:spPr>
        <a:xfrm>
          <a:off x="6689880" y="6029280"/>
          <a:ext cx="25776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19</xdr:row>
      <xdr:rowOff>47520</xdr:rowOff>
    </xdr:from>
    <xdr:to>
      <xdr:col>11</xdr:col>
      <xdr:colOff>361080</xdr:colOff>
      <xdr:row>19</xdr:row>
      <xdr:rowOff>204120</xdr:rowOff>
    </xdr:to>
    <xdr:pic>
      <xdr:nvPicPr>
        <xdr:cNvPr id="751" name="Imagem 40" descr=""/>
        <xdr:cNvPicPr/>
      </xdr:nvPicPr>
      <xdr:blipFill>
        <a:blip r:embed="rId39"/>
        <a:stretch/>
      </xdr:blipFill>
      <xdr:spPr>
        <a:xfrm>
          <a:off x="6685200" y="576252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6</xdr:row>
      <xdr:rowOff>142920</xdr:rowOff>
    </xdr:from>
    <xdr:to>
      <xdr:col>11</xdr:col>
      <xdr:colOff>399600</xdr:colOff>
      <xdr:row>6</xdr:row>
      <xdr:rowOff>214920</xdr:rowOff>
    </xdr:to>
    <xdr:pic>
      <xdr:nvPicPr>
        <xdr:cNvPr id="752" name="Imagem 41" descr=""/>
        <xdr:cNvPicPr/>
      </xdr:nvPicPr>
      <xdr:blipFill>
        <a:blip r:embed="rId40"/>
        <a:stretch/>
      </xdr:blipFill>
      <xdr:spPr>
        <a:xfrm>
          <a:off x="6675840" y="167652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285840</xdr:colOff>
      <xdr:row>5</xdr:row>
      <xdr:rowOff>47520</xdr:rowOff>
    </xdr:from>
    <xdr:to>
      <xdr:col>9</xdr:col>
      <xdr:colOff>18360</xdr:colOff>
      <xdr:row>8</xdr:row>
      <xdr:rowOff>273600</xdr:rowOff>
    </xdr:to>
    <xdr:pic>
      <xdr:nvPicPr>
        <xdr:cNvPr id="753" name="Imagem 42" descr="">
          <a:hlinkClick r:id="rId41"/>
        </xdr:cNvPr>
        <xdr:cNvPicPr/>
      </xdr:nvPicPr>
      <xdr:blipFill>
        <a:blip r:embed="rId42"/>
        <a:stretch/>
      </xdr:blipFill>
      <xdr:spPr>
        <a:xfrm>
          <a:off x="4368240" y="1295280"/>
          <a:ext cx="860400" cy="115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31</xdr:row>
      <xdr:rowOff>57240</xdr:rowOff>
    </xdr:from>
    <xdr:to>
      <xdr:col>1</xdr:col>
      <xdr:colOff>354960</xdr:colOff>
      <xdr:row>31</xdr:row>
      <xdr:rowOff>180360</xdr:rowOff>
    </xdr:to>
    <xdr:pic>
      <xdr:nvPicPr>
        <xdr:cNvPr id="754" name="Imagem 43" descr=""/>
        <xdr:cNvPicPr/>
      </xdr:nvPicPr>
      <xdr:blipFill>
        <a:blip r:embed="rId43"/>
        <a:stretch/>
      </xdr:blipFill>
      <xdr:spPr>
        <a:xfrm>
          <a:off x="783000" y="9382320"/>
          <a:ext cx="316800" cy="12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21</xdr:row>
      <xdr:rowOff>123840</xdr:rowOff>
    </xdr:from>
    <xdr:to>
      <xdr:col>11</xdr:col>
      <xdr:colOff>345240</xdr:colOff>
      <xdr:row>21</xdr:row>
      <xdr:rowOff>246960</xdr:rowOff>
    </xdr:to>
    <xdr:pic>
      <xdr:nvPicPr>
        <xdr:cNvPr id="755" name="Imagem 44" descr=""/>
        <xdr:cNvPicPr/>
      </xdr:nvPicPr>
      <xdr:blipFill>
        <a:blip r:embed="rId44"/>
        <a:stretch/>
      </xdr:blipFill>
      <xdr:spPr>
        <a:xfrm>
          <a:off x="6627960" y="6391440"/>
          <a:ext cx="316800" cy="12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102240</xdr:colOff>
      <xdr:row>23</xdr:row>
      <xdr:rowOff>28440</xdr:rowOff>
    </xdr:from>
    <xdr:to>
      <xdr:col>1</xdr:col>
      <xdr:colOff>456120</xdr:colOff>
      <xdr:row>24</xdr:row>
      <xdr:rowOff>12600</xdr:rowOff>
    </xdr:to>
    <xdr:pic>
      <xdr:nvPicPr>
        <xdr:cNvPr id="756" name="Imagem 1" descr=""/>
        <xdr:cNvPicPr/>
      </xdr:nvPicPr>
      <xdr:blipFill>
        <a:blip r:embed="rId1"/>
        <a:stretch/>
      </xdr:blipFill>
      <xdr:spPr>
        <a:xfrm>
          <a:off x="847080" y="69627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24</xdr:row>
      <xdr:rowOff>38160</xdr:rowOff>
    </xdr:from>
    <xdr:to>
      <xdr:col>1</xdr:col>
      <xdr:colOff>427680</xdr:colOff>
      <xdr:row>25</xdr:row>
      <xdr:rowOff>22320</xdr:rowOff>
    </xdr:to>
    <xdr:pic>
      <xdr:nvPicPr>
        <xdr:cNvPr id="757" name="Imagem 2" descr=""/>
        <xdr:cNvPicPr/>
      </xdr:nvPicPr>
      <xdr:blipFill>
        <a:blip r:embed="rId2"/>
        <a:stretch/>
      </xdr:blipFill>
      <xdr:spPr>
        <a:xfrm>
          <a:off x="818640" y="73058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758" name="Imagem 5" descr=""/>
        <xdr:cNvPicPr/>
      </xdr:nvPicPr>
      <xdr:blipFill>
        <a:blip r:embed="rId3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17</xdr:row>
      <xdr:rowOff>34920</xdr:rowOff>
    </xdr:from>
    <xdr:to>
      <xdr:col>1</xdr:col>
      <xdr:colOff>447120</xdr:colOff>
      <xdr:row>17</xdr:row>
      <xdr:rowOff>282600</xdr:rowOff>
    </xdr:to>
    <xdr:pic>
      <xdr:nvPicPr>
        <xdr:cNvPr id="759" name="Imagem 10" descr=""/>
        <xdr:cNvPicPr/>
      </xdr:nvPicPr>
      <xdr:blipFill>
        <a:blip r:embed="rId4"/>
        <a:stretch/>
      </xdr:blipFill>
      <xdr:spPr>
        <a:xfrm>
          <a:off x="837720" y="5140440"/>
          <a:ext cx="35424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16</xdr:row>
      <xdr:rowOff>114480</xdr:rowOff>
    </xdr:from>
    <xdr:to>
      <xdr:col>1</xdr:col>
      <xdr:colOff>478080</xdr:colOff>
      <xdr:row>16</xdr:row>
      <xdr:rowOff>246960</xdr:rowOff>
    </xdr:to>
    <xdr:pic>
      <xdr:nvPicPr>
        <xdr:cNvPr id="760" name="Imagem 11" descr=""/>
        <xdr:cNvPicPr/>
      </xdr:nvPicPr>
      <xdr:blipFill>
        <a:blip r:embed="rId5"/>
        <a:stretch/>
      </xdr:blipFill>
      <xdr:spPr>
        <a:xfrm>
          <a:off x="787680" y="4896000"/>
          <a:ext cx="435240" cy="1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76320</xdr:rowOff>
    </xdr:from>
    <xdr:to>
      <xdr:col>1</xdr:col>
      <xdr:colOff>392040</xdr:colOff>
      <xdr:row>18</xdr:row>
      <xdr:rowOff>212760</xdr:rowOff>
    </xdr:to>
    <xdr:pic>
      <xdr:nvPicPr>
        <xdr:cNvPr id="761" name="Imagem 12" descr=""/>
        <xdr:cNvPicPr/>
      </xdr:nvPicPr>
      <xdr:blipFill>
        <a:blip r:embed="rId6"/>
        <a:stretch/>
      </xdr:blipFill>
      <xdr:spPr>
        <a:xfrm>
          <a:off x="849600" y="55054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20</xdr:row>
      <xdr:rowOff>75960</xdr:rowOff>
    </xdr:from>
    <xdr:to>
      <xdr:col>1</xdr:col>
      <xdr:colOff>418680</xdr:colOff>
      <xdr:row>20</xdr:row>
      <xdr:rowOff>229320</xdr:rowOff>
    </xdr:to>
    <xdr:pic>
      <xdr:nvPicPr>
        <xdr:cNvPr id="762" name="Imagem 14" descr=""/>
        <xdr:cNvPicPr/>
      </xdr:nvPicPr>
      <xdr:blipFill>
        <a:blip r:embed="rId7"/>
        <a:stretch/>
      </xdr:blipFill>
      <xdr:spPr>
        <a:xfrm>
          <a:off x="840240" y="6076800"/>
          <a:ext cx="323280" cy="15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21</xdr:row>
      <xdr:rowOff>28440</xdr:rowOff>
    </xdr:from>
    <xdr:to>
      <xdr:col>1</xdr:col>
      <xdr:colOff>331920</xdr:colOff>
      <xdr:row>21</xdr:row>
      <xdr:rowOff>272160</xdr:rowOff>
    </xdr:to>
    <xdr:pic>
      <xdr:nvPicPr>
        <xdr:cNvPr id="763" name="Imagem 15" descr=""/>
        <xdr:cNvPicPr/>
      </xdr:nvPicPr>
      <xdr:blipFill>
        <a:blip r:embed="rId8"/>
        <a:stretch/>
      </xdr:blipFill>
      <xdr:spPr>
        <a:xfrm>
          <a:off x="809280" y="6296040"/>
          <a:ext cx="267480" cy="24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22</xdr:row>
      <xdr:rowOff>50040</xdr:rowOff>
    </xdr:from>
    <xdr:to>
      <xdr:col>1</xdr:col>
      <xdr:colOff>361080</xdr:colOff>
      <xdr:row>22</xdr:row>
      <xdr:rowOff>275400</xdr:rowOff>
    </xdr:to>
    <xdr:pic>
      <xdr:nvPicPr>
        <xdr:cNvPr id="764" name="Imagem 16" descr=""/>
        <xdr:cNvPicPr/>
      </xdr:nvPicPr>
      <xdr:blipFill>
        <a:blip r:embed="rId9"/>
        <a:stretch/>
      </xdr:blipFill>
      <xdr:spPr>
        <a:xfrm>
          <a:off x="816120" y="6651000"/>
          <a:ext cx="28980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37440</xdr:rowOff>
    </xdr:from>
    <xdr:to>
      <xdr:col>1</xdr:col>
      <xdr:colOff>275400</xdr:colOff>
      <xdr:row>25</xdr:row>
      <xdr:rowOff>275400</xdr:rowOff>
    </xdr:to>
    <xdr:pic>
      <xdr:nvPicPr>
        <xdr:cNvPr id="765" name="Imagem 17" descr=""/>
        <xdr:cNvPicPr/>
      </xdr:nvPicPr>
      <xdr:blipFill>
        <a:blip r:embed="rId10"/>
        <a:stretch/>
      </xdr:blipFill>
      <xdr:spPr>
        <a:xfrm>
          <a:off x="792360" y="763848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21600</xdr:colOff>
      <xdr:row>15</xdr:row>
      <xdr:rowOff>51120</xdr:rowOff>
    </xdr:from>
    <xdr:to>
      <xdr:col>11</xdr:col>
      <xdr:colOff>297360</xdr:colOff>
      <xdr:row>15</xdr:row>
      <xdr:rowOff>298800</xdr:rowOff>
    </xdr:to>
    <xdr:pic>
      <xdr:nvPicPr>
        <xdr:cNvPr id="766" name="Imagem 18" descr=""/>
        <xdr:cNvPicPr/>
      </xdr:nvPicPr>
      <xdr:blipFill>
        <a:blip r:embed="rId11"/>
        <a:stretch/>
      </xdr:blipFill>
      <xdr:spPr>
        <a:xfrm>
          <a:off x="6621120" y="450900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77400</xdr:rowOff>
    </xdr:from>
    <xdr:to>
      <xdr:col>11</xdr:col>
      <xdr:colOff>404280</xdr:colOff>
      <xdr:row>2</xdr:row>
      <xdr:rowOff>189720</xdr:rowOff>
    </xdr:to>
    <xdr:pic>
      <xdr:nvPicPr>
        <xdr:cNvPr id="767" name="Imagem 19" descr=""/>
        <xdr:cNvPicPr/>
      </xdr:nvPicPr>
      <xdr:blipFill>
        <a:blip r:embed="rId12"/>
        <a:stretch/>
      </xdr:blipFill>
      <xdr:spPr>
        <a:xfrm>
          <a:off x="6642360" y="58212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16</xdr:row>
      <xdr:rowOff>142920</xdr:rowOff>
    </xdr:from>
    <xdr:to>
      <xdr:col>11</xdr:col>
      <xdr:colOff>441360</xdr:colOff>
      <xdr:row>16</xdr:row>
      <xdr:rowOff>237600</xdr:rowOff>
    </xdr:to>
    <xdr:pic>
      <xdr:nvPicPr>
        <xdr:cNvPr id="768" name="Imagem 22" descr=""/>
        <xdr:cNvPicPr/>
      </xdr:nvPicPr>
      <xdr:blipFill>
        <a:blip r:embed="rId13"/>
        <a:stretch/>
      </xdr:blipFill>
      <xdr:spPr>
        <a:xfrm>
          <a:off x="6654240" y="492444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52560</xdr:colOff>
      <xdr:row>7</xdr:row>
      <xdr:rowOff>101880</xdr:rowOff>
    </xdr:from>
    <xdr:to>
      <xdr:col>11</xdr:col>
      <xdr:colOff>342360</xdr:colOff>
      <xdr:row>7</xdr:row>
      <xdr:rowOff>227880</xdr:rowOff>
    </xdr:to>
    <xdr:pic>
      <xdr:nvPicPr>
        <xdr:cNvPr id="769" name="Imagem 23" descr=""/>
        <xdr:cNvPicPr/>
      </xdr:nvPicPr>
      <xdr:blipFill>
        <a:blip r:embed="rId14"/>
        <a:stretch/>
      </xdr:blipFill>
      <xdr:spPr>
        <a:xfrm>
          <a:off x="6652080" y="1978200"/>
          <a:ext cx="289800" cy="1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9</xdr:row>
      <xdr:rowOff>70560</xdr:rowOff>
    </xdr:from>
    <xdr:to>
      <xdr:col>11</xdr:col>
      <xdr:colOff>354600</xdr:colOff>
      <xdr:row>9</xdr:row>
      <xdr:rowOff>263520</xdr:rowOff>
    </xdr:to>
    <xdr:pic>
      <xdr:nvPicPr>
        <xdr:cNvPr id="770" name="Imagem 24" descr=""/>
        <xdr:cNvPicPr/>
      </xdr:nvPicPr>
      <xdr:blipFill>
        <a:blip r:embed="rId15"/>
        <a:stretch/>
      </xdr:blipFill>
      <xdr:spPr>
        <a:xfrm>
          <a:off x="6678000" y="2585160"/>
          <a:ext cx="276120" cy="19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8</xdr:row>
      <xdr:rowOff>134280</xdr:rowOff>
    </xdr:from>
    <xdr:to>
      <xdr:col>11</xdr:col>
      <xdr:colOff>367560</xdr:colOff>
      <xdr:row>8</xdr:row>
      <xdr:rowOff>237600</xdr:rowOff>
    </xdr:to>
    <xdr:pic>
      <xdr:nvPicPr>
        <xdr:cNvPr id="771" name="Imagem 25" descr=""/>
        <xdr:cNvPicPr/>
      </xdr:nvPicPr>
      <xdr:blipFill>
        <a:blip r:embed="rId16"/>
        <a:stretch/>
      </xdr:blipFill>
      <xdr:spPr>
        <a:xfrm>
          <a:off x="6627960" y="2315520"/>
          <a:ext cx="339120" cy="10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10</xdr:row>
      <xdr:rowOff>125280</xdr:rowOff>
    </xdr:from>
    <xdr:to>
      <xdr:col>11</xdr:col>
      <xdr:colOff>314280</xdr:colOff>
      <xdr:row>10</xdr:row>
      <xdr:rowOff>231480</xdr:rowOff>
    </xdr:to>
    <xdr:pic>
      <xdr:nvPicPr>
        <xdr:cNvPr id="772" name="Imagem 26" descr=""/>
        <xdr:cNvPicPr/>
      </xdr:nvPicPr>
      <xdr:blipFill>
        <a:blip r:embed="rId17"/>
        <a:stretch/>
      </xdr:blipFill>
      <xdr:spPr>
        <a:xfrm>
          <a:off x="6689880" y="2963880"/>
          <a:ext cx="223920" cy="10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12</xdr:row>
      <xdr:rowOff>109800</xdr:rowOff>
    </xdr:from>
    <xdr:to>
      <xdr:col>11</xdr:col>
      <xdr:colOff>333000</xdr:colOff>
      <xdr:row>12</xdr:row>
      <xdr:rowOff>229320</xdr:rowOff>
    </xdr:to>
    <xdr:pic>
      <xdr:nvPicPr>
        <xdr:cNvPr id="773" name="Imagem 28" descr=""/>
        <xdr:cNvPicPr/>
      </xdr:nvPicPr>
      <xdr:blipFill>
        <a:blip r:embed="rId18"/>
        <a:stretch/>
      </xdr:blipFill>
      <xdr:spPr>
        <a:xfrm>
          <a:off x="6680520" y="3596040"/>
          <a:ext cx="25200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13</xdr:row>
      <xdr:rowOff>53640</xdr:rowOff>
    </xdr:from>
    <xdr:to>
      <xdr:col>11</xdr:col>
      <xdr:colOff>258480</xdr:colOff>
      <xdr:row>13</xdr:row>
      <xdr:rowOff>243720</xdr:rowOff>
    </xdr:to>
    <xdr:pic>
      <xdr:nvPicPr>
        <xdr:cNvPr id="774" name="Imagem 29" descr=""/>
        <xdr:cNvPicPr/>
      </xdr:nvPicPr>
      <xdr:blipFill>
        <a:blip r:embed="rId19"/>
        <a:stretch/>
      </xdr:blipFill>
      <xdr:spPr>
        <a:xfrm>
          <a:off x="6649560" y="3863520"/>
          <a:ext cx="20844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14</xdr:row>
      <xdr:rowOff>52200</xdr:rowOff>
    </xdr:from>
    <xdr:to>
      <xdr:col>11</xdr:col>
      <xdr:colOff>282960</xdr:colOff>
      <xdr:row>14</xdr:row>
      <xdr:rowOff>227880</xdr:rowOff>
    </xdr:to>
    <xdr:pic>
      <xdr:nvPicPr>
        <xdr:cNvPr id="775" name="Imagem 30" descr=""/>
        <xdr:cNvPicPr/>
      </xdr:nvPicPr>
      <xdr:blipFill>
        <a:blip r:embed="rId20"/>
        <a:stretch/>
      </xdr:blipFill>
      <xdr:spPr>
        <a:xfrm>
          <a:off x="6656760" y="4186080"/>
          <a:ext cx="2257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100080</xdr:colOff>
      <xdr:row>17</xdr:row>
      <xdr:rowOff>61560</xdr:rowOff>
    </xdr:from>
    <xdr:to>
      <xdr:col>11</xdr:col>
      <xdr:colOff>277560</xdr:colOff>
      <xdr:row>17</xdr:row>
      <xdr:rowOff>246960</xdr:rowOff>
    </xdr:to>
    <xdr:pic>
      <xdr:nvPicPr>
        <xdr:cNvPr id="776" name="Imagem 31" descr=""/>
        <xdr:cNvPicPr/>
      </xdr:nvPicPr>
      <xdr:blipFill>
        <a:blip r:embed="rId21"/>
        <a:stretch/>
      </xdr:blipFill>
      <xdr:spPr>
        <a:xfrm>
          <a:off x="6699600" y="5167080"/>
          <a:ext cx="17748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5</xdr:row>
      <xdr:rowOff>9360</xdr:rowOff>
    </xdr:from>
    <xdr:to>
      <xdr:col>11</xdr:col>
      <xdr:colOff>389880</xdr:colOff>
      <xdr:row>5</xdr:row>
      <xdr:rowOff>254160</xdr:rowOff>
    </xdr:to>
    <xdr:pic>
      <xdr:nvPicPr>
        <xdr:cNvPr id="777" name="Imagem 32" descr=""/>
        <xdr:cNvPicPr/>
      </xdr:nvPicPr>
      <xdr:blipFill>
        <a:blip r:embed="rId22"/>
        <a:stretch/>
      </xdr:blipFill>
      <xdr:spPr>
        <a:xfrm>
          <a:off x="6685200" y="125712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228600</xdr:colOff>
      <xdr:row>5</xdr:row>
      <xdr:rowOff>66600</xdr:rowOff>
    </xdr:from>
    <xdr:to>
      <xdr:col>9</xdr:col>
      <xdr:colOff>46800</xdr:colOff>
      <xdr:row>8</xdr:row>
      <xdr:rowOff>260280</xdr:rowOff>
    </xdr:to>
    <xdr:pic>
      <xdr:nvPicPr>
        <xdr:cNvPr id="778" name="Imagem 33" descr="">
          <a:hlinkClick r:id="rId23"/>
        </xdr:cNvPr>
        <xdr:cNvPicPr/>
      </xdr:nvPicPr>
      <xdr:blipFill>
        <a:blip r:embed="rId24"/>
        <a:stretch/>
      </xdr:blipFill>
      <xdr:spPr>
        <a:xfrm>
          <a:off x="4311000" y="1314360"/>
          <a:ext cx="946080" cy="11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14</xdr:row>
      <xdr:rowOff>142920</xdr:rowOff>
    </xdr:from>
    <xdr:to>
      <xdr:col>1</xdr:col>
      <xdr:colOff>389880</xdr:colOff>
      <xdr:row>14</xdr:row>
      <xdr:rowOff>214920</xdr:rowOff>
    </xdr:to>
    <xdr:pic>
      <xdr:nvPicPr>
        <xdr:cNvPr id="779" name="Imagem 34" descr=""/>
        <xdr:cNvPicPr/>
      </xdr:nvPicPr>
      <xdr:blipFill>
        <a:blip r:embed="rId25"/>
        <a:stretch/>
      </xdr:blipFill>
      <xdr:spPr>
        <a:xfrm>
          <a:off x="811440" y="427680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104760</xdr:rowOff>
    </xdr:from>
    <xdr:to>
      <xdr:col>1</xdr:col>
      <xdr:colOff>389880</xdr:colOff>
      <xdr:row>15</xdr:row>
      <xdr:rowOff>176760</xdr:rowOff>
    </xdr:to>
    <xdr:pic>
      <xdr:nvPicPr>
        <xdr:cNvPr id="780" name="Imagem 35" descr=""/>
        <xdr:cNvPicPr/>
      </xdr:nvPicPr>
      <xdr:blipFill>
        <a:blip r:embed="rId26"/>
        <a:stretch/>
      </xdr:blipFill>
      <xdr:spPr>
        <a:xfrm>
          <a:off x="811440" y="456264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38160</xdr:rowOff>
    </xdr:from>
    <xdr:to>
      <xdr:col>1</xdr:col>
      <xdr:colOff>380520</xdr:colOff>
      <xdr:row>13</xdr:row>
      <xdr:rowOff>282960</xdr:rowOff>
    </xdr:to>
    <xdr:pic>
      <xdr:nvPicPr>
        <xdr:cNvPr id="781" name="Imagem 36" descr=""/>
        <xdr:cNvPicPr/>
      </xdr:nvPicPr>
      <xdr:blipFill>
        <a:blip r:embed="rId27"/>
        <a:stretch/>
      </xdr:blipFill>
      <xdr:spPr>
        <a:xfrm>
          <a:off x="821160" y="384804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30</xdr:row>
      <xdr:rowOff>95400</xdr:rowOff>
    </xdr:from>
    <xdr:to>
      <xdr:col>1</xdr:col>
      <xdr:colOff>424800</xdr:colOff>
      <xdr:row>30</xdr:row>
      <xdr:rowOff>190080</xdr:rowOff>
    </xdr:to>
    <xdr:pic>
      <xdr:nvPicPr>
        <xdr:cNvPr id="782" name="Imagem 37" descr=""/>
        <xdr:cNvPicPr/>
      </xdr:nvPicPr>
      <xdr:blipFill>
        <a:blip r:embed="rId28"/>
        <a:stretch/>
      </xdr:blipFill>
      <xdr:spPr>
        <a:xfrm>
          <a:off x="783000" y="91440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29</xdr:row>
      <xdr:rowOff>38160</xdr:rowOff>
    </xdr:from>
    <xdr:to>
      <xdr:col>1</xdr:col>
      <xdr:colOff>316800</xdr:colOff>
      <xdr:row>29</xdr:row>
      <xdr:rowOff>219960</xdr:rowOff>
    </xdr:to>
    <xdr:pic>
      <xdr:nvPicPr>
        <xdr:cNvPr id="783" name="Imagem 38" descr=""/>
        <xdr:cNvPicPr/>
      </xdr:nvPicPr>
      <xdr:blipFill>
        <a:blip r:embed="rId29"/>
        <a:stretch/>
      </xdr:blipFill>
      <xdr:spPr>
        <a:xfrm>
          <a:off x="792360" y="88394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26</xdr:row>
      <xdr:rowOff>85680</xdr:rowOff>
    </xdr:from>
    <xdr:to>
      <xdr:col>1</xdr:col>
      <xdr:colOff>410040</xdr:colOff>
      <xdr:row>26</xdr:row>
      <xdr:rowOff>241200</xdr:rowOff>
    </xdr:to>
    <xdr:pic>
      <xdr:nvPicPr>
        <xdr:cNvPr id="784" name="Imagem 40" descr=""/>
        <xdr:cNvPicPr/>
      </xdr:nvPicPr>
      <xdr:blipFill>
        <a:blip r:embed="rId30"/>
        <a:stretch/>
      </xdr:blipFill>
      <xdr:spPr>
        <a:xfrm flipH="1">
          <a:off x="797040" y="8020080"/>
          <a:ext cx="357840" cy="15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28</xdr:row>
      <xdr:rowOff>47520</xdr:rowOff>
    </xdr:from>
    <xdr:to>
      <xdr:col>1</xdr:col>
      <xdr:colOff>357840</xdr:colOff>
      <xdr:row>28</xdr:row>
      <xdr:rowOff>252000</xdr:rowOff>
    </xdr:to>
    <xdr:pic>
      <xdr:nvPicPr>
        <xdr:cNvPr id="785" name="Imagem 41" descr=""/>
        <xdr:cNvPicPr/>
      </xdr:nvPicPr>
      <xdr:blipFill>
        <a:blip r:embed="rId31"/>
        <a:stretch/>
      </xdr:blipFill>
      <xdr:spPr>
        <a:xfrm>
          <a:off x="844920" y="8534160"/>
          <a:ext cx="25776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19</xdr:row>
      <xdr:rowOff>0</xdr:rowOff>
    </xdr:from>
    <xdr:to>
      <xdr:col>1</xdr:col>
      <xdr:colOff>285120</xdr:colOff>
      <xdr:row>19</xdr:row>
      <xdr:rowOff>277560</xdr:rowOff>
    </xdr:to>
    <xdr:pic>
      <xdr:nvPicPr>
        <xdr:cNvPr id="786" name="Imagem 42" descr=""/>
        <xdr:cNvPicPr/>
      </xdr:nvPicPr>
      <xdr:blipFill>
        <a:blip r:embed="rId32"/>
        <a:stretch/>
      </xdr:blipFill>
      <xdr:spPr>
        <a:xfrm>
          <a:off x="859320" y="571500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11</xdr:row>
      <xdr:rowOff>88920</xdr:rowOff>
    </xdr:from>
    <xdr:to>
      <xdr:col>1</xdr:col>
      <xdr:colOff>513720</xdr:colOff>
      <xdr:row>11</xdr:row>
      <xdr:rowOff>252720</xdr:rowOff>
    </xdr:to>
    <xdr:pic>
      <xdr:nvPicPr>
        <xdr:cNvPr id="787" name="Imagem 43" descr=""/>
        <xdr:cNvPicPr/>
      </xdr:nvPicPr>
      <xdr:blipFill>
        <a:blip r:embed="rId33"/>
        <a:stretch/>
      </xdr:blipFill>
      <xdr:spPr>
        <a:xfrm>
          <a:off x="802080" y="3251160"/>
          <a:ext cx="456480" cy="16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9360</xdr:rowOff>
    </xdr:from>
    <xdr:to>
      <xdr:col>11</xdr:col>
      <xdr:colOff>494640</xdr:colOff>
      <xdr:row>3</xdr:row>
      <xdr:rowOff>173160</xdr:rowOff>
    </xdr:to>
    <xdr:pic>
      <xdr:nvPicPr>
        <xdr:cNvPr id="788" name="Imagem 44" descr=""/>
        <xdr:cNvPicPr/>
      </xdr:nvPicPr>
      <xdr:blipFill>
        <a:blip r:embed="rId34"/>
        <a:stretch/>
      </xdr:blipFill>
      <xdr:spPr>
        <a:xfrm>
          <a:off x="6637680" y="761760"/>
          <a:ext cx="456480" cy="16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27</xdr:row>
      <xdr:rowOff>66600</xdr:rowOff>
    </xdr:from>
    <xdr:to>
      <xdr:col>1</xdr:col>
      <xdr:colOff>332640</xdr:colOff>
      <xdr:row>27</xdr:row>
      <xdr:rowOff>223200</xdr:rowOff>
    </xdr:to>
    <xdr:pic>
      <xdr:nvPicPr>
        <xdr:cNvPr id="789" name="Imagem 45" descr=""/>
        <xdr:cNvPicPr/>
      </xdr:nvPicPr>
      <xdr:blipFill>
        <a:blip r:embed="rId35"/>
        <a:stretch/>
      </xdr:blipFill>
      <xdr:spPr>
        <a:xfrm>
          <a:off x="802080" y="830556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12</xdr:row>
      <xdr:rowOff>81720</xdr:rowOff>
    </xdr:from>
    <xdr:to>
      <xdr:col>1</xdr:col>
      <xdr:colOff>580320</xdr:colOff>
      <xdr:row>12</xdr:row>
      <xdr:rowOff>212040</xdr:rowOff>
    </xdr:to>
    <xdr:pic>
      <xdr:nvPicPr>
        <xdr:cNvPr id="790" name="Imagem 46" descr=""/>
        <xdr:cNvPicPr/>
      </xdr:nvPicPr>
      <xdr:blipFill>
        <a:blip r:embed="rId36"/>
        <a:stretch/>
      </xdr:blipFill>
      <xdr:spPr>
        <a:xfrm>
          <a:off x="792360" y="3567960"/>
          <a:ext cx="532800" cy="13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4</xdr:row>
      <xdr:rowOff>56520</xdr:rowOff>
    </xdr:from>
    <xdr:to>
      <xdr:col>11</xdr:col>
      <xdr:colOff>456480</xdr:colOff>
      <xdr:row>4</xdr:row>
      <xdr:rowOff>149400</xdr:rowOff>
    </xdr:to>
    <xdr:pic>
      <xdr:nvPicPr>
        <xdr:cNvPr id="791" name="Imagem 47" descr=""/>
        <xdr:cNvPicPr/>
      </xdr:nvPicPr>
      <xdr:blipFill>
        <a:blip r:embed="rId37"/>
        <a:stretch/>
      </xdr:blipFill>
      <xdr:spPr>
        <a:xfrm>
          <a:off x="6675840" y="1056600"/>
          <a:ext cx="380160" cy="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11</xdr:row>
      <xdr:rowOff>47520</xdr:rowOff>
    </xdr:from>
    <xdr:to>
      <xdr:col>11</xdr:col>
      <xdr:colOff>266040</xdr:colOff>
      <xdr:row>12</xdr:row>
      <xdr:rowOff>1440</xdr:rowOff>
    </xdr:to>
    <xdr:pic>
      <xdr:nvPicPr>
        <xdr:cNvPr id="792" name="Imagem 48" descr=""/>
        <xdr:cNvPicPr/>
      </xdr:nvPicPr>
      <xdr:blipFill>
        <a:blip r:embed="rId38"/>
        <a:stretch/>
      </xdr:blipFill>
      <xdr:spPr>
        <a:xfrm>
          <a:off x="6694920" y="3209760"/>
          <a:ext cx="17064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18</xdr:row>
      <xdr:rowOff>47520</xdr:rowOff>
    </xdr:from>
    <xdr:to>
      <xdr:col>11</xdr:col>
      <xdr:colOff>374040</xdr:colOff>
      <xdr:row>18</xdr:row>
      <xdr:rowOff>229320</xdr:rowOff>
    </xdr:to>
    <xdr:pic>
      <xdr:nvPicPr>
        <xdr:cNvPr id="793" name="Imagem 49" descr=""/>
        <xdr:cNvPicPr/>
      </xdr:nvPicPr>
      <xdr:blipFill>
        <a:blip r:embed="rId39"/>
        <a:stretch/>
      </xdr:blipFill>
      <xdr:spPr>
        <a:xfrm>
          <a:off x="6704280" y="547668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20</xdr:row>
      <xdr:rowOff>28440</xdr:rowOff>
    </xdr:from>
    <xdr:to>
      <xdr:col>11</xdr:col>
      <xdr:colOff>348120</xdr:colOff>
      <xdr:row>20</xdr:row>
      <xdr:rowOff>232920</xdr:rowOff>
    </xdr:to>
    <xdr:pic>
      <xdr:nvPicPr>
        <xdr:cNvPr id="794" name="Imagem 51" descr=""/>
        <xdr:cNvPicPr/>
      </xdr:nvPicPr>
      <xdr:blipFill>
        <a:blip r:embed="rId40"/>
        <a:stretch/>
      </xdr:blipFill>
      <xdr:spPr>
        <a:xfrm>
          <a:off x="6689880" y="6029280"/>
          <a:ext cx="25776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19</xdr:row>
      <xdr:rowOff>47520</xdr:rowOff>
    </xdr:from>
    <xdr:to>
      <xdr:col>11</xdr:col>
      <xdr:colOff>361080</xdr:colOff>
      <xdr:row>19</xdr:row>
      <xdr:rowOff>204120</xdr:rowOff>
    </xdr:to>
    <xdr:pic>
      <xdr:nvPicPr>
        <xdr:cNvPr id="795" name="Imagem 52" descr=""/>
        <xdr:cNvPicPr/>
      </xdr:nvPicPr>
      <xdr:blipFill>
        <a:blip r:embed="rId41"/>
        <a:stretch/>
      </xdr:blipFill>
      <xdr:spPr>
        <a:xfrm>
          <a:off x="6685200" y="576252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6</xdr:row>
      <xdr:rowOff>142920</xdr:rowOff>
    </xdr:from>
    <xdr:to>
      <xdr:col>11</xdr:col>
      <xdr:colOff>399600</xdr:colOff>
      <xdr:row>6</xdr:row>
      <xdr:rowOff>214920</xdr:rowOff>
    </xdr:to>
    <xdr:pic>
      <xdr:nvPicPr>
        <xdr:cNvPr id="796" name="Imagem 53" descr=""/>
        <xdr:cNvPicPr/>
      </xdr:nvPicPr>
      <xdr:blipFill>
        <a:blip r:embed="rId42"/>
        <a:stretch/>
      </xdr:blipFill>
      <xdr:spPr>
        <a:xfrm>
          <a:off x="6675840" y="167652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23</xdr:row>
      <xdr:rowOff>28440</xdr:rowOff>
    </xdr:from>
    <xdr:to>
      <xdr:col>1</xdr:col>
      <xdr:colOff>456120</xdr:colOff>
      <xdr:row>24</xdr:row>
      <xdr:rowOff>12600</xdr:rowOff>
    </xdr:to>
    <xdr:pic>
      <xdr:nvPicPr>
        <xdr:cNvPr id="797" name="Imagem 50" descr=""/>
        <xdr:cNvPicPr/>
      </xdr:nvPicPr>
      <xdr:blipFill>
        <a:blip r:embed="rId43"/>
        <a:stretch/>
      </xdr:blipFill>
      <xdr:spPr>
        <a:xfrm>
          <a:off x="847080" y="69627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24</xdr:row>
      <xdr:rowOff>38160</xdr:rowOff>
    </xdr:from>
    <xdr:to>
      <xdr:col>1</xdr:col>
      <xdr:colOff>427680</xdr:colOff>
      <xdr:row>25</xdr:row>
      <xdr:rowOff>22320</xdr:rowOff>
    </xdr:to>
    <xdr:pic>
      <xdr:nvPicPr>
        <xdr:cNvPr id="798" name="Imagem 54" descr=""/>
        <xdr:cNvPicPr/>
      </xdr:nvPicPr>
      <xdr:blipFill>
        <a:blip r:embed="rId44"/>
        <a:stretch/>
      </xdr:blipFill>
      <xdr:spPr>
        <a:xfrm>
          <a:off x="818640" y="73058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799" name="Imagem 55" descr=""/>
        <xdr:cNvPicPr/>
      </xdr:nvPicPr>
      <xdr:blipFill>
        <a:blip r:embed="rId45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17</xdr:row>
      <xdr:rowOff>34920</xdr:rowOff>
    </xdr:from>
    <xdr:to>
      <xdr:col>1</xdr:col>
      <xdr:colOff>447120</xdr:colOff>
      <xdr:row>17</xdr:row>
      <xdr:rowOff>282600</xdr:rowOff>
    </xdr:to>
    <xdr:pic>
      <xdr:nvPicPr>
        <xdr:cNvPr id="800" name="Imagem 56" descr=""/>
        <xdr:cNvPicPr/>
      </xdr:nvPicPr>
      <xdr:blipFill>
        <a:blip r:embed="rId46"/>
        <a:stretch/>
      </xdr:blipFill>
      <xdr:spPr>
        <a:xfrm>
          <a:off x="837720" y="5140440"/>
          <a:ext cx="35424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16</xdr:row>
      <xdr:rowOff>114480</xdr:rowOff>
    </xdr:from>
    <xdr:to>
      <xdr:col>1</xdr:col>
      <xdr:colOff>478080</xdr:colOff>
      <xdr:row>16</xdr:row>
      <xdr:rowOff>246960</xdr:rowOff>
    </xdr:to>
    <xdr:pic>
      <xdr:nvPicPr>
        <xdr:cNvPr id="801" name="Imagem 57" descr=""/>
        <xdr:cNvPicPr/>
      </xdr:nvPicPr>
      <xdr:blipFill>
        <a:blip r:embed="rId47"/>
        <a:stretch/>
      </xdr:blipFill>
      <xdr:spPr>
        <a:xfrm>
          <a:off x="787680" y="4896000"/>
          <a:ext cx="435240" cy="1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76320</xdr:rowOff>
    </xdr:from>
    <xdr:to>
      <xdr:col>1</xdr:col>
      <xdr:colOff>392040</xdr:colOff>
      <xdr:row>18</xdr:row>
      <xdr:rowOff>212760</xdr:rowOff>
    </xdr:to>
    <xdr:pic>
      <xdr:nvPicPr>
        <xdr:cNvPr id="802" name="Imagem 58" descr=""/>
        <xdr:cNvPicPr/>
      </xdr:nvPicPr>
      <xdr:blipFill>
        <a:blip r:embed="rId48"/>
        <a:stretch/>
      </xdr:blipFill>
      <xdr:spPr>
        <a:xfrm>
          <a:off x="849600" y="55054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20</xdr:row>
      <xdr:rowOff>75960</xdr:rowOff>
    </xdr:from>
    <xdr:to>
      <xdr:col>1</xdr:col>
      <xdr:colOff>418680</xdr:colOff>
      <xdr:row>20</xdr:row>
      <xdr:rowOff>229320</xdr:rowOff>
    </xdr:to>
    <xdr:pic>
      <xdr:nvPicPr>
        <xdr:cNvPr id="803" name="Imagem 59" descr=""/>
        <xdr:cNvPicPr/>
      </xdr:nvPicPr>
      <xdr:blipFill>
        <a:blip r:embed="rId49"/>
        <a:stretch/>
      </xdr:blipFill>
      <xdr:spPr>
        <a:xfrm>
          <a:off x="840240" y="6076800"/>
          <a:ext cx="323280" cy="15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21</xdr:row>
      <xdr:rowOff>28440</xdr:rowOff>
    </xdr:from>
    <xdr:to>
      <xdr:col>1</xdr:col>
      <xdr:colOff>331920</xdr:colOff>
      <xdr:row>21</xdr:row>
      <xdr:rowOff>272160</xdr:rowOff>
    </xdr:to>
    <xdr:pic>
      <xdr:nvPicPr>
        <xdr:cNvPr id="804" name="Imagem 60" descr=""/>
        <xdr:cNvPicPr/>
      </xdr:nvPicPr>
      <xdr:blipFill>
        <a:blip r:embed="rId50"/>
        <a:stretch/>
      </xdr:blipFill>
      <xdr:spPr>
        <a:xfrm>
          <a:off x="809280" y="6296040"/>
          <a:ext cx="267480" cy="24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22</xdr:row>
      <xdr:rowOff>50040</xdr:rowOff>
    </xdr:from>
    <xdr:to>
      <xdr:col>1</xdr:col>
      <xdr:colOff>361080</xdr:colOff>
      <xdr:row>22</xdr:row>
      <xdr:rowOff>275400</xdr:rowOff>
    </xdr:to>
    <xdr:pic>
      <xdr:nvPicPr>
        <xdr:cNvPr id="805" name="Imagem 61" descr=""/>
        <xdr:cNvPicPr/>
      </xdr:nvPicPr>
      <xdr:blipFill>
        <a:blip r:embed="rId51"/>
        <a:stretch/>
      </xdr:blipFill>
      <xdr:spPr>
        <a:xfrm>
          <a:off x="816120" y="6651000"/>
          <a:ext cx="28980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37440</xdr:rowOff>
    </xdr:from>
    <xdr:to>
      <xdr:col>1</xdr:col>
      <xdr:colOff>275400</xdr:colOff>
      <xdr:row>25</xdr:row>
      <xdr:rowOff>275400</xdr:rowOff>
    </xdr:to>
    <xdr:pic>
      <xdr:nvPicPr>
        <xdr:cNvPr id="806" name="Imagem 62" descr=""/>
        <xdr:cNvPicPr/>
      </xdr:nvPicPr>
      <xdr:blipFill>
        <a:blip r:embed="rId52"/>
        <a:stretch/>
      </xdr:blipFill>
      <xdr:spPr>
        <a:xfrm>
          <a:off x="792360" y="763848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14</xdr:row>
      <xdr:rowOff>142920</xdr:rowOff>
    </xdr:from>
    <xdr:to>
      <xdr:col>1</xdr:col>
      <xdr:colOff>389880</xdr:colOff>
      <xdr:row>14</xdr:row>
      <xdr:rowOff>214920</xdr:rowOff>
    </xdr:to>
    <xdr:pic>
      <xdr:nvPicPr>
        <xdr:cNvPr id="807" name="Imagem 63" descr=""/>
        <xdr:cNvPicPr/>
      </xdr:nvPicPr>
      <xdr:blipFill>
        <a:blip r:embed="rId53"/>
        <a:stretch/>
      </xdr:blipFill>
      <xdr:spPr>
        <a:xfrm>
          <a:off x="811440" y="427680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104760</xdr:rowOff>
    </xdr:from>
    <xdr:to>
      <xdr:col>1</xdr:col>
      <xdr:colOff>389880</xdr:colOff>
      <xdr:row>15</xdr:row>
      <xdr:rowOff>176760</xdr:rowOff>
    </xdr:to>
    <xdr:pic>
      <xdr:nvPicPr>
        <xdr:cNvPr id="808" name="Imagem 64" descr=""/>
        <xdr:cNvPicPr/>
      </xdr:nvPicPr>
      <xdr:blipFill>
        <a:blip r:embed="rId54"/>
        <a:stretch/>
      </xdr:blipFill>
      <xdr:spPr>
        <a:xfrm>
          <a:off x="811440" y="4562640"/>
          <a:ext cx="323280" cy="7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38160</xdr:rowOff>
    </xdr:from>
    <xdr:to>
      <xdr:col>1</xdr:col>
      <xdr:colOff>380520</xdr:colOff>
      <xdr:row>13</xdr:row>
      <xdr:rowOff>282960</xdr:rowOff>
    </xdr:to>
    <xdr:pic>
      <xdr:nvPicPr>
        <xdr:cNvPr id="809" name="Imagem 65" descr=""/>
        <xdr:cNvPicPr/>
      </xdr:nvPicPr>
      <xdr:blipFill>
        <a:blip r:embed="rId55"/>
        <a:stretch/>
      </xdr:blipFill>
      <xdr:spPr>
        <a:xfrm>
          <a:off x="821160" y="384804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30</xdr:row>
      <xdr:rowOff>95400</xdr:rowOff>
    </xdr:from>
    <xdr:to>
      <xdr:col>1</xdr:col>
      <xdr:colOff>424800</xdr:colOff>
      <xdr:row>30</xdr:row>
      <xdr:rowOff>190080</xdr:rowOff>
    </xdr:to>
    <xdr:pic>
      <xdr:nvPicPr>
        <xdr:cNvPr id="810" name="Imagem 66" descr=""/>
        <xdr:cNvPicPr/>
      </xdr:nvPicPr>
      <xdr:blipFill>
        <a:blip r:embed="rId56"/>
        <a:stretch/>
      </xdr:blipFill>
      <xdr:spPr>
        <a:xfrm>
          <a:off x="783000" y="91440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29</xdr:row>
      <xdr:rowOff>38160</xdr:rowOff>
    </xdr:from>
    <xdr:to>
      <xdr:col>1</xdr:col>
      <xdr:colOff>316800</xdr:colOff>
      <xdr:row>29</xdr:row>
      <xdr:rowOff>219960</xdr:rowOff>
    </xdr:to>
    <xdr:pic>
      <xdr:nvPicPr>
        <xdr:cNvPr id="811" name="Imagem 67" descr=""/>
        <xdr:cNvPicPr/>
      </xdr:nvPicPr>
      <xdr:blipFill>
        <a:blip r:embed="rId57"/>
        <a:stretch/>
      </xdr:blipFill>
      <xdr:spPr>
        <a:xfrm>
          <a:off x="792360" y="88394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26</xdr:row>
      <xdr:rowOff>85680</xdr:rowOff>
    </xdr:from>
    <xdr:to>
      <xdr:col>1</xdr:col>
      <xdr:colOff>410040</xdr:colOff>
      <xdr:row>26</xdr:row>
      <xdr:rowOff>241200</xdr:rowOff>
    </xdr:to>
    <xdr:pic>
      <xdr:nvPicPr>
        <xdr:cNvPr id="812" name="Imagem 68" descr=""/>
        <xdr:cNvPicPr/>
      </xdr:nvPicPr>
      <xdr:blipFill>
        <a:blip r:embed="rId58"/>
        <a:stretch/>
      </xdr:blipFill>
      <xdr:spPr>
        <a:xfrm flipH="1">
          <a:off x="797040" y="8020080"/>
          <a:ext cx="357840" cy="15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28</xdr:row>
      <xdr:rowOff>47520</xdr:rowOff>
    </xdr:from>
    <xdr:to>
      <xdr:col>1</xdr:col>
      <xdr:colOff>357840</xdr:colOff>
      <xdr:row>28</xdr:row>
      <xdr:rowOff>252000</xdr:rowOff>
    </xdr:to>
    <xdr:pic>
      <xdr:nvPicPr>
        <xdr:cNvPr id="813" name="Imagem 69" descr=""/>
        <xdr:cNvPicPr/>
      </xdr:nvPicPr>
      <xdr:blipFill>
        <a:blip r:embed="rId59"/>
        <a:stretch/>
      </xdr:blipFill>
      <xdr:spPr>
        <a:xfrm>
          <a:off x="844920" y="8534160"/>
          <a:ext cx="25776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114480</xdr:colOff>
      <xdr:row>19</xdr:row>
      <xdr:rowOff>0</xdr:rowOff>
    </xdr:from>
    <xdr:to>
      <xdr:col>1</xdr:col>
      <xdr:colOff>285120</xdr:colOff>
      <xdr:row>19</xdr:row>
      <xdr:rowOff>277560</xdr:rowOff>
    </xdr:to>
    <xdr:pic>
      <xdr:nvPicPr>
        <xdr:cNvPr id="814" name="Imagem 70" descr=""/>
        <xdr:cNvPicPr/>
      </xdr:nvPicPr>
      <xdr:blipFill>
        <a:blip r:embed="rId60"/>
        <a:stretch/>
      </xdr:blipFill>
      <xdr:spPr>
        <a:xfrm>
          <a:off x="859320" y="571500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11</xdr:row>
      <xdr:rowOff>88920</xdr:rowOff>
    </xdr:from>
    <xdr:to>
      <xdr:col>1</xdr:col>
      <xdr:colOff>513720</xdr:colOff>
      <xdr:row>11</xdr:row>
      <xdr:rowOff>252720</xdr:rowOff>
    </xdr:to>
    <xdr:pic>
      <xdr:nvPicPr>
        <xdr:cNvPr id="815" name="Imagem 71" descr=""/>
        <xdr:cNvPicPr/>
      </xdr:nvPicPr>
      <xdr:blipFill>
        <a:blip r:embed="rId61"/>
        <a:stretch/>
      </xdr:blipFill>
      <xdr:spPr>
        <a:xfrm>
          <a:off x="802080" y="3251160"/>
          <a:ext cx="456480" cy="16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27</xdr:row>
      <xdr:rowOff>66600</xdr:rowOff>
    </xdr:from>
    <xdr:to>
      <xdr:col>1</xdr:col>
      <xdr:colOff>332640</xdr:colOff>
      <xdr:row>27</xdr:row>
      <xdr:rowOff>223200</xdr:rowOff>
    </xdr:to>
    <xdr:pic>
      <xdr:nvPicPr>
        <xdr:cNvPr id="816" name="Imagem 72" descr=""/>
        <xdr:cNvPicPr/>
      </xdr:nvPicPr>
      <xdr:blipFill>
        <a:blip r:embed="rId62"/>
        <a:stretch/>
      </xdr:blipFill>
      <xdr:spPr>
        <a:xfrm>
          <a:off x="802080" y="830556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12</xdr:row>
      <xdr:rowOff>81720</xdr:rowOff>
    </xdr:from>
    <xdr:to>
      <xdr:col>1</xdr:col>
      <xdr:colOff>580320</xdr:colOff>
      <xdr:row>12</xdr:row>
      <xdr:rowOff>212040</xdr:rowOff>
    </xdr:to>
    <xdr:pic>
      <xdr:nvPicPr>
        <xdr:cNvPr id="817" name="Imagem 73" descr=""/>
        <xdr:cNvPicPr/>
      </xdr:nvPicPr>
      <xdr:blipFill>
        <a:blip r:embed="rId63"/>
        <a:stretch/>
      </xdr:blipFill>
      <xdr:spPr>
        <a:xfrm>
          <a:off x="792360" y="3567960"/>
          <a:ext cx="532800" cy="130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818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819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820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821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822" name="Imagem 5" descr=""/>
        <xdr:cNvPicPr/>
      </xdr:nvPicPr>
      <xdr:blipFill>
        <a:blip r:embed="rId5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823" name="Imagem 6" descr=""/>
        <xdr:cNvPicPr/>
      </xdr:nvPicPr>
      <xdr:blipFill>
        <a:blip r:embed="rId6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824" name="Imagem 7" descr=""/>
        <xdr:cNvPicPr/>
      </xdr:nvPicPr>
      <xdr:blipFill>
        <a:blip r:embed="rId7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825" name="Imagem 9" descr=""/>
        <xdr:cNvPicPr/>
      </xdr:nvPicPr>
      <xdr:blipFill>
        <a:blip r:embed="rId8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826" name="Imagem 10" descr=""/>
        <xdr:cNvPicPr/>
      </xdr:nvPicPr>
      <xdr:blipFill>
        <a:blip r:embed="rId9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827" name="Imagem 11" descr=""/>
        <xdr:cNvPicPr/>
      </xdr:nvPicPr>
      <xdr:blipFill>
        <a:blip r:embed="rId10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828" name="Imagem 12" descr=""/>
        <xdr:cNvPicPr/>
      </xdr:nvPicPr>
      <xdr:blipFill>
        <a:blip r:embed="rId11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829" name="Imagem 13" descr=""/>
        <xdr:cNvPicPr/>
      </xdr:nvPicPr>
      <xdr:blipFill>
        <a:blip r:embed="rId12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830" name="Imagem 14" descr=""/>
        <xdr:cNvPicPr/>
      </xdr:nvPicPr>
      <xdr:blipFill>
        <a:blip r:embed="rId13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831" name="Imagem 15" descr=""/>
        <xdr:cNvPicPr/>
      </xdr:nvPicPr>
      <xdr:blipFill>
        <a:blip r:embed="rId14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832" name="Imagem 16" descr=""/>
        <xdr:cNvPicPr/>
      </xdr:nvPicPr>
      <xdr:blipFill>
        <a:blip r:embed="rId15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833" name="Imagem 17" descr=""/>
        <xdr:cNvPicPr/>
      </xdr:nvPicPr>
      <xdr:blipFill>
        <a:blip r:embed="rId16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263520</xdr:rowOff>
    </xdr:from>
    <xdr:to>
      <xdr:col>1</xdr:col>
      <xdr:colOff>361440</xdr:colOff>
      <xdr:row>22</xdr:row>
      <xdr:rowOff>22680</xdr:rowOff>
    </xdr:to>
    <xdr:pic>
      <xdr:nvPicPr>
        <xdr:cNvPr id="834" name="Imagem 18" descr=""/>
        <xdr:cNvPicPr/>
      </xdr:nvPicPr>
      <xdr:blipFill>
        <a:blip r:embed="rId17"/>
        <a:stretch/>
      </xdr:blipFill>
      <xdr:spPr>
        <a:xfrm>
          <a:off x="802080" y="626436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12</xdr:row>
      <xdr:rowOff>44640</xdr:rowOff>
    </xdr:from>
    <xdr:to>
      <xdr:col>11</xdr:col>
      <xdr:colOff>370800</xdr:colOff>
      <xdr:row>12</xdr:row>
      <xdr:rowOff>289440</xdr:rowOff>
    </xdr:to>
    <xdr:pic>
      <xdr:nvPicPr>
        <xdr:cNvPr id="835" name="Imagem 19" descr=""/>
        <xdr:cNvPicPr/>
      </xdr:nvPicPr>
      <xdr:blipFill>
        <a:blip r:embed="rId18"/>
        <a:stretch/>
      </xdr:blipFill>
      <xdr:spPr>
        <a:xfrm>
          <a:off x="6666120" y="3530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66600</xdr:colOff>
      <xdr:row>5</xdr:row>
      <xdr:rowOff>0</xdr:rowOff>
    </xdr:from>
    <xdr:to>
      <xdr:col>9</xdr:col>
      <xdr:colOff>180360</xdr:colOff>
      <xdr:row>8</xdr:row>
      <xdr:rowOff>304200</xdr:rowOff>
    </xdr:to>
    <xdr:pic>
      <xdr:nvPicPr>
        <xdr:cNvPr id="836" name="Imagem 23" descr="">
          <a:hlinkClick r:id="rId19"/>
        </xdr:cNvPr>
        <xdr:cNvPicPr/>
      </xdr:nvPicPr>
      <xdr:blipFill>
        <a:blip r:embed="rId20"/>
        <a:stretch/>
      </xdr:blipFill>
      <xdr:spPr>
        <a:xfrm>
          <a:off x="4149000" y="1247760"/>
          <a:ext cx="1241640" cy="123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11</xdr:row>
      <xdr:rowOff>123840</xdr:rowOff>
    </xdr:from>
    <xdr:to>
      <xdr:col>1</xdr:col>
      <xdr:colOff>408960</xdr:colOff>
      <xdr:row>11</xdr:row>
      <xdr:rowOff>235080</xdr:rowOff>
    </xdr:to>
    <xdr:pic>
      <xdr:nvPicPr>
        <xdr:cNvPr id="837" name="Imagem 24" descr=""/>
        <xdr:cNvPicPr/>
      </xdr:nvPicPr>
      <xdr:blipFill>
        <a:blip r:embed="rId21"/>
        <a:stretch/>
      </xdr:blipFill>
      <xdr:spPr>
        <a:xfrm>
          <a:off x="821160" y="3286080"/>
          <a:ext cx="332640" cy="11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13</xdr:row>
      <xdr:rowOff>85680</xdr:rowOff>
    </xdr:from>
    <xdr:to>
      <xdr:col>1</xdr:col>
      <xdr:colOff>453600</xdr:colOff>
      <xdr:row>13</xdr:row>
      <xdr:rowOff>247680</xdr:rowOff>
    </xdr:to>
    <xdr:pic>
      <xdr:nvPicPr>
        <xdr:cNvPr id="838" name="Imagem 25" descr=""/>
        <xdr:cNvPicPr/>
      </xdr:nvPicPr>
      <xdr:blipFill>
        <a:blip r:embed="rId22"/>
        <a:stretch/>
      </xdr:blipFill>
      <xdr:spPr>
        <a:xfrm>
          <a:off x="802080" y="389556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5</xdr:row>
      <xdr:rowOff>76320</xdr:rowOff>
    </xdr:from>
    <xdr:to>
      <xdr:col>11</xdr:col>
      <xdr:colOff>434520</xdr:colOff>
      <xdr:row>5</xdr:row>
      <xdr:rowOff>238320</xdr:rowOff>
    </xdr:to>
    <xdr:pic>
      <xdr:nvPicPr>
        <xdr:cNvPr id="839" name="Imagem 26" descr=""/>
        <xdr:cNvPicPr/>
      </xdr:nvPicPr>
      <xdr:blipFill>
        <a:blip r:embed="rId23"/>
        <a:stretch/>
      </xdr:blipFill>
      <xdr:spPr>
        <a:xfrm>
          <a:off x="6637680" y="1324080"/>
          <a:ext cx="396360" cy="16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73800</xdr:colOff>
      <xdr:row>20</xdr:row>
      <xdr:rowOff>0</xdr:rowOff>
    </xdr:from>
    <xdr:to>
      <xdr:col>1</xdr:col>
      <xdr:colOff>427680</xdr:colOff>
      <xdr:row>21</xdr:row>
      <xdr:rowOff>51120</xdr:rowOff>
    </xdr:to>
    <xdr:pic>
      <xdr:nvPicPr>
        <xdr:cNvPr id="840" name="Imagem 1" descr=""/>
        <xdr:cNvPicPr/>
      </xdr:nvPicPr>
      <xdr:blipFill>
        <a:blip r:embed="rId1"/>
        <a:stretch/>
      </xdr:blipFill>
      <xdr:spPr>
        <a:xfrm>
          <a:off x="818640" y="600084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19</xdr:row>
      <xdr:rowOff>9360</xdr:rowOff>
    </xdr:from>
    <xdr:to>
      <xdr:col>1</xdr:col>
      <xdr:colOff>446760</xdr:colOff>
      <xdr:row>20</xdr:row>
      <xdr:rowOff>41400</xdr:rowOff>
    </xdr:to>
    <xdr:pic>
      <xdr:nvPicPr>
        <xdr:cNvPr id="841" name="Imagem 2" descr=""/>
        <xdr:cNvPicPr/>
      </xdr:nvPicPr>
      <xdr:blipFill>
        <a:blip r:embed="rId2"/>
        <a:stretch/>
      </xdr:blipFill>
      <xdr:spPr>
        <a:xfrm>
          <a:off x="837720" y="572436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54000</xdr:rowOff>
    </xdr:from>
    <xdr:to>
      <xdr:col>1</xdr:col>
      <xdr:colOff>389880</xdr:colOff>
      <xdr:row>13</xdr:row>
      <xdr:rowOff>298800</xdr:rowOff>
    </xdr:to>
    <xdr:pic>
      <xdr:nvPicPr>
        <xdr:cNvPr id="842" name="Imagem 3" descr=""/>
        <xdr:cNvPicPr/>
      </xdr:nvPicPr>
      <xdr:blipFill>
        <a:blip r:embed="rId3"/>
        <a:stretch/>
      </xdr:blipFill>
      <xdr:spPr>
        <a:xfrm>
          <a:off x="830520" y="3863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843" name="Imagem 5" descr=""/>
        <xdr:cNvPicPr/>
      </xdr:nvPicPr>
      <xdr:blipFill>
        <a:blip r:embed="rId4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21</xdr:row>
      <xdr:rowOff>37440</xdr:rowOff>
    </xdr:from>
    <xdr:to>
      <xdr:col>1</xdr:col>
      <xdr:colOff>416520</xdr:colOff>
      <xdr:row>21</xdr:row>
      <xdr:rowOff>322920</xdr:rowOff>
    </xdr:to>
    <xdr:pic>
      <xdr:nvPicPr>
        <xdr:cNvPr id="844" name="Imagem 17" descr=""/>
        <xdr:cNvPicPr/>
      </xdr:nvPicPr>
      <xdr:blipFill>
        <a:blip r:embed="rId5"/>
        <a:stretch/>
      </xdr:blipFill>
      <xdr:spPr>
        <a:xfrm>
          <a:off x="887760" y="6305040"/>
          <a:ext cx="273600" cy="28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107280</xdr:colOff>
      <xdr:row>11</xdr:row>
      <xdr:rowOff>60480</xdr:rowOff>
    </xdr:from>
    <xdr:to>
      <xdr:col>11</xdr:col>
      <xdr:colOff>383040</xdr:colOff>
      <xdr:row>11</xdr:row>
      <xdr:rowOff>308160</xdr:rowOff>
    </xdr:to>
    <xdr:pic>
      <xdr:nvPicPr>
        <xdr:cNvPr id="845" name="Imagem 18" descr=""/>
        <xdr:cNvPicPr/>
      </xdr:nvPicPr>
      <xdr:blipFill>
        <a:blip r:embed="rId6"/>
        <a:stretch/>
      </xdr:blipFill>
      <xdr:spPr>
        <a:xfrm>
          <a:off x="6706800" y="322272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100080</xdr:colOff>
      <xdr:row>2</xdr:row>
      <xdr:rowOff>106200</xdr:rowOff>
    </xdr:from>
    <xdr:to>
      <xdr:col>11</xdr:col>
      <xdr:colOff>461520</xdr:colOff>
      <xdr:row>2</xdr:row>
      <xdr:rowOff>218520</xdr:rowOff>
    </xdr:to>
    <xdr:pic>
      <xdr:nvPicPr>
        <xdr:cNvPr id="846" name="Imagem 19" descr=""/>
        <xdr:cNvPicPr/>
      </xdr:nvPicPr>
      <xdr:blipFill>
        <a:blip r:embed="rId7"/>
        <a:stretch/>
      </xdr:blipFill>
      <xdr:spPr>
        <a:xfrm>
          <a:off x="6699600" y="61092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128520</xdr:colOff>
      <xdr:row>12</xdr:row>
      <xdr:rowOff>31680</xdr:rowOff>
    </xdr:from>
    <xdr:to>
      <xdr:col>11</xdr:col>
      <xdr:colOff>380160</xdr:colOff>
      <xdr:row>12</xdr:row>
      <xdr:rowOff>294480</xdr:rowOff>
    </xdr:to>
    <xdr:pic>
      <xdr:nvPicPr>
        <xdr:cNvPr id="847" name="Imagem 31" descr=""/>
        <xdr:cNvPicPr/>
      </xdr:nvPicPr>
      <xdr:blipFill>
        <a:blip r:embed="rId8"/>
        <a:stretch/>
      </xdr:blipFill>
      <xdr:spPr>
        <a:xfrm>
          <a:off x="6728040" y="3517920"/>
          <a:ext cx="251640" cy="26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123840</xdr:colOff>
      <xdr:row>5</xdr:row>
      <xdr:rowOff>38160</xdr:rowOff>
    </xdr:from>
    <xdr:to>
      <xdr:col>11</xdr:col>
      <xdr:colOff>428040</xdr:colOff>
      <xdr:row>5</xdr:row>
      <xdr:rowOff>282960</xdr:rowOff>
    </xdr:to>
    <xdr:pic>
      <xdr:nvPicPr>
        <xdr:cNvPr id="848" name="Imagem 32" descr=""/>
        <xdr:cNvPicPr/>
      </xdr:nvPicPr>
      <xdr:blipFill>
        <a:blip r:embed="rId9"/>
        <a:stretch/>
      </xdr:blipFill>
      <xdr:spPr>
        <a:xfrm>
          <a:off x="6723360" y="128592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228600</xdr:colOff>
      <xdr:row>4</xdr:row>
      <xdr:rowOff>123840</xdr:rowOff>
    </xdr:from>
    <xdr:to>
      <xdr:col>9</xdr:col>
      <xdr:colOff>463680</xdr:colOff>
      <xdr:row>9</xdr:row>
      <xdr:rowOff>218520</xdr:rowOff>
    </xdr:to>
    <xdr:pic>
      <xdr:nvPicPr>
        <xdr:cNvPr id="849" name="Imagem 33" descr="">
          <a:hlinkClick r:id="rId10"/>
        </xdr:cNvPr>
        <xdr:cNvPicPr/>
      </xdr:nvPicPr>
      <xdr:blipFill>
        <a:blip r:embed="rId11"/>
        <a:stretch/>
      </xdr:blipFill>
      <xdr:spPr>
        <a:xfrm>
          <a:off x="3908520" y="1123920"/>
          <a:ext cx="1765440" cy="160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12</xdr:row>
      <xdr:rowOff>73080</xdr:rowOff>
    </xdr:from>
    <xdr:to>
      <xdr:col>2</xdr:col>
      <xdr:colOff>21240</xdr:colOff>
      <xdr:row>12</xdr:row>
      <xdr:rowOff>208800</xdr:rowOff>
    </xdr:to>
    <xdr:pic>
      <xdr:nvPicPr>
        <xdr:cNvPr id="850" name="Imagem 4" descr=""/>
        <xdr:cNvPicPr/>
      </xdr:nvPicPr>
      <xdr:blipFill>
        <a:blip r:embed="rId12"/>
        <a:stretch/>
      </xdr:blipFill>
      <xdr:spPr>
        <a:xfrm>
          <a:off x="821160" y="3559320"/>
          <a:ext cx="556560" cy="13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11</xdr:row>
      <xdr:rowOff>47160</xdr:rowOff>
    </xdr:from>
    <xdr:to>
      <xdr:col>2</xdr:col>
      <xdr:colOff>37440</xdr:colOff>
      <xdr:row>11</xdr:row>
      <xdr:rowOff>259920</xdr:rowOff>
    </xdr:to>
    <xdr:pic>
      <xdr:nvPicPr>
        <xdr:cNvPr id="851" name="Imagem 34" descr=""/>
        <xdr:cNvPicPr/>
      </xdr:nvPicPr>
      <xdr:blipFill>
        <a:blip r:embed="rId13"/>
        <a:stretch/>
      </xdr:blipFill>
      <xdr:spPr>
        <a:xfrm>
          <a:off x="799560" y="3209400"/>
          <a:ext cx="59436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16</xdr:row>
      <xdr:rowOff>90360</xdr:rowOff>
    </xdr:from>
    <xdr:to>
      <xdr:col>1</xdr:col>
      <xdr:colOff>510120</xdr:colOff>
      <xdr:row>16</xdr:row>
      <xdr:rowOff>266040</xdr:rowOff>
    </xdr:to>
    <xdr:pic>
      <xdr:nvPicPr>
        <xdr:cNvPr id="852" name="Imagem 37" descr=""/>
        <xdr:cNvPicPr/>
      </xdr:nvPicPr>
      <xdr:blipFill>
        <a:blip r:embed="rId14"/>
        <a:stretch/>
      </xdr:blipFill>
      <xdr:spPr>
        <a:xfrm>
          <a:off x="825840" y="4871880"/>
          <a:ext cx="4291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18</xdr:row>
      <xdr:rowOff>43200</xdr:rowOff>
    </xdr:from>
    <xdr:to>
      <xdr:col>1</xdr:col>
      <xdr:colOff>485280</xdr:colOff>
      <xdr:row>18</xdr:row>
      <xdr:rowOff>250920</xdr:rowOff>
    </xdr:to>
    <xdr:pic>
      <xdr:nvPicPr>
        <xdr:cNvPr id="853" name="Imagem 38" descr=""/>
        <xdr:cNvPicPr/>
      </xdr:nvPicPr>
      <xdr:blipFill>
        <a:blip r:embed="rId15"/>
        <a:stretch/>
      </xdr:blipFill>
      <xdr:spPr>
        <a:xfrm>
          <a:off x="840240" y="5472360"/>
          <a:ext cx="38988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17</xdr:row>
      <xdr:rowOff>70920</xdr:rowOff>
    </xdr:from>
    <xdr:to>
      <xdr:col>1</xdr:col>
      <xdr:colOff>513360</xdr:colOff>
      <xdr:row>17</xdr:row>
      <xdr:rowOff>275400</xdr:rowOff>
    </xdr:to>
    <xdr:pic>
      <xdr:nvPicPr>
        <xdr:cNvPr id="854" name="Imagem 39" descr=""/>
        <xdr:cNvPicPr/>
      </xdr:nvPicPr>
      <xdr:blipFill>
        <a:blip r:embed="rId16"/>
        <a:stretch/>
      </xdr:blipFill>
      <xdr:spPr>
        <a:xfrm>
          <a:off x="847080" y="5176440"/>
          <a:ext cx="41112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14</xdr:row>
      <xdr:rowOff>104760</xdr:rowOff>
    </xdr:from>
    <xdr:to>
      <xdr:col>2</xdr:col>
      <xdr:colOff>30240</xdr:colOff>
      <xdr:row>14</xdr:row>
      <xdr:rowOff>228240</xdr:rowOff>
    </xdr:to>
    <xdr:pic>
      <xdr:nvPicPr>
        <xdr:cNvPr id="855" name="Imagem 40" descr=""/>
        <xdr:cNvPicPr/>
      </xdr:nvPicPr>
      <xdr:blipFill>
        <a:blip r:embed="rId17"/>
        <a:stretch/>
      </xdr:blipFill>
      <xdr:spPr>
        <a:xfrm>
          <a:off x="830520" y="4238640"/>
          <a:ext cx="55620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15</xdr:row>
      <xdr:rowOff>85320</xdr:rowOff>
    </xdr:from>
    <xdr:to>
      <xdr:col>1</xdr:col>
      <xdr:colOff>389880</xdr:colOff>
      <xdr:row>15</xdr:row>
      <xdr:rowOff>258480</xdr:rowOff>
    </xdr:to>
    <xdr:pic>
      <xdr:nvPicPr>
        <xdr:cNvPr id="856" name="Imagem 42" descr=""/>
        <xdr:cNvPicPr/>
      </xdr:nvPicPr>
      <xdr:blipFill>
        <a:blip r:embed="rId18"/>
        <a:stretch/>
      </xdr:blipFill>
      <xdr:spPr>
        <a:xfrm>
          <a:off x="830520" y="4543200"/>
          <a:ext cx="304200" cy="17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22</xdr:row>
      <xdr:rowOff>9360</xdr:rowOff>
    </xdr:from>
    <xdr:to>
      <xdr:col>1</xdr:col>
      <xdr:colOff>416520</xdr:colOff>
      <xdr:row>22</xdr:row>
      <xdr:rowOff>294840</xdr:rowOff>
    </xdr:to>
    <xdr:pic>
      <xdr:nvPicPr>
        <xdr:cNvPr id="857" name="Imagem 43" descr=""/>
        <xdr:cNvPicPr/>
      </xdr:nvPicPr>
      <xdr:blipFill>
        <a:blip r:embed="rId19"/>
        <a:stretch/>
      </xdr:blipFill>
      <xdr:spPr>
        <a:xfrm>
          <a:off x="887760" y="6610320"/>
          <a:ext cx="273600" cy="28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114480</xdr:colOff>
      <xdr:row>4</xdr:row>
      <xdr:rowOff>82440</xdr:rowOff>
    </xdr:from>
    <xdr:to>
      <xdr:col>11</xdr:col>
      <xdr:colOff>552600</xdr:colOff>
      <xdr:row>4</xdr:row>
      <xdr:rowOff>189720</xdr:rowOff>
    </xdr:to>
    <xdr:pic>
      <xdr:nvPicPr>
        <xdr:cNvPr id="858" name="Imagem 44" descr=""/>
        <xdr:cNvPicPr/>
      </xdr:nvPicPr>
      <xdr:blipFill>
        <a:blip r:embed="rId20"/>
        <a:stretch/>
      </xdr:blipFill>
      <xdr:spPr>
        <a:xfrm>
          <a:off x="6714000" y="1082520"/>
          <a:ext cx="438120" cy="10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83160</xdr:colOff>
      <xdr:row>3</xdr:row>
      <xdr:rowOff>28080</xdr:rowOff>
    </xdr:from>
    <xdr:to>
      <xdr:col>11</xdr:col>
      <xdr:colOff>480960</xdr:colOff>
      <xdr:row>3</xdr:row>
      <xdr:rowOff>171000</xdr:rowOff>
    </xdr:to>
    <xdr:pic>
      <xdr:nvPicPr>
        <xdr:cNvPr id="859" name="Imagem 45" descr=""/>
        <xdr:cNvPicPr/>
      </xdr:nvPicPr>
      <xdr:blipFill>
        <a:blip r:embed="rId21"/>
        <a:stretch/>
      </xdr:blipFill>
      <xdr:spPr>
        <a:xfrm>
          <a:off x="6682680" y="780480"/>
          <a:ext cx="397800" cy="14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6</xdr:row>
      <xdr:rowOff>142920</xdr:rowOff>
    </xdr:from>
    <xdr:to>
      <xdr:col>11</xdr:col>
      <xdr:colOff>519840</xdr:colOff>
      <xdr:row>6</xdr:row>
      <xdr:rowOff>237600</xdr:rowOff>
    </xdr:to>
    <xdr:pic>
      <xdr:nvPicPr>
        <xdr:cNvPr id="860" name="Imagem 46" descr=""/>
        <xdr:cNvPicPr/>
      </xdr:nvPicPr>
      <xdr:blipFill>
        <a:blip r:embed="rId22"/>
        <a:stretch/>
      </xdr:blipFill>
      <xdr:spPr>
        <a:xfrm>
          <a:off x="6694920" y="1676520"/>
          <a:ext cx="4244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128520</xdr:colOff>
      <xdr:row>8</xdr:row>
      <xdr:rowOff>147600</xdr:rowOff>
    </xdr:from>
    <xdr:to>
      <xdr:col>11</xdr:col>
      <xdr:colOff>442440</xdr:colOff>
      <xdr:row>8</xdr:row>
      <xdr:rowOff>275760</xdr:rowOff>
    </xdr:to>
    <xdr:pic>
      <xdr:nvPicPr>
        <xdr:cNvPr id="861" name="Imagem 47" descr=""/>
        <xdr:cNvPicPr/>
      </xdr:nvPicPr>
      <xdr:blipFill>
        <a:blip r:embed="rId23"/>
        <a:stretch/>
      </xdr:blipFill>
      <xdr:spPr>
        <a:xfrm>
          <a:off x="6728040" y="2328840"/>
          <a:ext cx="313920" cy="12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142920</xdr:colOff>
      <xdr:row>10</xdr:row>
      <xdr:rowOff>100440</xdr:rowOff>
    </xdr:from>
    <xdr:to>
      <xdr:col>11</xdr:col>
      <xdr:colOff>428040</xdr:colOff>
      <xdr:row>10</xdr:row>
      <xdr:rowOff>252360</xdr:rowOff>
    </xdr:to>
    <xdr:pic>
      <xdr:nvPicPr>
        <xdr:cNvPr id="862" name="Imagem 48" descr=""/>
        <xdr:cNvPicPr/>
      </xdr:nvPicPr>
      <xdr:blipFill>
        <a:blip r:embed="rId24"/>
        <a:stretch/>
      </xdr:blipFill>
      <xdr:spPr>
        <a:xfrm>
          <a:off x="6742440" y="2939040"/>
          <a:ext cx="2851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159480</xdr:colOff>
      <xdr:row>9</xdr:row>
      <xdr:rowOff>137880</xdr:rowOff>
    </xdr:from>
    <xdr:to>
      <xdr:col>11</xdr:col>
      <xdr:colOff>460080</xdr:colOff>
      <xdr:row>9</xdr:row>
      <xdr:rowOff>287280</xdr:rowOff>
    </xdr:to>
    <xdr:pic>
      <xdr:nvPicPr>
        <xdr:cNvPr id="863" name="Imagem 49" descr=""/>
        <xdr:cNvPicPr/>
      </xdr:nvPicPr>
      <xdr:blipFill>
        <a:blip r:embed="rId25"/>
        <a:stretch/>
      </xdr:blipFill>
      <xdr:spPr>
        <a:xfrm>
          <a:off x="6759000" y="2652480"/>
          <a:ext cx="300600" cy="1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152280</xdr:colOff>
      <xdr:row>7</xdr:row>
      <xdr:rowOff>123480</xdr:rowOff>
    </xdr:from>
    <xdr:to>
      <xdr:col>11</xdr:col>
      <xdr:colOff>374760</xdr:colOff>
      <xdr:row>7</xdr:row>
      <xdr:rowOff>249840</xdr:rowOff>
    </xdr:to>
    <xdr:pic>
      <xdr:nvPicPr>
        <xdr:cNvPr id="864" name="Imagem 50" descr=""/>
        <xdr:cNvPicPr/>
      </xdr:nvPicPr>
      <xdr:blipFill>
        <a:blip r:embed="rId26"/>
        <a:stretch/>
      </xdr:blipFill>
      <xdr:spPr>
        <a:xfrm>
          <a:off x="6751800" y="1999800"/>
          <a:ext cx="222480" cy="126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13</xdr:row>
      <xdr:rowOff>15840</xdr:rowOff>
    </xdr:from>
    <xdr:to>
      <xdr:col>1</xdr:col>
      <xdr:colOff>364320</xdr:colOff>
      <xdr:row>13</xdr:row>
      <xdr:rowOff>319320</xdr:rowOff>
    </xdr:to>
    <xdr:pic>
      <xdr:nvPicPr>
        <xdr:cNvPr id="865" name="Imagem 1" descr=""/>
        <xdr:cNvPicPr/>
      </xdr:nvPicPr>
      <xdr:blipFill>
        <a:blip r:embed="rId1"/>
        <a:stretch/>
      </xdr:blipFill>
      <xdr:spPr>
        <a:xfrm>
          <a:off x="761040" y="38257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866" name="Imagem 2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12</xdr:row>
      <xdr:rowOff>30600</xdr:rowOff>
    </xdr:from>
    <xdr:to>
      <xdr:col>1</xdr:col>
      <xdr:colOff>392760</xdr:colOff>
      <xdr:row>13</xdr:row>
      <xdr:rowOff>10440</xdr:rowOff>
    </xdr:to>
    <xdr:pic>
      <xdr:nvPicPr>
        <xdr:cNvPr id="867" name="Imagem 3" descr=""/>
        <xdr:cNvPicPr/>
      </xdr:nvPicPr>
      <xdr:blipFill>
        <a:blip r:embed="rId3"/>
        <a:stretch/>
      </xdr:blipFill>
      <xdr:spPr>
        <a:xfrm>
          <a:off x="789480" y="351684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868" name="Imagem 4" descr=""/>
        <xdr:cNvPicPr/>
      </xdr:nvPicPr>
      <xdr:blipFill>
        <a:blip r:embed="rId4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3</xdr:row>
      <xdr:rowOff>9000</xdr:rowOff>
    </xdr:from>
    <xdr:to>
      <xdr:col>11</xdr:col>
      <xdr:colOff>353880</xdr:colOff>
      <xdr:row>4</xdr:row>
      <xdr:rowOff>9360</xdr:rowOff>
    </xdr:to>
    <xdr:pic>
      <xdr:nvPicPr>
        <xdr:cNvPr id="869" name="Imagem 5" descr=""/>
        <xdr:cNvPicPr/>
      </xdr:nvPicPr>
      <xdr:blipFill>
        <a:blip r:embed="rId5"/>
        <a:stretch/>
      </xdr:blipFill>
      <xdr:spPr>
        <a:xfrm>
          <a:off x="6625440" y="7614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28440</xdr:rowOff>
    </xdr:from>
    <xdr:to>
      <xdr:col>11</xdr:col>
      <xdr:colOff>311400</xdr:colOff>
      <xdr:row>2</xdr:row>
      <xdr:rowOff>246960</xdr:rowOff>
    </xdr:to>
    <xdr:pic>
      <xdr:nvPicPr>
        <xdr:cNvPr id="870" name="Imagem 6" descr=""/>
        <xdr:cNvPicPr/>
      </xdr:nvPicPr>
      <xdr:blipFill>
        <a:blip r:embed="rId6"/>
        <a:stretch/>
      </xdr:blipFill>
      <xdr:spPr>
        <a:xfrm>
          <a:off x="6681960" y="533160"/>
          <a:ext cx="177480" cy="21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333360</xdr:colOff>
      <xdr:row>5</xdr:row>
      <xdr:rowOff>66600</xdr:rowOff>
    </xdr:from>
    <xdr:to>
      <xdr:col>9</xdr:col>
      <xdr:colOff>37440</xdr:colOff>
      <xdr:row>8</xdr:row>
      <xdr:rowOff>288720</xdr:rowOff>
    </xdr:to>
    <xdr:pic>
      <xdr:nvPicPr>
        <xdr:cNvPr id="871" name="Imagem 8" descr="">
          <a:hlinkClick r:id="rId7"/>
        </xdr:cNvPr>
        <xdr:cNvPicPr/>
      </xdr:nvPicPr>
      <xdr:blipFill>
        <a:blip r:embed="rId8"/>
        <a:stretch/>
      </xdr:blipFill>
      <xdr:spPr>
        <a:xfrm>
          <a:off x="4125600" y="1314360"/>
          <a:ext cx="1473120" cy="115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14</xdr:row>
      <xdr:rowOff>57240</xdr:rowOff>
    </xdr:from>
    <xdr:to>
      <xdr:col>1</xdr:col>
      <xdr:colOff>437760</xdr:colOff>
      <xdr:row>14</xdr:row>
      <xdr:rowOff>283320</xdr:rowOff>
    </xdr:to>
    <xdr:pic>
      <xdr:nvPicPr>
        <xdr:cNvPr id="872" name="Imagem 9" descr=""/>
        <xdr:cNvPicPr/>
      </xdr:nvPicPr>
      <xdr:blipFill>
        <a:blip r:embed="rId9"/>
        <a:stretch/>
      </xdr:blipFill>
      <xdr:spPr>
        <a:xfrm>
          <a:off x="782280" y="4191120"/>
          <a:ext cx="39024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4</xdr:row>
      <xdr:rowOff>38160</xdr:rowOff>
    </xdr:from>
    <xdr:to>
      <xdr:col>11</xdr:col>
      <xdr:colOff>361440</xdr:colOff>
      <xdr:row>4</xdr:row>
      <xdr:rowOff>214200</xdr:rowOff>
    </xdr:to>
    <xdr:pic>
      <xdr:nvPicPr>
        <xdr:cNvPr id="873" name="Imagem 10" descr=""/>
        <xdr:cNvPicPr/>
      </xdr:nvPicPr>
      <xdr:blipFill>
        <a:blip r:embed="rId10"/>
        <a:stretch/>
      </xdr:blipFill>
      <xdr:spPr>
        <a:xfrm>
          <a:off x="6605280" y="1038240"/>
          <a:ext cx="304200" cy="17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13</xdr:row>
      <xdr:rowOff>15840</xdr:rowOff>
    </xdr:from>
    <xdr:to>
      <xdr:col>1</xdr:col>
      <xdr:colOff>364320</xdr:colOff>
      <xdr:row>13</xdr:row>
      <xdr:rowOff>319320</xdr:rowOff>
    </xdr:to>
    <xdr:pic>
      <xdr:nvPicPr>
        <xdr:cNvPr id="874" name="Imagem 3" descr=""/>
        <xdr:cNvPicPr/>
      </xdr:nvPicPr>
      <xdr:blipFill>
        <a:blip r:embed="rId1"/>
        <a:stretch/>
      </xdr:blipFill>
      <xdr:spPr>
        <a:xfrm>
          <a:off x="761040" y="38257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875" name="Imagem 4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12</xdr:row>
      <xdr:rowOff>30600</xdr:rowOff>
    </xdr:from>
    <xdr:to>
      <xdr:col>1</xdr:col>
      <xdr:colOff>392760</xdr:colOff>
      <xdr:row>13</xdr:row>
      <xdr:rowOff>10440</xdr:rowOff>
    </xdr:to>
    <xdr:pic>
      <xdr:nvPicPr>
        <xdr:cNvPr id="876" name="Imagem 9" descr=""/>
        <xdr:cNvPicPr/>
      </xdr:nvPicPr>
      <xdr:blipFill>
        <a:blip r:embed="rId3"/>
        <a:stretch/>
      </xdr:blipFill>
      <xdr:spPr>
        <a:xfrm>
          <a:off x="789480" y="351684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877" name="Imagem 10" descr=""/>
        <xdr:cNvPicPr/>
      </xdr:nvPicPr>
      <xdr:blipFill>
        <a:blip r:embed="rId4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3</xdr:row>
      <xdr:rowOff>9000</xdr:rowOff>
    </xdr:from>
    <xdr:to>
      <xdr:col>11</xdr:col>
      <xdr:colOff>353880</xdr:colOff>
      <xdr:row>4</xdr:row>
      <xdr:rowOff>9360</xdr:rowOff>
    </xdr:to>
    <xdr:pic>
      <xdr:nvPicPr>
        <xdr:cNvPr id="878" name="Imagem 18" descr=""/>
        <xdr:cNvPicPr/>
      </xdr:nvPicPr>
      <xdr:blipFill>
        <a:blip r:embed="rId5"/>
        <a:stretch/>
      </xdr:blipFill>
      <xdr:spPr>
        <a:xfrm>
          <a:off x="6625440" y="7614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28440</xdr:rowOff>
    </xdr:from>
    <xdr:to>
      <xdr:col>11</xdr:col>
      <xdr:colOff>311400</xdr:colOff>
      <xdr:row>2</xdr:row>
      <xdr:rowOff>246960</xdr:rowOff>
    </xdr:to>
    <xdr:pic>
      <xdr:nvPicPr>
        <xdr:cNvPr id="879" name="Imagem 22" descr=""/>
        <xdr:cNvPicPr/>
      </xdr:nvPicPr>
      <xdr:blipFill>
        <a:blip r:embed="rId6"/>
        <a:stretch/>
      </xdr:blipFill>
      <xdr:spPr>
        <a:xfrm>
          <a:off x="6681960" y="533160"/>
          <a:ext cx="177480" cy="21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390600</xdr:colOff>
      <xdr:row>4</xdr:row>
      <xdr:rowOff>219240</xdr:rowOff>
    </xdr:from>
    <xdr:to>
      <xdr:col>9</xdr:col>
      <xdr:colOff>37440</xdr:colOff>
      <xdr:row>9</xdr:row>
      <xdr:rowOff>56520</xdr:rowOff>
    </xdr:to>
    <xdr:pic>
      <xdr:nvPicPr>
        <xdr:cNvPr id="880" name="Imagem 23" descr="">
          <a:hlinkClick r:id="rId7"/>
        </xdr:cNvPr>
        <xdr:cNvPicPr/>
      </xdr:nvPicPr>
      <xdr:blipFill>
        <a:blip r:embed="rId8"/>
        <a:stretch/>
      </xdr:blipFill>
      <xdr:spPr>
        <a:xfrm>
          <a:off x="4182840" y="1219320"/>
          <a:ext cx="1415880" cy="135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76320</xdr:colOff>
      <xdr:row>1</xdr:row>
      <xdr:rowOff>5760</xdr:rowOff>
    </xdr:from>
    <xdr:to>
      <xdr:col>9</xdr:col>
      <xdr:colOff>266040</xdr:colOff>
      <xdr:row>3</xdr:row>
      <xdr:rowOff>166320</xdr:rowOff>
    </xdr:to>
    <xdr:pic>
      <xdr:nvPicPr>
        <xdr:cNvPr id="881" name="Imagem 1" descr=""/>
        <xdr:cNvPicPr/>
      </xdr:nvPicPr>
      <xdr:blipFill>
        <a:blip r:embed="rId9"/>
        <a:stretch/>
      </xdr:blipFill>
      <xdr:spPr>
        <a:xfrm>
          <a:off x="4432320" y="262800"/>
          <a:ext cx="1395000" cy="655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882" name="Imagem 1" descr=""/>
        <xdr:cNvPicPr/>
      </xdr:nvPicPr>
      <xdr:blipFill>
        <a:blip r:embed="rId1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883" name="Imagem 2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884" name="Imagem 3" descr=""/>
        <xdr:cNvPicPr/>
      </xdr:nvPicPr>
      <xdr:blipFill>
        <a:blip r:embed="rId3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885" name="Imagem 4" descr=""/>
        <xdr:cNvPicPr/>
      </xdr:nvPicPr>
      <xdr:blipFill>
        <a:blip r:embed="rId4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886" name="Imagem 5" descr=""/>
        <xdr:cNvPicPr/>
      </xdr:nvPicPr>
      <xdr:blipFill>
        <a:blip r:embed="rId5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887" name="Imagem 6" descr=""/>
        <xdr:cNvPicPr/>
      </xdr:nvPicPr>
      <xdr:blipFill>
        <a:blip r:embed="rId6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888" name="Imagem 7" descr=""/>
        <xdr:cNvPicPr/>
      </xdr:nvPicPr>
      <xdr:blipFill>
        <a:blip r:embed="rId7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889" name="Imagem 8" descr=""/>
        <xdr:cNvPicPr/>
      </xdr:nvPicPr>
      <xdr:blipFill>
        <a:blip r:embed="rId8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36</xdr:row>
      <xdr:rowOff>37800</xdr:rowOff>
    </xdr:from>
    <xdr:to>
      <xdr:col>1</xdr:col>
      <xdr:colOff>408600</xdr:colOff>
      <xdr:row>37</xdr:row>
      <xdr:rowOff>6840</xdr:rowOff>
    </xdr:to>
    <xdr:pic>
      <xdr:nvPicPr>
        <xdr:cNvPr id="890" name="Imagem 9" descr=""/>
        <xdr:cNvPicPr/>
      </xdr:nvPicPr>
      <xdr:blipFill>
        <a:blip r:embed="rId9"/>
        <a:stretch/>
      </xdr:blipFill>
      <xdr:spPr>
        <a:xfrm>
          <a:off x="867960" y="10000800"/>
          <a:ext cx="275400" cy="15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37</xdr:row>
      <xdr:rowOff>31320</xdr:rowOff>
    </xdr:from>
    <xdr:to>
      <xdr:col>1</xdr:col>
      <xdr:colOff>361440</xdr:colOff>
      <xdr:row>38</xdr:row>
      <xdr:rowOff>9720</xdr:rowOff>
    </xdr:to>
    <xdr:pic>
      <xdr:nvPicPr>
        <xdr:cNvPr id="891" name="Imagem 10" descr=""/>
        <xdr:cNvPicPr/>
      </xdr:nvPicPr>
      <xdr:blipFill>
        <a:blip r:embed="rId10"/>
        <a:stretch/>
      </xdr:blipFill>
      <xdr:spPr>
        <a:xfrm>
          <a:off x="884880" y="1018512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38</xdr:row>
      <xdr:rowOff>19800</xdr:rowOff>
    </xdr:from>
    <xdr:to>
      <xdr:col>1</xdr:col>
      <xdr:colOff>384840</xdr:colOff>
      <xdr:row>38</xdr:row>
      <xdr:rowOff>180360</xdr:rowOff>
    </xdr:to>
    <xdr:pic>
      <xdr:nvPicPr>
        <xdr:cNvPr id="892" name="Imagem 11" descr=""/>
        <xdr:cNvPicPr/>
      </xdr:nvPicPr>
      <xdr:blipFill>
        <a:blip r:embed="rId11"/>
        <a:stretch/>
      </xdr:blipFill>
      <xdr:spPr>
        <a:xfrm>
          <a:off x="858600" y="1036404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39</xdr:row>
      <xdr:rowOff>57240</xdr:rowOff>
    </xdr:from>
    <xdr:to>
      <xdr:col>1</xdr:col>
      <xdr:colOff>314280</xdr:colOff>
      <xdr:row>39</xdr:row>
      <xdr:rowOff>190080</xdr:rowOff>
    </xdr:to>
    <xdr:pic>
      <xdr:nvPicPr>
        <xdr:cNvPr id="893" name="Imagem 12" descr=""/>
        <xdr:cNvPicPr/>
      </xdr:nvPicPr>
      <xdr:blipFill>
        <a:blip r:embed="rId12"/>
        <a:stretch/>
      </xdr:blipFill>
      <xdr:spPr>
        <a:xfrm>
          <a:off x="846720" y="1059192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40</xdr:row>
      <xdr:rowOff>26640</xdr:rowOff>
    </xdr:from>
    <xdr:to>
      <xdr:col>1</xdr:col>
      <xdr:colOff>288360</xdr:colOff>
      <xdr:row>41</xdr:row>
      <xdr:rowOff>18360</xdr:rowOff>
    </xdr:to>
    <xdr:pic>
      <xdr:nvPicPr>
        <xdr:cNvPr id="894" name="Imagem 13" descr=""/>
        <xdr:cNvPicPr/>
      </xdr:nvPicPr>
      <xdr:blipFill>
        <a:blip r:embed="rId13"/>
        <a:stretch/>
      </xdr:blipFill>
      <xdr:spPr>
        <a:xfrm>
          <a:off x="830160" y="10751760"/>
          <a:ext cx="192960" cy="18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41</xdr:row>
      <xdr:rowOff>39960</xdr:rowOff>
    </xdr:from>
    <xdr:to>
      <xdr:col>1</xdr:col>
      <xdr:colOff>342000</xdr:colOff>
      <xdr:row>41</xdr:row>
      <xdr:rowOff>161280</xdr:rowOff>
    </xdr:to>
    <xdr:pic>
      <xdr:nvPicPr>
        <xdr:cNvPr id="895" name="Imagem 14" descr=""/>
        <xdr:cNvPicPr/>
      </xdr:nvPicPr>
      <xdr:blipFill>
        <a:blip r:embed="rId14"/>
        <a:stretch/>
      </xdr:blipFill>
      <xdr:spPr>
        <a:xfrm>
          <a:off x="837000" y="1095552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42</xdr:row>
      <xdr:rowOff>47520</xdr:rowOff>
    </xdr:from>
    <xdr:to>
      <xdr:col>1</xdr:col>
      <xdr:colOff>275760</xdr:colOff>
      <xdr:row>42</xdr:row>
      <xdr:rowOff>167040</xdr:rowOff>
    </xdr:to>
    <xdr:pic>
      <xdr:nvPicPr>
        <xdr:cNvPr id="896" name="Imagem 15" descr=""/>
        <xdr:cNvPicPr/>
      </xdr:nvPicPr>
      <xdr:blipFill>
        <a:blip r:embed="rId15"/>
        <a:stretch/>
      </xdr:blipFill>
      <xdr:spPr>
        <a:xfrm>
          <a:off x="834840" y="1115352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6</xdr:row>
      <xdr:rowOff>56520</xdr:rowOff>
    </xdr:from>
    <xdr:to>
      <xdr:col>11</xdr:col>
      <xdr:colOff>353880</xdr:colOff>
      <xdr:row>6</xdr:row>
      <xdr:rowOff>304560</xdr:rowOff>
    </xdr:to>
    <xdr:pic>
      <xdr:nvPicPr>
        <xdr:cNvPr id="897" name="Imagem 16" descr=""/>
        <xdr:cNvPicPr/>
      </xdr:nvPicPr>
      <xdr:blipFill>
        <a:blip r:embed="rId16"/>
        <a:stretch/>
      </xdr:blipFill>
      <xdr:spPr>
        <a:xfrm>
          <a:off x="6852240" y="159012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60120</xdr:colOff>
      <xdr:row>5</xdr:row>
      <xdr:rowOff>104040</xdr:rowOff>
    </xdr:from>
    <xdr:to>
      <xdr:col>11</xdr:col>
      <xdr:colOff>410760</xdr:colOff>
      <xdr:row>6</xdr:row>
      <xdr:rowOff>22680</xdr:rowOff>
    </xdr:to>
    <xdr:pic>
      <xdr:nvPicPr>
        <xdr:cNvPr id="898" name="Imagem 17" descr=""/>
        <xdr:cNvPicPr/>
      </xdr:nvPicPr>
      <xdr:blipFill>
        <a:blip r:embed="rId17"/>
        <a:stretch/>
      </xdr:blipFill>
      <xdr:spPr>
        <a:xfrm>
          <a:off x="6834960" y="135180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124200</xdr:colOff>
      <xdr:row>4</xdr:row>
      <xdr:rowOff>-720</xdr:rowOff>
    </xdr:from>
    <xdr:to>
      <xdr:col>11</xdr:col>
      <xdr:colOff>333720</xdr:colOff>
      <xdr:row>5</xdr:row>
      <xdr:rowOff>18360</xdr:rowOff>
    </xdr:to>
    <xdr:pic>
      <xdr:nvPicPr>
        <xdr:cNvPr id="899" name="Imagem 18" descr=""/>
        <xdr:cNvPicPr/>
      </xdr:nvPicPr>
      <xdr:blipFill>
        <a:blip r:embed="rId18"/>
        <a:stretch/>
      </xdr:blipFill>
      <xdr:spPr>
        <a:xfrm>
          <a:off x="6899040" y="99936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143640</xdr:colOff>
      <xdr:row>3</xdr:row>
      <xdr:rowOff>65880</xdr:rowOff>
    </xdr:from>
    <xdr:to>
      <xdr:col>11</xdr:col>
      <xdr:colOff>349920</xdr:colOff>
      <xdr:row>3</xdr:row>
      <xdr:rowOff>228600</xdr:rowOff>
    </xdr:to>
    <xdr:pic>
      <xdr:nvPicPr>
        <xdr:cNvPr id="900" name="Imagem 19" descr=""/>
        <xdr:cNvPicPr/>
      </xdr:nvPicPr>
      <xdr:blipFill>
        <a:blip r:embed="rId19"/>
        <a:stretch/>
      </xdr:blipFill>
      <xdr:spPr>
        <a:xfrm>
          <a:off x="6918480" y="81828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19080</xdr:rowOff>
    </xdr:from>
    <xdr:to>
      <xdr:col>11</xdr:col>
      <xdr:colOff>342720</xdr:colOff>
      <xdr:row>3</xdr:row>
      <xdr:rowOff>27720</xdr:rowOff>
    </xdr:to>
    <xdr:pic>
      <xdr:nvPicPr>
        <xdr:cNvPr id="901" name="Imagem 20" descr=""/>
        <xdr:cNvPicPr/>
      </xdr:nvPicPr>
      <xdr:blipFill>
        <a:blip r:embed="rId20"/>
        <a:stretch/>
      </xdr:blipFill>
      <xdr:spPr>
        <a:xfrm>
          <a:off x="6908760" y="52380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7</xdr:row>
      <xdr:rowOff>47520</xdr:rowOff>
    </xdr:from>
    <xdr:to>
      <xdr:col>11</xdr:col>
      <xdr:colOff>389880</xdr:colOff>
      <xdr:row>7</xdr:row>
      <xdr:rowOff>218160</xdr:rowOff>
    </xdr:to>
    <xdr:pic>
      <xdr:nvPicPr>
        <xdr:cNvPr id="902" name="Imagem 21" descr=""/>
        <xdr:cNvPicPr/>
      </xdr:nvPicPr>
      <xdr:blipFill>
        <a:blip r:embed="rId21"/>
        <a:stretch/>
      </xdr:blipFill>
      <xdr:spPr>
        <a:xfrm>
          <a:off x="6822360" y="192384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18</xdr:row>
      <xdr:rowOff>95400</xdr:rowOff>
    </xdr:from>
    <xdr:to>
      <xdr:col>1</xdr:col>
      <xdr:colOff>408960</xdr:colOff>
      <xdr:row>18</xdr:row>
      <xdr:rowOff>266040</xdr:rowOff>
    </xdr:to>
    <xdr:pic>
      <xdr:nvPicPr>
        <xdr:cNvPr id="903" name="Imagem 22" descr=""/>
        <xdr:cNvPicPr/>
      </xdr:nvPicPr>
      <xdr:blipFill>
        <a:blip r:embed="rId22"/>
        <a:stretch/>
      </xdr:blipFill>
      <xdr:spPr>
        <a:xfrm>
          <a:off x="801360" y="552456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19</xdr:row>
      <xdr:rowOff>49680</xdr:rowOff>
    </xdr:from>
    <xdr:to>
      <xdr:col>1</xdr:col>
      <xdr:colOff>383040</xdr:colOff>
      <xdr:row>19</xdr:row>
      <xdr:rowOff>353160</xdr:rowOff>
    </xdr:to>
    <xdr:pic>
      <xdr:nvPicPr>
        <xdr:cNvPr id="904" name="Imagem 23" descr=""/>
        <xdr:cNvPicPr/>
      </xdr:nvPicPr>
      <xdr:blipFill>
        <a:blip r:embed="rId23"/>
        <a:stretch/>
      </xdr:blipFill>
      <xdr:spPr>
        <a:xfrm>
          <a:off x="779760" y="58219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20</xdr:row>
      <xdr:rowOff>11520</xdr:rowOff>
    </xdr:from>
    <xdr:to>
      <xdr:col>1</xdr:col>
      <xdr:colOff>364320</xdr:colOff>
      <xdr:row>20</xdr:row>
      <xdr:rowOff>315000</xdr:rowOff>
    </xdr:to>
    <xdr:pic>
      <xdr:nvPicPr>
        <xdr:cNvPr id="905" name="Imagem 24" descr=""/>
        <xdr:cNvPicPr/>
      </xdr:nvPicPr>
      <xdr:blipFill>
        <a:blip r:embed="rId24"/>
        <a:stretch/>
      </xdr:blipFill>
      <xdr:spPr>
        <a:xfrm>
          <a:off x="761040" y="6145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533520</xdr:colOff>
      <xdr:row>8</xdr:row>
      <xdr:rowOff>19080</xdr:rowOff>
    </xdr:from>
    <xdr:to>
      <xdr:col>11</xdr:col>
      <xdr:colOff>287280</xdr:colOff>
      <xdr:row>8</xdr:row>
      <xdr:rowOff>322560</xdr:rowOff>
    </xdr:to>
    <xdr:pic>
      <xdr:nvPicPr>
        <xdr:cNvPr id="906" name="Imagem 25" descr=""/>
        <xdr:cNvPicPr/>
      </xdr:nvPicPr>
      <xdr:blipFill>
        <a:blip r:embed="rId25"/>
        <a:stretch/>
      </xdr:blipFill>
      <xdr:spPr>
        <a:xfrm>
          <a:off x="6724080" y="22003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533520</xdr:colOff>
      <xdr:row>5</xdr:row>
      <xdr:rowOff>66600</xdr:rowOff>
    </xdr:from>
    <xdr:to>
      <xdr:col>9</xdr:col>
      <xdr:colOff>104040</xdr:colOff>
      <xdr:row>8</xdr:row>
      <xdr:rowOff>283680</xdr:rowOff>
    </xdr:to>
    <xdr:pic>
      <xdr:nvPicPr>
        <xdr:cNvPr id="907" name="Imagem 27" descr="">
          <a:hlinkClick r:id="rId26"/>
        </xdr:cNvPr>
        <xdr:cNvPicPr/>
      </xdr:nvPicPr>
      <xdr:blipFill>
        <a:blip r:embed="rId27"/>
        <a:stretch/>
      </xdr:blipFill>
      <xdr:spPr>
        <a:xfrm>
          <a:off x="4889520" y="1314360"/>
          <a:ext cx="793800" cy="115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21</xdr:row>
      <xdr:rowOff>30600</xdr:rowOff>
    </xdr:from>
    <xdr:to>
      <xdr:col>1</xdr:col>
      <xdr:colOff>383040</xdr:colOff>
      <xdr:row>22</xdr:row>
      <xdr:rowOff>29160</xdr:rowOff>
    </xdr:to>
    <xdr:pic>
      <xdr:nvPicPr>
        <xdr:cNvPr id="908" name="Imagem 28" descr=""/>
        <xdr:cNvPicPr/>
      </xdr:nvPicPr>
      <xdr:blipFill>
        <a:blip r:embed="rId28"/>
        <a:stretch/>
      </xdr:blipFill>
      <xdr:spPr>
        <a:xfrm>
          <a:off x="779760" y="649800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22</xdr:row>
      <xdr:rowOff>49680</xdr:rowOff>
    </xdr:from>
    <xdr:to>
      <xdr:col>1</xdr:col>
      <xdr:colOff>364320</xdr:colOff>
      <xdr:row>23</xdr:row>
      <xdr:rowOff>10440</xdr:rowOff>
    </xdr:to>
    <xdr:pic>
      <xdr:nvPicPr>
        <xdr:cNvPr id="909" name="Imagem 29" descr=""/>
        <xdr:cNvPicPr/>
      </xdr:nvPicPr>
      <xdr:blipFill>
        <a:blip r:embed="rId29"/>
        <a:stretch/>
      </xdr:blipFill>
      <xdr:spPr>
        <a:xfrm>
          <a:off x="761040" y="6822000"/>
          <a:ext cx="338040" cy="30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910" name="Imagem 1" descr=""/>
        <xdr:cNvPicPr/>
      </xdr:nvPicPr>
      <xdr:blipFill>
        <a:blip r:embed="rId1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911" name="Imagem 2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912" name="Imagem 3" descr=""/>
        <xdr:cNvPicPr/>
      </xdr:nvPicPr>
      <xdr:blipFill>
        <a:blip r:embed="rId3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913" name="Imagem 4" descr=""/>
        <xdr:cNvPicPr/>
      </xdr:nvPicPr>
      <xdr:blipFill>
        <a:blip r:embed="rId4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914" name="Imagem 5" descr=""/>
        <xdr:cNvPicPr/>
      </xdr:nvPicPr>
      <xdr:blipFill>
        <a:blip r:embed="rId5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915" name="Imagem 6" descr=""/>
        <xdr:cNvPicPr/>
      </xdr:nvPicPr>
      <xdr:blipFill>
        <a:blip r:embed="rId6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916" name="Imagem 7" descr=""/>
        <xdr:cNvPicPr/>
      </xdr:nvPicPr>
      <xdr:blipFill>
        <a:blip r:embed="rId7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917" name="Imagem 8" descr=""/>
        <xdr:cNvPicPr/>
      </xdr:nvPicPr>
      <xdr:blipFill>
        <a:blip r:embed="rId8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22</xdr:row>
      <xdr:rowOff>37800</xdr:rowOff>
    </xdr:from>
    <xdr:to>
      <xdr:col>1</xdr:col>
      <xdr:colOff>408600</xdr:colOff>
      <xdr:row>22</xdr:row>
      <xdr:rowOff>197280</xdr:rowOff>
    </xdr:to>
    <xdr:pic>
      <xdr:nvPicPr>
        <xdr:cNvPr id="918" name="Imagem 9" descr=""/>
        <xdr:cNvPicPr/>
      </xdr:nvPicPr>
      <xdr:blipFill>
        <a:blip r:embed="rId9"/>
        <a:stretch/>
      </xdr:blipFill>
      <xdr:spPr>
        <a:xfrm>
          <a:off x="867960" y="6724440"/>
          <a:ext cx="275400" cy="15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23</xdr:row>
      <xdr:rowOff>31320</xdr:rowOff>
    </xdr:from>
    <xdr:to>
      <xdr:col>1</xdr:col>
      <xdr:colOff>361440</xdr:colOff>
      <xdr:row>23</xdr:row>
      <xdr:rowOff>200160</xdr:rowOff>
    </xdr:to>
    <xdr:pic>
      <xdr:nvPicPr>
        <xdr:cNvPr id="919" name="Imagem 10" descr=""/>
        <xdr:cNvPicPr/>
      </xdr:nvPicPr>
      <xdr:blipFill>
        <a:blip r:embed="rId10"/>
        <a:stretch/>
      </xdr:blipFill>
      <xdr:spPr>
        <a:xfrm>
          <a:off x="884880" y="693684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24</xdr:row>
      <xdr:rowOff>19800</xdr:rowOff>
    </xdr:from>
    <xdr:to>
      <xdr:col>1</xdr:col>
      <xdr:colOff>384840</xdr:colOff>
      <xdr:row>24</xdr:row>
      <xdr:rowOff>180360</xdr:rowOff>
    </xdr:to>
    <xdr:pic>
      <xdr:nvPicPr>
        <xdr:cNvPr id="920" name="Imagem 11" descr=""/>
        <xdr:cNvPicPr/>
      </xdr:nvPicPr>
      <xdr:blipFill>
        <a:blip r:embed="rId11"/>
        <a:stretch/>
      </xdr:blipFill>
      <xdr:spPr>
        <a:xfrm>
          <a:off x="858600" y="714456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25</xdr:row>
      <xdr:rowOff>57240</xdr:rowOff>
    </xdr:from>
    <xdr:to>
      <xdr:col>1</xdr:col>
      <xdr:colOff>314280</xdr:colOff>
      <xdr:row>25</xdr:row>
      <xdr:rowOff>190080</xdr:rowOff>
    </xdr:to>
    <xdr:pic>
      <xdr:nvPicPr>
        <xdr:cNvPr id="921" name="Imagem 12" descr=""/>
        <xdr:cNvPicPr/>
      </xdr:nvPicPr>
      <xdr:blipFill>
        <a:blip r:embed="rId12"/>
        <a:stretch/>
      </xdr:blipFill>
      <xdr:spPr>
        <a:xfrm>
          <a:off x="846720" y="740088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25</xdr:row>
      <xdr:rowOff>217080</xdr:rowOff>
    </xdr:from>
    <xdr:to>
      <xdr:col>1</xdr:col>
      <xdr:colOff>288360</xdr:colOff>
      <xdr:row>26</xdr:row>
      <xdr:rowOff>208800</xdr:rowOff>
    </xdr:to>
    <xdr:pic>
      <xdr:nvPicPr>
        <xdr:cNvPr id="922" name="Imagem 13" descr=""/>
        <xdr:cNvPicPr/>
      </xdr:nvPicPr>
      <xdr:blipFill>
        <a:blip r:embed="rId13"/>
        <a:stretch/>
      </xdr:blipFill>
      <xdr:spPr>
        <a:xfrm>
          <a:off x="830160" y="7560720"/>
          <a:ext cx="192960" cy="21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27</xdr:row>
      <xdr:rowOff>39960</xdr:rowOff>
    </xdr:from>
    <xdr:to>
      <xdr:col>1</xdr:col>
      <xdr:colOff>342000</xdr:colOff>
      <xdr:row>27</xdr:row>
      <xdr:rowOff>161280</xdr:rowOff>
    </xdr:to>
    <xdr:pic>
      <xdr:nvPicPr>
        <xdr:cNvPr id="923" name="Imagem 14" descr=""/>
        <xdr:cNvPicPr/>
      </xdr:nvPicPr>
      <xdr:blipFill>
        <a:blip r:embed="rId14"/>
        <a:stretch/>
      </xdr:blipFill>
      <xdr:spPr>
        <a:xfrm>
          <a:off x="837000" y="782172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28</xdr:row>
      <xdr:rowOff>47520</xdr:rowOff>
    </xdr:from>
    <xdr:to>
      <xdr:col>1</xdr:col>
      <xdr:colOff>275760</xdr:colOff>
      <xdr:row>28</xdr:row>
      <xdr:rowOff>167040</xdr:rowOff>
    </xdr:to>
    <xdr:pic>
      <xdr:nvPicPr>
        <xdr:cNvPr id="924" name="Imagem 15" descr=""/>
        <xdr:cNvPicPr/>
      </xdr:nvPicPr>
      <xdr:blipFill>
        <a:blip r:embed="rId15"/>
        <a:stretch/>
      </xdr:blipFill>
      <xdr:spPr>
        <a:xfrm>
          <a:off x="834840" y="804852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6</xdr:row>
      <xdr:rowOff>56520</xdr:rowOff>
    </xdr:from>
    <xdr:to>
      <xdr:col>11</xdr:col>
      <xdr:colOff>353880</xdr:colOff>
      <xdr:row>6</xdr:row>
      <xdr:rowOff>304560</xdr:rowOff>
    </xdr:to>
    <xdr:pic>
      <xdr:nvPicPr>
        <xdr:cNvPr id="925" name="Imagem 16" descr=""/>
        <xdr:cNvPicPr/>
      </xdr:nvPicPr>
      <xdr:blipFill>
        <a:blip r:embed="rId16"/>
        <a:stretch/>
      </xdr:blipFill>
      <xdr:spPr>
        <a:xfrm>
          <a:off x="6852240" y="159012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60120</xdr:colOff>
      <xdr:row>5</xdr:row>
      <xdr:rowOff>104040</xdr:rowOff>
    </xdr:from>
    <xdr:to>
      <xdr:col>11</xdr:col>
      <xdr:colOff>410760</xdr:colOff>
      <xdr:row>6</xdr:row>
      <xdr:rowOff>22680</xdr:rowOff>
    </xdr:to>
    <xdr:pic>
      <xdr:nvPicPr>
        <xdr:cNvPr id="926" name="Imagem 17" descr=""/>
        <xdr:cNvPicPr/>
      </xdr:nvPicPr>
      <xdr:blipFill>
        <a:blip r:embed="rId17"/>
        <a:stretch/>
      </xdr:blipFill>
      <xdr:spPr>
        <a:xfrm>
          <a:off x="6834960" y="135180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124200</xdr:colOff>
      <xdr:row>4</xdr:row>
      <xdr:rowOff>-720</xdr:rowOff>
    </xdr:from>
    <xdr:to>
      <xdr:col>11</xdr:col>
      <xdr:colOff>333720</xdr:colOff>
      <xdr:row>5</xdr:row>
      <xdr:rowOff>18360</xdr:rowOff>
    </xdr:to>
    <xdr:pic>
      <xdr:nvPicPr>
        <xdr:cNvPr id="927" name="Imagem 18" descr=""/>
        <xdr:cNvPicPr/>
      </xdr:nvPicPr>
      <xdr:blipFill>
        <a:blip r:embed="rId18"/>
        <a:stretch/>
      </xdr:blipFill>
      <xdr:spPr>
        <a:xfrm>
          <a:off x="6899040" y="99936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143640</xdr:colOff>
      <xdr:row>3</xdr:row>
      <xdr:rowOff>65880</xdr:rowOff>
    </xdr:from>
    <xdr:to>
      <xdr:col>11</xdr:col>
      <xdr:colOff>349920</xdr:colOff>
      <xdr:row>3</xdr:row>
      <xdr:rowOff>228600</xdr:rowOff>
    </xdr:to>
    <xdr:pic>
      <xdr:nvPicPr>
        <xdr:cNvPr id="928" name="Imagem 19" descr=""/>
        <xdr:cNvPicPr/>
      </xdr:nvPicPr>
      <xdr:blipFill>
        <a:blip r:embed="rId19"/>
        <a:stretch/>
      </xdr:blipFill>
      <xdr:spPr>
        <a:xfrm>
          <a:off x="6918480" y="81828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19080</xdr:rowOff>
    </xdr:from>
    <xdr:to>
      <xdr:col>11</xdr:col>
      <xdr:colOff>342720</xdr:colOff>
      <xdr:row>3</xdr:row>
      <xdr:rowOff>27720</xdr:rowOff>
    </xdr:to>
    <xdr:pic>
      <xdr:nvPicPr>
        <xdr:cNvPr id="929" name="Imagem 20" descr=""/>
        <xdr:cNvPicPr/>
      </xdr:nvPicPr>
      <xdr:blipFill>
        <a:blip r:embed="rId20"/>
        <a:stretch/>
      </xdr:blipFill>
      <xdr:spPr>
        <a:xfrm>
          <a:off x="6908760" y="52380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7</xdr:row>
      <xdr:rowOff>47520</xdr:rowOff>
    </xdr:from>
    <xdr:to>
      <xdr:col>11</xdr:col>
      <xdr:colOff>389880</xdr:colOff>
      <xdr:row>7</xdr:row>
      <xdr:rowOff>218160</xdr:rowOff>
    </xdr:to>
    <xdr:pic>
      <xdr:nvPicPr>
        <xdr:cNvPr id="930" name="Imagem 21" descr=""/>
        <xdr:cNvPicPr/>
      </xdr:nvPicPr>
      <xdr:blipFill>
        <a:blip r:embed="rId21"/>
        <a:stretch/>
      </xdr:blipFill>
      <xdr:spPr>
        <a:xfrm>
          <a:off x="6822360" y="192384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18</xdr:row>
      <xdr:rowOff>95400</xdr:rowOff>
    </xdr:from>
    <xdr:to>
      <xdr:col>1</xdr:col>
      <xdr:colOff>408960</xdr:colOff>
      <xdr:row>18</xdr:row>
      <xdr:rowOff>266040</xdr:rowOff>
    </xdr:to>
    <xdr:pic>
      <xdr:nvPicPr>
        <xdr:cNvPr id="931" name="Imagem 22" descr=""/>
        <xdr:cNvPicPr/>
      </xdr:nvPicPr>
      <xdr:blipFill>
        <a:blip r:embed="rId22"/>
        <a:stretch/>
      </xdr:blipFill>
      <xdr:spPr>
        <a:xfrm>
          <a:off x="801360" y="552456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19</xdr:row>
      <xdr:rowOff>49680</xdr:rowOff>
    </xdr:from>
    <xdr:to>
      <xdr:col>1</xdr:col>
      <xdr:colOff>383040</xdr:colOff>
      <xdr:row>19</xdr:row>
      <xdr:rowOff>353160</xdr:rowOff>
    </xdr:to>
    <xdr:pic>
      <xdr:nvPicPr>
        <xdr:cNvPr id="932" name="Imagem 24" descr=""/>
        <xdr:cNvPicPr/>
      </xdr:nvPicPr>
      <xdr:blipFill>
        <a:blip r:embed="rId23"/>
        <a:stretch/>
      </xdr:blipFill>
      <xdr:spPr>
        <a:xfrm>
          <a:off x="779760" y="58219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20</xdr:row>
      <xdr:rowOff>11520</xdr:rowOff>
    </xdr:from>
    <xdr:to>
      <xdr:col>1</xdr:col>
      <xdr:colOff>364320</xdr:colOff>
      <xdr:row>20</xdr:row>
      <xdr:rowOff>315000</xdr:rowOff>
    </xdr:to>
    <xdr:pic>
      <xdr:nvPicPr>
        <xdr:cNvPr id="933" name="Imagem 25" descr=""/>
        <xdr:cNvPicPr/>
      </xdr:nvPicPr>
      <xdr:blipFill>
        <a:blip r:embed="rId24"/>
        <a:stretch/>
      </xdr:blipFill>
      <xdr:spPr>
        <a:xfrm>
          <a:off x="761040" y="6145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533520</xdr:colOff>
      <xdr:row>8</xdr:row>
      <xdr:rowOff>19080</xdr:rowOff>
    </xdr:from>
    <xdr:to>
      <xdr:col>11</xdr:col>
      <xdr:colOff>287280</xdr:colOff>
      <xdr:row>8</xdr:row>
      <xdr:rowOff>322560</xdr:rowOff>
    </xdr:to>
    <xdr:pic>
      <xdr:nvPicPr>
        <xdr:cNvPr id="934" name="Imagem 26" descr=""/>
        <xdr:cNvPicPr/>
      </xdr:nvPicPr>
      <xdr:blipFill>
        <a:blip r:embed="rId25"/>
        <a:stretch/>
      </xdr:blipFill>
      <xdr:spPr>
        <a:xfrm>
          <a:off x="6724080" y="22003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542880</xdr:colOff>
      <xdr:row>5</xdr:row>
      <xdr:rowOff>66600</xdr:rowOff>
    </xdr:from>
    <xdr:to>
      <xdr:col>9</xdr:col>
      <xdr:colOff>104040</xdr:colOff>
      <xdr:row>8</xdr:row>
      <xdr:rowOff>285120</xdr:rowOff>
    </xdr:to>
    <xdr:pic>
      <xdr:nvPicPr>
        <xdr:cNvPr id="935" name="Imagem 27" descr="">
          <a:hlinkClick r:id="rId26"/>
        </xdr:cNvPr>
        <xdr:cNvPicPr/>
      </xdr:nvPicPr>
      <xdr:blipFill>
        <a:blip r:embed="rId27"/>
        <a:stretch/>
      </xdr:blipFill>
      <xdr:spPr>
        <a:xfrm>
          <a:off x="4898880" y="1314360"/>
          <a:ext cx="784440" cy="115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936" name="Imagem 1" descr=""/>
        <xdr:cNvPicPr/>
      </xdr:nvPicPr>
      <xdr:blipFill>
        <a:blip r:embed="rId1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937" name="Imagem 2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938" name="Imagem 3" descr=""/>
        <xdr:cNvPicPr/>
      </xdr:nvPicPr>
      <xdr:blipFill>
        <a:blip r:embed="rId3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939" name="Imagem 4" descr=""/>
        <xdr:cNvPicPr/>
      </xdr:nvPicPr>
      <xdr:blipFill>
        <a:blip r:embed="rId4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940" name="Imagem 5" descr=""/>
        <xdr:cNvPicPr/>
      </xdr:nvPicPr>
      <xdr:blipFill>
        <a:blip r:embed="rId5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941" name="Imagem 6" descr=""/>
        <xdr:cNvPicPr/>
      </xdr:nvPicPr>
      <xdr:blipFill>
        <a:blip r:embed="rId6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942" name="Imagem 7" descr=""/>
        <xdr:cNvPicPr/>
      </xdr:nvPicPr>
      <xdr:blipFill>
        <a:blip r:embed="rId7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943" name="Imagem 8" descr=""/>
        <xdr:cNvPicPr/>
      </xdr:nvPicPr>
      <xdr:blipFill>
        <a:blip r:embed="rId8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22</xdr:row>
      <xdr:rowOff>37800</xdr:rowOff>
    </xdr:from>
    <xdr:to>
      <xdr:col>1</xdr:col>
      <xdr:colOff>408600</xdr:colOff>
      <xdr:row>22</xdr:row>
      <xdr:rowOff>197280</xdr:rowOff>
    </xdr:to>
    <xdr:pic>
      <xdr:nvPicPr>
        <xdr:cNvPr id="944" name="Imagem 9" descr=""/>
        <xdr:cNvPicPr/>
      </xdr:nvPicPr>
      <xdr:blipFill>
        <a:blip r:embed="rId9"/>
        <a:stretch/>
      </xdr:blipFill>
      <xdr:spPr>
        <a:xfrm>
          <a:off x="867960" y="6724440"/>
          <a:ext cx="275400" cy="15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23</xdr:row>
      <xdr:rowOff>31320</xdr:rowOff>
    </xdr:from>
    <xdr:to>
      <xdr:col>1</xdr:col>
      <xdr:colOff>361440</xdr:colOff>
      <xdr:row>23</xdr:row>
      <xdr:rowOff>200160</xdr:rowOff>
    </xdr:to>
    <xdr:pic>
      <xdr:nvPicPr>
        <xdr:cNvPr id="945" name="Imagem 10" descr=""/>
        <xdr:cNvPicPr/>
      </xdr:nvPicPr>
      <xdr:blipFill>
        <a:blip r:embed="rId10"/>
        <a:stretch/>
      </xdr:blipFill>
      <xdr:spPr>
        <a:xfrm>
          <a:off x="884880" y="693684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24</xdr:row>
      <xdr:rowOff>19800</xdr:rowOff>
    </xdr:from>
    <xdr:to>
      <xdr:col>1</xdr:col>
      <xdr:colOff>384840</xdr:colOff>
      <xdr:row>24</xdr:row>
      <xdr:rowOff>180360</xdr:rowOff>
    </xdr:to>
    <xdr:pic>
      <xdr:nvPicPr>
        <xdr:cNvPr id="946" name="Imagem 11" descr=""/>
        <xdr:cNvPicPr/>
      </xdr:nvPicPr>
      <xdr:blipFill>
        <a:blip r:embed="rId11"/>
        <a:stretch/>
      </xdr:blipFill>
      <xdr:spPr>
        <a:xfrm>
          <a:off x="858600" y="714456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25</xdr:row>
      <xdr:rowOff>57240</xdr:rowOff>
    </xdr:from>
    <xdr:to>
      <xdr:col>1</xdr:col>
      <xdr:colOff>314280</xdr:colOff>
      <xdr:row>25</xdr:row>
      <xdr:rowOff>190080</xdr:rowOff>
    </xdr:to>
    <xdr:pic>
      <xdr:nvPicPr>
        <xdr:cNvPr id="947" name="Imagem 12" descr=""/>
        <xdr:cNvPicPr/>
      </xdr:nvPicPr>
      <xdr:blipFill>
        <a:blip r:embed="rId12"/>
        <a:stretch/>
      </xdr:blipFill>
      <xdr:spPr>
        <a:xfrm>
          <a:off x="846720" y="740088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25</xdr:row>
      <xdr:rowOff>217080</xdr:rowOff>
    </xdr:from>
    <xdr:to>
      <xdr:col>1</xdr:col>
      <xdr:colOff>288360</xdr:colOff>
      <xdr:row>26</xdr:row>
      <xdr:rowOff>208800</xdr:rowOff>
    </xdr:to>
    <xdr:pic>
      <xdr:nvPicPr>
        <xdr:cNvPr id="948" name="Imagem 13" descr=""/>
        <xdr:cNvPicPr/>
      </xdr:nvPicPr>
      <xdr:blipFill>
        <a:blip r:embed="rId13"/>
        <a:stretch/>
      </xdr:blipFill>
      <xdr:spPr>
        <a:xfrm>
          <a:off x="830160" y="7560720"/>
          <a:ext cx="192960" cy="21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27</xdr:row>
      <xdr:rowOff>39960</xdr:rowOff>
    </xdr:from>
    <xdr:to>
      <xdr:col>1</xdr:col>
      <xdr:colOff>342000</xdr:colOff>
      <xdr:row>27</xdr:row>
      <xdr:rowOff>161280</xdr:rowOff>
    </xdr:to>
    <xdr:pic>
      <xdr:nvPicPr>
        <xdr:cNvPr id="949" name="Imagem 14" descr=""/>
        <xdr:cNvPicPr/>
      </xdr:nvPicPr>
      <xdr:blipFill>
        <a:blip r:embed="rId14"/>
        <a:stretch/>
      </xdr:blipFill>
      <xdr:spPr>
        <a:xfrm>
          <a:off x="837000" y="782172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28</xdr:row>
      <xdr:rowOff>47520</xdr:rowOff>
    </xdr:from>
    <xdr:to>
      <xdr:col>1</xdr:col>
      <xdr:colOff>275760</xdr:colOff>
      <xdr:row>28</xdr:row>
      <xdr:rowOff>167040</xdr:rowOff>
    </xdr:to>
    <xdr:pic>
      <xdr:nvPicPr>
        <xdr:cNvPr id="950" name="Imagem 15" descr=""/>
        <xdr:cNvPicPr/>
      </xdr:nvPicPr>
      <xdr:blipFill>
        <a:blip r:embed="rId15"/>
        <a:stretch/>
      </xdr:blipFill>
      <xdr:spPr>
        <a:xfrm>
          <a:off x="834840" y="804852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6</xdr:row>
      <xdr:rowOff>56520</xdr:rowOff>
    </xdr:from>
    <xdr:to>
      <xdr:col>11</xdr:col>
      <xdr:colOff>353880</xdr:colOff>
      <xdr:row>6</xdr:row>
      <xdr:rowOff>304560</xdr:rowOff>
    </xdr:to>
    <xdr:pic>
      <xdr:nvPicPr>
        <xdr:cNvPr id="951" name="Imagem 17" descr=""/>
        <xdr:cNvPicPr/>
      </xdr:nvPicPr>
      <xdr:blipFill>
        <a:blip r:embed="rId16"/>
        <a:stretch/>
      </xdr:blipFill>
      <xdr:spPr>
        <a:xfrm>
          <a:off x="6852240" y="159012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60120</xdr:colOff>
      <xdr:row>5</xdr:row>
      <xdr:rowOff>104040</xdr:rowOff>
    </xdr:from>
    <xdr:to>
      <xdr:col>11</xdr:col>
      <xdr:colOff>410760</xdr:colOff>
      <xdr:row>6</xdr:row>
      <xdr:rowOff>22680</xdr:rowOff>
    </xdr:to>
    <xdr:pic>
      <xdr:nvPicPr>
        <xdr:cNvPr id="952" name="Imagem 18" descr=""/>
        <xdr:cNvPicPr/>
      </xdr:nvPicPr>
      <xdr:blipFill>
        <a:blip r:embed="rId17"/>
        <a:stretch/>
      </xdr:blipFill>
      <xdr:spPr>
        <a:xfrm>
          <a:off x="6834960" y="135180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124200</xdr:colOff>
      <xdr:row>4</xdr:row>
      <xdr:rowOff>-720</xdr:rowOff>
    </xdr:from>
    <xdr:to>
      <xdr:col>11</xdr:col>
      <xdr:colOff>333720</xdr:colOff>
      <xdr:row>5</xdr:row>
      <xdr:rowOff>18360</xdr:rowOff>
    </xdr:to>
    <xdr:pic>
      <xdr:nvPicPr>
        <xdr:cNvPr id="953" name="Imagem 19" descr=""/>
        <xdr:cNvPicPr/>
      </xdr:nvPicPr>
      <xdr:blipFill>
        <a:blip r:embed="rId18"/>
        <a:stretch/>
      </xdr:blipFill>
      <xdr:spPr>
        <a:xfrm>
          <a:off x="6899040" y="99936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143640</xdr:colOff>
      <xdr:row>3</xdr:row>
      <xdr:rowOff>65880</xdr:rowOff>
    </xdr:from>
    <xdr:to>
      <xdr:col>11</xdr:col>
      <xdr:colOff>349920</xdr:colOff>
      <xdr:row>3</xdr:row>
      <xdr:rowOff>228600</xdr:rowOff>
    </xdr:to>
    <xdr:pic>
      <xdr:nvPicPr>
        <xdr:cNvPr id="954" name="Imagem 20" descr=""/>
        <xdr:cNvPicPr/>
      </xdr:nvPicPr>
      <xdr:blipFill>
        <a:blip r:embed="rId19"/>
        <a:stretch/>
      </xdr:blipFill>
      <xdr:spPr>
        <a:xfrm>
          <a:off x="6918480" y="81828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19080</xdr:rowOff>
    </xdr:from>
    <xdr:to>
      <xdr:col>11</xdr:col>
      <xdr:colOff>342720</xdr:colOff>
      <xdr:row>3</xdr:row>
      <xdr:rowOff>27720</xdr:rowOff>
    </xdr:to>
    <xdr:pic>
      <xdr:nvPicPr>
        <xdr:cNvPr id="955" name="Imagem 21" descr=""/>
        <xdr:cNvPicPr/>
      </xdr:nvPicPr>
      <xdr:blipFill>
        <a:blip r:embed="rId20"/>
        <a:stretch/>
      </xdr:blipFill>
      <xdr:spPr>
        <a:xfrm>
          <a:off x="6908760" y="52380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7</xdr:row>
      <xdr:rowOff>47520</xdr:rowOff>
    </xdr:from>
    <xdr:to>
      <xdr:col>11</xdr:col>
      <xdr:colOff>389880</xdr:colOff>
      <xdr:row>7</xdr:row>
      <xdr:rowOff>218160</xdr:rowOff>
    </xdr:to>
    <xdr:pic>
      <xdr:nvPicPr>
        <xdr:cNvPr id="956" name="Imagem 22" descr=""/>
        <xdr:cNvPicPr/>
      </xdr:nvPicPr>
      <xdr:blipFill>
        <a:blip r:embed="rId21"/>
        <a:stretch/>
      </xdr:blipFill>
      <xdr:spPr>
        <a:xfrm>
          <a:off x="6822360" y="192384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18</xdr:row>
      <xdr:rowOff>95400</xdr:rowOff>
    </xdr:from>
    <xdr:to>
      <xdr:col>1</xdr:col>
      <xdr:colOff>408960</xdr:colOff>
      <xdr:row>18</xdr:row>
      <xdr:rowOff>266040</xdr:rowOff>
    </xdr:to>
    <xdr:pic>
      <xdr:nvPicPr>
        <xdr:cNvPr id="957" name="Imagem 23" descr=""/>
        <xdr:cNvPicPr/>
      </xdr:nvPicPr>
      <xdr:blipFill>
        <a:blip r:embed="rId22"/>
        <a:stretch/>
      </xdr:blipFill>
      <xdr:spPr>
        <a:xfrm>
          <a:off x="801360" y="552456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371520</xdr:colOff>
      <xdr:row>5</xdr:row>
      <xdr:rowOff>38160</xdr:rowOff>
    </xdr:from>
    <xdr:to>
      <xdr:col>9</xdr:col>
      <xdr:colOff>222840</xdr:colOff>
      <xdr:row>8</xdr:row>
      <xdr:rowOff>285120</xdr:rowOff>
    </xdr:to>
    <xdr:pic>
      <xdr:nvPicPr>
        <xdr:cNvPr id="958" name="Imagem 25" descr="">
          <a:hlinkClick r:id="rId23"/>
        </xdr:cNvPr>
        <xdr:cNvPicPr/>
      </xdr:nvPicPr>
      <xdr:blipFill>
        <a:blip r:embed="rId24"/>
        <a:stretch/>
      </xdr:blipFill>
      <xdr:spPr>
        <a:xfrm>
          <a:off x="4727520" y="1285920"/>
          <a:ext cx="1074600" cy="118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19</xdr:row>
      <xdr:rowOff>49680</xdr:rowOff>
    </xdr:from>
    <xdr:to>
      <xdr:col>1</xdr:col>
      <xdr:colOff>383040</xdr:colOff>
      <xdr:row>19</xdr:row>
      <xdr:rowOff>353160</xdr:rowOff>
    </xdr:to>
    <xdr:pic>
      <xdr:nvPicPr>
        <xdr:cNvPr id="959" name="Imagem 26" descr=""/>
        <xdr:cNvPicPr/>
      </xdr:nvPicPr>
      <xdr:blipFill>
        <a:blip r:embed="rId25"/>
        <a:stretch/>
      </xdr:blipFill>
      <xdr:spPr>
        <a:xfrm>
          <a:off x="779760" y="58219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20</xdr:row>
      <xdr:rowOff>11520</xdr:rowOff>
    </xdr:from>
    <xdr:to>
      <xdr:col>1</xdr:col>
      <xdr:colOff>364320</xdr:colOff>
      <xdr:row>20</xdr:row>
      <xdr:rowOff>315000</xdr:rowOff>
    </xdr:to>
    <xdr:pic>
      <xdr:nvPicPr>
        <xdr:cNvPr id="960" name="Imagem 27" descr=""/>
        <xdr:cNvPicPr/>
      </xdr:nvPicPr>
      <xdr:blipFill>
        <a:blip r:embed="rId26"/>
        <a:stretch/>
      </xdr:blipFill>
      <xdr:spPr>
        <a:xfrm>
          <a:off x="761040" y="6145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533520</xdr:colOff>
      <xdr:row>8</xdr:row>
      <xdr:rowOff>19080</xdr:rowOff>
    </xdr:from>
    <xdr:to>
      <xdr:col>11</xdr:col>
      <xdr:colOff>287280</xdr:colOff>
      <xdr:row>8</xdr:row>
      <xdr:rowOff>322560</xdr:rowOff>
    </xdr:to>
    <xdr:pic>
      <xdr:nvPicPr>
        <xdr:cNvPr id="961" name="Imagem 28" descr=""/>
        <xdr:cNvPicPr/>
      </xdr:nvPicPr>
      <xdr:blipFill>
        <a:blip r:embed="rId27"/>
        <a:stretch/>
      </xdr:blipFill>
      <xdr:spPr>
        <a:xfrm>
          <a:off x="6724080" y="2200320"/>
          <a:ext cx="338040" cy="30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102240</xdr:colOff>
      <xdr:row>23</xdr:row>
      <xdr:rowOff>28440</xdr:rowOff>
    </xdr:from>
    <xdr:to>
      <xdr:col>1</xdr:col>
      <xdr:colOff>456120</xdr:colOff>
      <xdr:row>24</xdr:row>
      <xdr:rowOff>12600</xdr:rowOff>
    </xdr:to>
    <xdr:pic>
      <xdr:nvPicPr>
        <xdr:cNvPr id="962" name="Imagem 1" descr=""/>
        <xdr:cNvPicPr/>
      </xdr:nvPicPr>
      <xdr:blipFill>
        <a:blip r:embed="rId1"/>
        <a:stretch/>
      </xdr:blipFill>
      <xdr:spPr>
        <a:xfrm>
          <a:off x="847080" y="69627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24</xdr:row>
      <xdr:rowOff>38160</xdr:rowOff>
    </xdr:from>
    <xdr:to>
      <xdr:col>1</xdr:col>
      <xdr:colOff>427680</xdr:colOff>
      <xdr:row>25</xdr:row>
      <xdr:rowOff>22320</xdr:rowOff>
    </xdr:to>
    <xdr:pic>
      <xdr:nvPicPr>
        <xdr:cNvPr id="963" name="Imagem 2" descr=""/>
        <xdr:cNvPicPr/>
      </xdr:nvPicPr>
      <xdr:blipFill>
        <a:blip r:embed="rId2"/>
        <a:stretch/>
      </xdr:blipFill>
      <xdr:spPr>
        <a:xfrm>
          <a:off x="818640" y="73058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54000</xdr:rowOff>
    </xdr:from>
    <xdr:to>
      <xdr:col>1</xdr:col>
      <xdr:colOff>399600</xdr:colOff>
      <xdr:row>14</xdr:row>
      <xdr:rowOff>298800</xdr:rowOff>
    </xdr:to>
    <xdr:pic>
      <xdr:nvPicPr>
        <xdr:cNvPr id="964" name="Imagem 3" descr=""/>
        <xdr:cNvPicPr/>
      </xdr:nvPicPr>
      <xdr:blipFill>
        <a:blip r:embed="rId3"/>
        <a:stretch/>
      </xdr:blipFill>
      <xdr:spPr>
        <a:xfrm>
          <a:off x="840240" y="4187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965" name="Imagem 5" descr=""/>
        <xdr:cNvPicPr/>
      </xdr:nvPicPr>
      <xdr:blipFill>
        <a:blip r:embed="rId4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11</xdr:row>
      <xdr:rowOff>61560</xdr:rowOff>
    </xdr:from>
    <xdr:to>
      <xdr:col>2</xdr:col>
      <xdr:colOff>9000</xdr:colOff>
      <xdr:row>11</xdr:row>
      <xdr:rowOff>294480</xdr:rowOff>
    </xdr:to>
    <xdr:pic>
      <xdr:nvPicPr>
        <xdr:cNvPr id="966" name="Imagem 6" descr=""/>
        <xdr:cNvPicPr/>
      </xdr:nvPicPr>
      <xdr:blipFill>
        <a:blip r:embed="rId5"/>
        <a:stretch/>
      </xdr:blipFill>
      <xdr:spPr>
        <a:xfrm>
          <a:off x="837720" y="3223800"/>
          <a:ext cx="527760" cy="23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50040</xdr:colOff>
      <xdr:row>12</xdr:row>
      <xdr:rowOff>102960</xdr:rowOff>
    </xdr:from>
    <xdr:to>
      <xdr:col>2</xdr:col>
      <xdr:colOff>28080</xdr:colOff>
      <xdr:row>12</xdr:row>
      <xdr:rowOff>246960</xdr:rowOff>
    </xdr:to>
    <xdr:pic>
      <xdr:nvPicPr>
        <xdr:cNvPr id="967" name="Imagem 8" descr=""/>
        <xdr:cNvPicPr/>
      </xdr:nvPicPr>
      <xdr:blipFill>
        <a:blip r:embed="rId6"/>
        <a:stretch/>
      </xdr:blipFill>
      <xdr:spPr>
        <a:xfrm>
          <a:off x="794880" y="3589200"/>
          <a:ext cx="589680" cy="14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94680</xdr:rowOff>
    </xdr:from>
    <xdr:to>
      <xdr:col>1</xdr:col>
      <xdr:colOff>438480</xdr:colOff>
      <xdr:row>15</xdr:row>
      <xdr:rowOff>256320</xdr:rowOff>
    </xdr:to>
    <xdr:pic>
      <xdr:nvPicPr>
        <xdr:cNvPr id="968" name="Imagem 9" descr=""/>
        <xdr:cNvPicPr/>
      </xdr:nvPicPr>
      <xdr:blipFill>
        <a:blip r:embed="rId7"/>
        <a:stretch/>
      </xdr:blipFill>
      <xdr:spPr>
        <a:xfrm>
          <a:off x="811440" y="4552560"/>
          <a:ext cx="371880" cy="16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17</xdr:row>
      <xdr:rowOff>34920</xdr:rowOff>
    </xdr:from>
    <xdr:to>
      <xdr:col>1</xdr:col>
      <xdr:colOff>447120</xdr:colOff>
      <xdr:row>17</xdr:row>
      <xdr:rowOff>282600</xdr:rowOff>
    </xdr:to>
    <xdr:pic>
      <xdr:nvPicPr>
        <xdr:cNvPr id="969" name="Imagem 10" descr=""/>
        <xdr:cNvPicPr/>
      </xdr:nvPicPr>
      <xdr:blipFill>
        <a:blip r:embed="rId8"/>
        <a:stretch/>
      </xdr:blipFill>
      <xdr:spPr>
        <a:xfrm>
          <a:off x="837720" y="5140440"/>
          <a:ext cx="35424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16</xdr:row>
      <xdr:rowOff>114480</xdr:rowOff>
    </xdr:from>
    <xdr:to>
      <xdr:col>1</xdr:col>
      <xdr:colOff>478080</xdr:colOff>
      <xdr:row>16</xdr:row>
      <xdr:rowOff>246960</xdr:rowOff>
    </xdr:to>
    <xdr:pic>
      <xdr:nvPicPr>
        <xdr:cNvPr id="970" name="Imagem 11" descr=""/>
        <xdr:cNvPicPr/>
      </xdr:nvPicPr>
      <xdr:blipFill>
        <a:blip r:embed="rId9"/>
        <a:stretch/>
      </xdr:blipFill>
      <xdr:spPr>
        <a:xfrm>
          <a:off x="787680" y="4896000"/>
          <a:ext cx="435240" cy="1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76320</xdr:rowOff>
    </xdr:from>
    <xdr:to>
      <xdr:col>1</xdr:col>
      <xdr:colOff>392040</xdr:colOff>
      <xdr:row>18</xdr:row>
      <xdr:rowOff>212760</xdr:rowOff>
    </xdr:to>
    <xdr:pic>
      <xdr:nvPicPr>
        <xdr:cNvPr id="971" name="Imagem 12" descr=""/>
        <xdr:cNvPicPr/>
      </xdr:nvPicPr>
      <xdr:blipFill>
        <a:blip r:embed="rId10"/>
        <a:stretch/>
      </xdr:blipFill>
      <xdr:spPr>
        <a:xfrm>
          <a:off x="849600" y="55054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129600</xdr:colOff>
      <xdr:row>19</xdr:row>
      <xdr:rowOff>57240</xdr:rowOff>
    </xdr:from>
    <xdr:to>
      <xdr:col>1</xdr:col>
      <xdr:colOff>389880</xdr:colOff>
      <xdr:row>19</xdr:row>
      <xdr:rowOff>245520</xdr:rowOff>
    </xdr:to>
    <xdr:pic>
      <xdr:nvPicPr>
        <xdr:cNvPr id="972" name="Imagem 13" descr=""/>
        <xdr:cNvPicPr/>
      </xdr:nvPicPr>
      <xdr:blipFill>
        <a:blip r:embed="rId11"/>
        <a:stretch/>
      </xdr:blipFill>
      <xdr:spPr>
        <a:xfrm>
          <a:off x="874440" y="577224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20</xdr:row>
      <xdr:rowOff>75960</xdr:rowOff>
    </xdr:from>
    <xdr:to>
      <xdr:col>1</xdr:col>
      <xdr:colOff>418680</xdr:colOff>
      <xdr:row>20</xdr:row>
      <xdr:rowOff>229320</xdr:rowOff>
    </xdr:to>
    <xdr:pic>
      <xdr:nvPicPr>
        <xdr:cNvPr id="973" name="Imagem 14" descr=""/>
        <xdr:cNvPicPr/>
      </xdr:nvPicPr>
      <xdr:blipFill>
        <a:blip r:embed="rId12"/>
        <a:stretch/>
      </xdr:blipFill>
      <xdr:spPr>
        <a:xfrm>
          <a:off x="840240" y="6076800"/>
          <a:ext cx="323280" cy="15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21</xdr:row>
      <xdr:rowOff>28440</xdr:rowOff>
    </xdr:from>
    <xdr:to>
      <xdr:col>1</xdr:col>
      <xdr:colOff>331920</xdr:colOff>
      <xdr:row>21</xdr:row>
      <xdr:rowOff>272160</xdr:rowOff>
    </xdr:to>
    <xdr:pic>
      <xdr:nvPicPr>
        <xdr:cNvPr id="974" name="Imagem 15" descr=""/>
        <xdr:cNvPicPr/>
      </xdr:nvPicPr>
      <xdr:blipFill>
        <a:blip r:embed="rId13"/>
        <a:stretch/>
      </xdr:blipFill>
      <xdr:spPr>
        <a:xfrm>
          <a:off x="809280" y="6296040"/>
          <a:ext cx="267480" cy="24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22</xdr:row>
      <xdr:rowOff>50040</xdr:rowOff>
    </xdr:from>
    <xdr:to>
      <xdr:col>1</xdr:col>
      <xdr:colOff>361080</xdr:colOff>
      <xdr:row>22</xdr:row>
      <xdr:rowOff>275400</xdr:rowOff>
    </xdr:to>
    <xdr:pic>
      <xdr:nvPicPr>
        <xdr:cNvPr id="975" name="Imagem 16" descr=""/>
        <xdr:cNvPicPr/>
      </xdr:nvPicPr>
      <xdr:blipFill>
        <a:blip r:embed="rId14"/>
        <a:stretch/>
      </xdr:blipFill>
      <xdr:spPr>
        <a:xfrm>
          <a:off x="816120" y="6651000"/>
          <a:ext cx="28980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37440</xdr:rowOff>
    </xdr:from>
    <xdr:to>
      <xdr:col>1</xdr:col>
      <xdr:colOff>275400</xdr:colOff>
      <xdr:row>25</xdr:row>
      <xdr:rowOff>275400</xdr:rowOff>
    </xdr:to>
    <xdr:pic>
      <xdr:nvPicPr>
        <xdr:cNvPr id="976" name="Imagem 17" descr=""/>
        <xdr:cNvPicPr/>
      </xdr:nvPicPr>
      <xdr:blipFill>
        <a:blip r:embed="rId15"/>
        <a:stretch/>
      </xdr:blipFill>
      <xdr:spPr>
        <a:xfrm>
          <a:off x="792360" y="763848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21600</xdr:colOff>
      <xdr:row>15</xdr:row>
      <xdr:rowOff>51120</xdr:rowOff>
    </xdr:from>
    <xdr:to>
      <xdr:col>11</xdr:col>
      <xdr:colOff>297360</xdr:colOff>
      <xdr:row>15</xdr:row>
      <xdr:rowOff>298800</xdr:rowOff>
    </xdr:to>
    <xdr:pic>
      <xdr:nvPicPr>
        <xdr:cNvPr id="977" name="Imagem 18" descr=""/>
        <xdr:cNvPicPr/>
      </xdr:nvPicPr>
      <xdr:blipFill>
        <a:blip r:embed="rId16"/>
        <a:stretch/>
      </xdr:blipFill>
      <xdr:spPr>
        <a:xfrm>
          <a:off x="6621120" y="450900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87120</xdr:rowOff>
    </xdr:from>
    <xdr:to>
      <xdr:col>11</xdr:col>
      <xdr:colOff>404280</xdr:colOff>
      <xdr:row>2</xdr:row>
      <xdr:rowOff>199440</xdr:rowOff>
    </xdr:to>
    <xdr:pic>
      <xdr:nvPicPr>
        <xdr:cNvPr id="978" name="Imagem 19" descr=""/>
        <xdr:cNvPicPr/>
      </xdr:nvPicPr>
      <xdr:blipFill>
        <a:blip r:embed="rId17"/>
        <a:stretch/>
      </xdr:blipFill>
      <xdr:spPr>
        <a:xfrm>
          <a:off x="6642360" y="59184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62280</xdr:colOff>
      <xdr:row>3</xdr:row>
      <xdr:rowOff>69840</xdr:rowOff>
    </xdr:from>
    <xdr:to>
      <xdr:col>11</xdr:col>
      <xdr:colOff>391320</xdr:colOff>
      <xdr:row>3</xdr:row>
      <xdr:rowOff>215640</xdr:rowOff>
    </xdr:to>
    <xdr:pic>
      <xdr:nvPicPr>
        <xdr:cNvPr id="979" name="Imagem 20" descr=""/>
        <xdr:cNvPicPr/>
      </xdr:nvPicPr>
      <xdr:blipFill>
        <a:blip r:embed="rId18"/>
        <a:stretch/>
      </xdr:blipFill>
      <xdr:spPr>
        <a:xfrm>
          <a:off x="6661800" y="822240"/>
          <a:ext cx="329040" cy="14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5</xdr:row>
      <xdr:rowOff>123840</xdr:rowOff>
    </xdr:from>
    <xdr:to>
      <xdr:col>11</xdr:col>
      <xdr:colOff>432000</xdr:colOff>
      <xdr:row>5</xdr:row>
      <xdr:rowOff>218520</xdr:rowOff>
    </xdr:to>
    <xdr:pic>
      <xdr:nvPicPr>
        <xdr:cNvPr id="980" name="Imagem 22" descr=""/>
        <xdr:cNvPicPr/>
      </xdr:nvPicPr>
      <xdr:blipFill>
        <a:blip r:embed="rId19"/>
        <a:stretch/>
      </xdr:blipFill>
      <xdr:spPr>
        <a:xfrm>
          <a:off x="6644880" y="13716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52560</xdr:colOff>
      <xdr:row>7</xdr:row>
      <xdr:rowOff>101880</xdr:rowOff>
    </xdr:from>
    <xdr:to>
      <xdr:col>11</xdr:col>
      <xdr:colOff>342360</xdr:colOff>
      <xdr:row>7</xdr:row>
      <xdr:rowOff>227880</xdr:rowOff>
    </xdr:to>
    <xdr:pic>
      <xdr:nvPicPr>
        <xdr:cNvPr id="981" name="Imagem 23" descr=""/>
        <xdr:cNvPicPr/>
      </xdr:nvPicPr>
      <xdr:blipFill>
        <a:blip r:embed="rId20"/>
        <a:stretch/>
      </xdr:blipFill>
      <xdr:spPr>
        <a:xfrm>
          <a:off x="6652080" y="1978200"/>
          <a:ext cx="289800" cy="1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9</xdr:row>
      <xdr:rowOff>70560</xdr:rowOff>
    </xdr:from>
    <xdr:to>
      <xdr:col>11</xdr:col>
      <xdr:colOff>354600</xdr:colOff>
      <xdr:row>9</xdr:row>
      <xdr:rowOff>263520</xdr:rowOff>
    </xdr:to>
    <xdr:pic>
      <xdr:nvPicPr>
        <xdr:cNvPr id="982" name="Imagem 24" descr=""/>
        <xdr:cNvPicPr/>
      </xdr:nvPicPr>
      <xdr:blipFill>
        <a:blip r:embed="rId21"/>
        <a:stretch/>
      </xdr:blipFill>
      <xdr:spPr>
        <a:xfrm>
          <a:off x="6678000" y="2585160"/>
          <a:ext cx="276120" cy="19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8</xdr:row>
      <xdr:rowOff>134280</xdr:rowOff>
    </xdr:from>
    <xdr:to>
      <xdr:col>11</xdr:col>
      <xdr:colOff>367560</xdr:colOff>
      <xdr:row>8</xdr:row>
      <xdr:rowOff>237600</xdr:rowOff>
    </xdr:to>
    <xdr:pic>
      <xdr:nvPicPr>
        <xdr:cNvPr id="983" name="Imagem 25" descr=""/>
        <xdr:cNvPicPr/>
      </xdr:nvPicPr>
      <xdr:blipFill>
        <a:blip r:embed="rId22"/>
        <a:stretch/>
      </xdr:blipFill>
      <xdr:spPr>
        <a:xfrm>
          <a:off x="6627960" y="2315520"/>
          <a:ext cx="339120" cy="10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10</xdr:row>
      <xdr:rowOff>125280</xdr:rowOff>
    </xdr:from>
    <xdr:to>
      <xdr:col>11</xdr:col>
      <xdr:colOff>314280</xdr:colOff>
      <xdr:row>10</xdr:row>
      <xdr:rowOff>231480</xdr:rowOff>
    </xdr:to>
    <xdr:pic>
      <xdr:nvPicPr>
        <xdr:cNvPr id="984" name="Imagem 26" descr=""/>
        <xdr:cNvPicPr/>
      </xdr:nvPicPr>
      <xdr:blipFill>
        <a:blip r:embed="rId23"/>
        <a:stretch/>
      </xdr:blipFill>
      <xdr:spPr>
        <a:xfrm>
          <a:off x="6689880" y="2963880"/>
          <a:ext cx="223920" cy="10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115200</xdr:colOff>
      <xdr:row>11</xdr:row>
      <xdr:rowOff>89280</xdr:rowOff>
    </xdr:from>
    <xdr:to>
      <xdr:col>11</xdr:col>
      <xdr:colOff>317880</xdr:colOff>
      <xdr:row>11</xdr:row>
      <xdr:rowOff>235800</xdr:rowOff>
    </xdr:to>
    <xdr:pic>
      <xdr:nvPicPr>
        <xdr:cNvPr id="985" name="Imagem 27" descr=""/>
        <xdr:cNvPicPr/>
      </xdr:nvPicPr>
      <xdr:blipFill>
        <a:blip r:embed="rId24"/>
        <a:stretch/>
      </xdr:blipFill>
      <xdr:spPr>
        <a:xfrm>
          <a:off x="6714720" y="3251520"/>
          <a:ext cx="20268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12</xdr:row>
      <xdr:rowOff>109800</xdr:rowOff>
    </xdr:from>
    <xdr:to>
      <xdr:col>11</xdr:col>
      <xdr:colOff>333000</xdr:colOff>
      <xdr:row>12</xdr:row>
      <xdr:rowOff>229320</xdr:rowOff>
    </xdr:to>
    <xdr:pic>
      <xdr:nvPicPr>
        <xdr:cNvPr id="986" name="Imagem 28" descr=""/>
        <xdr:cNvPicPr/>
      </xdr:nvPicPr>
      <xdr:blipFill>
        <a:blip r:embed="rId25"/>
        <a:stretch/>
      </xdr:blipFill>
      <xdr:spPr>
        <a:xfrm>
          <a:off x="6680520" y="3596040"/>
          <a:ext cx="25200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13</xdr:row>
      <xdr:rowOff>53640</xdr:rowOff>
    </xdr:from>
    <xdr:to>
      <xdr:col>11</xdr:col>
      <xdr:colOff>258480</xdr:colOff>
      <xdr:row>13</xdr:row>
      <xdr:rowOff>243720</xdr:rowOff>
    </xdr:to>
    <xdr:pic>
      <xdr:nvPicPr>
        <xdr:cNvPr id="987" name="Imagem 29" descr=""/>
        <xdr:cNvPicPr/>
      </xdr:nvPicPr>
      <xdr:blipFill>
        <a:blip r:embed="rId26"/>
        <a:stretch/>
      </xdr:blipFill>
      <xdr:spPr>
        <a:xfrm>
          <a:off x="6649560" y="3863520"/>
          <a:ext cx="20844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14</xdr:row>
      <xdr:rowOff>52200</xdr:rowOff>
    </xdr:from>
    <xdr:to>
      <xdr:col>11</xdr:col>
      <xdr:colOff>282960</xdr:colOff>
      <xdr:row>14</xdr:row>
      <xdr:rowOff>227880</xdr:rowOff>
    </xdr:to>
    <xdr:pic>
      <xdr:nvPicPr>
        <xdr:cNvPr id="988" name="Imagem 30" descr=""/>
        <xdr:cNvPicPr/>
      </xdr:nvPicPr>
      <xdr:blipFill>
        <a:blip r:embed="rId27"/>
        <a:stretch/>
      </xdr:blipFill>
      <xdr:spPr>
        <a:xfrm>
          <a:off x="6656760" y="4186080"/>
          <a:ext cx="2257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100080</xdr:colOff>
      <xdr:row>16</xdr:row>
      <xdr:rowOff>99720</xdr:rowOff>
    </xdr:from>
    <xdr:to>
      <xdr:col>11</xdr:col>
      <xdr:colOff>277560</xdr:colOff>
      <xdr:row>16</xdr:row>
      <xdr:rowOff>285120</xdr:rowOff>
    </xdr:to>
    <xdr:pic>
      <xdr:nvPicPr>
        <xdr:cNvPr id="989" name="Imagem 31" descr=""/>
        <xdr:cNvPicPr/>
      </xdr:nvPicPr>
      <xdr:blipFill>
        <a:blip r:embed="rId28"/>
        <a:stretch/>
      </xdr:blipFill>
      <xdr:spPr>
        <a:xfrm>
          <a:off x="6699600" y="4881240"/>
          <a:ext cx="17748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6</xdr:row>
      <xdr:rowOff>66600</xdr:rowOff>
    </xdr:from>
    <xdr:to>
      <xdr:col>11</xdr:col>
      <xdr:colOff>351720</xdr:colOff>
      <xdr:row>6</xdr:row>
      <xdr:rowOff>311400</xdr:rowOff>
    </xdr:to>
    <xdr:pic>
      <xdr:nvPicPr>
        <xdr:cNvPr id="990" name="Imagem 32" descr=""/>
        <xdr:cNvPicPr/>
      </xdr:nvPicPr>
      <xdr:blipFill>
        <a:blip r:embed="rId29"/>
        <a:stretch/>
      </xdr:blipFill>
      <xdr:spPr>
        <a:xfrm>
          <a:off x="6647040" y="16002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92160</xdr:rowOff>
    </xdr:from>
    <xdr:to>
      <xdr:col>1</xdr:col>
      <xdr:colOff>361080</xdr:colOff>
      <xdr:row>13</xdr:row>
      <xdr:rowOff>248760</xdr:rowOff>
    </xdr:to>
    <xdr:pic>
      <xdr:nvPicPr>
        <xdr:cNvPr id="991" name="Imagem 34" descr=""/>
        <xdr:cNvPicPr/>
      </xdr:nvPicPr>
      <xdr:blipFill>
        <a:blip r:embed="rId30"/>
        <a:stretch/>
      </xdr:blipFill>
      <xdr:spPr>
        <a:xfrm>
          <a:off x="830520" y="390204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219240</xdr:colOff>
      <xdr:row>5</xdr:row>
      <xdr:rowOff>47520</xdr:rowOff>
    </xdr:from>
    <xdr:to>
      <xdr:col>9</xdr:col>
      <xdr:colOff>485280</xdr:colOff>
      <xdr:row>9</xdr:row>
      <xdr:rowOff>32760</xdr:rowOff>
    </xdr:to>
    <xdr:pic>
      <xdr:nvPicPr>
        <xdr:cNvPr id="992" name="Imagem 35" descr="">
          <a:hlinkClick r:id="rId31"/>
        </xdr:cNvPr>
        <xdr:cNvPicPr/>
      </xdr:nvPicPr>
      <xdr:blipFill>
        <a:blip r:embed="rId32"/>
        <a:stretch/>
      </xdr:blipFill>
      <xdr:spPr>
        <a:xfrm>
          <a:off x="3899160" y="1295280"/>
          <a:ext cx="1796400" cy="12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4</xdr:row>
      <xdr:rowOff>63360</xdr:rowOff>
    </xdr:from>
    <xdr:to>
      <xdr:col>11</xdr:col>
      <xdr:colOff>351720</xdr:colOff>
      <xdr:row>4</xdr:row>
      <xdr:rowOff>219960</xdr:rowOff>
    </xdr:to>
    <xdr:pic>
      <xdr:nvPicPr>
        <xdr:cNvPr id="993" name="Imagem 36" descr=""/>
        <xdr:cNvPicPr/>
      </xdr:nvPicPr>
      <xdr:blipFill>
        <a:blip r:embed="rId33"/>
        <a:stretch/>
      </xdr:blipFill>
      <xdr:spPr>
        <a:xfrm>
          <a:off x="6675840" y="1063440"/>
          <a:ext cx="275400" cy="156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57" name="Imagem 2" descr=""/>
        <xdr:cNvPicPr/>
      </xdr:nvPicPr>
      <xdr:blipFill>
        <a:blip r:embed="rId1"/>
        <a:stretch/>
      </xdr:blipFill>
      <xdr:spPr>
        <a:xfrm>
          <a:off x="476280" y="27813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58" name="Imagem 3" descr=""/>
        <xdr:cNvPicPr/>
      </xdr:nvPicPr>
      <xdr:blipFill>
        <a:blip r:embed="rId2"/>
        <a:stretch/>
      </xdr:blipFill>
      <xdr:spPr>
        <a:xfrm>
          <a:off x="476280" y="30956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12</xdr:row>
      <xdr:rowOff>33120</xdr:rowOff>
    </xdr:from>
    <xdr:to>
      <xdr:col>1</xdr:col>
      <xdr:colOff>513360</xdr:colOff>
      <xdr:row>12</xdr:row>
      <xdr:rowOff>263520</xdr:rowOff>
    </xdr:to>
    <xdr:pic>
      <xdr:nvPicPr>
        <xdr:cNvPr id="59" name="Imagem 4" descr=""/>
        <xdr:cNvPicPr/>
      </xdr:nvPicPr>
      <xdr:blipFill>
        <a:blip r:embed="rId3"/>
        <a:stretch/>
      </xdr:blipFill>
      <xdr:spPr>
        <a:xfrm>
          <a:off x="782280" y="351936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52200</xdr:rowOff>
    </xdr:from>
    <xdr:to>
      <xdr:col>1</xdr:col>
      <xdr:colOff>513360</xdr:colOff>
      <xdr:row>13</xdr:row>
      <xdr:rowOff>282600</xdr:rowOff>
    </xdr:to>
    <xdr:pic>
      <xdr:nvPicPr>
        <xdr:cNvPr id="60" name="Imagem 5" descr=""/>
        <xdr:cNvPicPr/>
      </xdr:nvPicPr>
      <xdr:blipFill>
        <a:blip r:embed="rId4"/>
        <a:stretch/>
      </xdr:blipFill>
      <xdr:spPr>
        <a:xfrm>
          <a:off x="782280" y="38620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14</xdr:row>
      <xdr:rowOff>38160</xdr:rowOff>
    </xdr:from>
    <xdr:to>
      <xdr:col>1</xdr:col>
      <xdr:colOff>538200</xdr:colOff>
      <xdr:row>14</xdr:row>
      <xdr:rowOff>313920</xdr:rowOff>
    </xdr:to>
    <xdr:pic>
      <xdr:nvPicPr>
        <xdr:cNvPr id="61" name="Imagem 7" descr=""/>
        <xdr:cNvPicPr/>
      </xdr:nvPicPr>
      <xdr:blipFill>
        <a:blip r:embed="rId5"/>
        <a:stretch/>
      </xdr:blipFill>
      <xdr:spPr>
        <a:xfrm>
          <a:off x="820440" y="41720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19080</xdr:rowOff>
    </xdr:from>
    <xdr:to>
      <xdr:col>1</xdr:col>
      <xdr:colOff>312480</xdr:colOff>
      <xdr:row>15</xdr:row>
      <xdr:rowOff>256680</xdr:rowOff>
    </xdr:to>
    <xdr:pic>
      <xdr:nvPicPr>
        <xdr:cNvPr id="62" name="Imagem 8" descr=""/>
        <xdr:cNvPicPr/>
      </xdr:nvPicPr>
      <xdr:blipFill>
        <a:blip r:embed="rId6"/>
        <a:stretch/>
      </xdr:blipFill>
      <xdr:spPr>
        <a:xfrm>
          <a:off x="801360" y="447696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3</xdr:row>
      <xdr:rowOff>94680</xdr:rowOff>
    </xdr:to>
    <xdr:pic>
      <xdr:nvPicPr>
        <xdr:cNvPr id="63" name="Imagem 9" descr=""/>
        <xdr:cNvPicPr/>
      </xdr:nvPicPr>
      <xdr:blipFill>
        <a:blip r:embed="rId7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64" name="Imagem 10" descr=""/>
        <xdr:cNvPicPr/>
      </xdr:nvPicPr>
      <xdr:blipFill>
        <a:blip r:embed="rId8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65" name="Imagem 11" descr=""/>
        <xdr:cNvPicPr/>
      </xdr:nvPicPr>
      <xdr:blipFill>
        <a:blip r:embed="rId9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66" name="Imagem 12" descr=""/>
        <xdr:cNvPicPr/>
      </xdr:nvPicPr>
      <xdr:blipFill>
        <a:blip r:embed="rId10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361800</xdr:colOff>
      <xdr:row>4</xdr:row>
      <xdr:rowOff>85680</xdr:rowOff>
    </xdr:from>
    <xdr:to>
      <xdr:col>9</xdr:col>
      <xdr:colOff>275400</xdr:colOff>
      <xdr:row>8</xdr:row>
      <xdr:rowOff>272520</xdr:rowOff>
    </xdr:to>
    <xdr:pic>
      <xdr:nvPicPr>
        <xdr:cNvPr id="67" name="Imagem 13" descr="">
          <a:hlinkClick r:id="rId11"/>
        </xdr:cNvPr>
        <xdr:cNvPicPr/>
      </xdr:nvPicPr>
      <xdr:blipFill>
        <a:blip r:embed="rId12"/>
        <a:stretch/>
      </xdr:blipFill>
      <xdr:spPr>
        <a:xfrm>
          <a:off x="4717800" y="1085760"/>
          <a:ext cx="1136880" cy="1368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102240</xdr:colOff>
      <xdr:row>23</xdr:row>
      <xdr:rowOff>28440</xdr:rowOff>
    </xdr:from>
    <xdr:to>
      <xdr:col>1</xdr:col>
      <xdr:colOff>456120</xdr:colOff>
      <xdr:row>24</xdr:row>
      <xdr:rowOff>12600</xdr:rowOff>
    </xdr:to>
    <xdr:pic>
      <xdr:nvPicPr>
        <xdr:cNvPr id="994" name="Imagem 2" descr=""/>
        <xdr:cNvPicPr/>
      </xdr:nvPicPr>
      <xdr:blipFill>
        <a:blip r:embed="rId1"/>
        <a:stretch/>
      </xdr:blipFill>
      <xdr:spPr>
        <a:xfrm>
          <a:off x="847080" y="69627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24</xdr:row>
      <xdr:rowOff>38160</xdr:rowOff>
    </xdr:from>
    <xdr:to>
      <xdr:col>1</xdr:col>
      <xdr:colOff>427680</xdr:colOff>
      <xdr:row>25</xdr:row>
      <xdr:rowOff>22320</xdr:rowOff>
    </xdr:to>
    <xdr:pic>
      <xdr:nvPicPr>
        <xdr:cNvPr id="995" name="Imagem 3" descr=""/>
        <xdr:cNvPicPr/>
      </xdr:nvPicPr>
      <xdr:blipFill>
        <a:blip r:embed="rId2"/>
        <a:stretch/>
      </xdr:blipFill>
      <xdr:spPr>
        <a:xfrm>
          <a:off x="818640" y="730584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54000</xdr:rowOff>
    </xdr:from>
    <xdr:to>
      <xdr:col>1</xdr:col>
      <xdr:colOff>399600</xdr:colOff>
      <xdr:row>14</xdr:row>
      <xdr:rowOff>298800</xdr:rowOff>
    </xdr:to>
    <xdr:pic>
      <xdr:nvPicPr>
        <xdr:cNvPr id="996" name="Imagem 18" descr=""/>
        <xdr:cNvPicPr/>
      </xdr:nvPicPr>
      <xdr:blipFill>
        <a:blip r:embed="rId3"/>
        <a:stretch/>
      </xdr:blipFill>
      <xdr:spPr>
        <a:xfrm>
          <a:off x="840240" y="4187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19080</xdr:colOff>
      <xdr:row>4</xdr:row>
      <xdr:rowOff>200160</xdr:rowOff>
    </xdr:from>
    <xdr:to>
      <xdr:col>9</xdr:col>
      <xdr:colOff>342360</xdr:colOff>
      <xdr:row>9</xdr:row>
      <xdr:rowOff>75600</xdr:rowOff>
    </xdr:to>
    <xdr:pic>
      <xdr:nvPicPr>
        <xdr:cNvPr id="997" name="Imagem 24" descr="">
          <a:hlinkClick r:id="rId4"/>
        </xdr:cNvPr>
        <xdr:cNvPicPr/>
      </xdr:nvPicPr>
      <xdr:blipFill>
        <a:blip r:embed="rId5"/>
        <a:stretch/>
      </xdr:blipFill>
      <xdr:spPr>
        <a:xfrm>
          <a:off x="4101480" y="1200240"/>
          <a:ext cx="1451160" cy="13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10</xdr:row>
      <xdr:rowOff>57240</xdr:rowOff>
    </xdr:from>
    <xdr:to>
      <xdr:col>2</xdr:col>
      <xdr:colOff>27000</xdr:colOff>
      <xdr:row>10</xdr:row>
      <xdr:rowOff>237600</xdr:rowOff>
    </xdr:to>
    <xdr:pic>
      <xdr:nvPicPr>
        <xdr:cNvPr id="998" name="Imagem 25" descr=""/>
        <xdr:cNvPicPr/>
      </xdr:nvPicPr>
      <xdr:blipFill>
        <a:blip r:embed="rId6"/>
        <a:stretch/>
      </xdr:blipFill>
      <xdr:spPr>
        <a:xfrm>
          <a:off x="802080" y="2895840"/>
          <a:ext cx="58140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11</xdr:row>
      <xdr:rowOff>61560</xdr:rowOff>
    </xdr:from>
    <xdr:to>
      <xdr:col>2</xdr:col>
      <xdr:colOff>9000</xdr:colOff>
      <xdr:row>11</xdr:row>
      <xdr:rowOff>294480</xdr:rowOff>
    </xdr:to>
    <xdr:pic>
      <xdr:nvPicPr>
        <xdr:cNvPr id="999" name="Imagem 26" descr=""/>
        <xdr:cNvPicPr/>
      </xdr:nvPicPr>
      <xdr:blipFill>
        <a:blip r:embed="rId7"/>
        <a:stretch/>
      </xdr:blipFill>
      <xdr:spPr>
        <a:xfrm>
          <a:off x="837720" y="3223800"/>
          <a:ext cx="527760" cy="23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12</xdr:row>
      <xdr:rowOff>109440</xdr:rowOff>
    </xdr:from>
    <xdr:to>
      <xdr:col>2</xdr:col>
      <xdr:colOff>42120</xdr:colOff>
      <xdr:row>12</xdr:row>
      <xdr:rowOff>256320</xdr:rowOff>
    </xdr:to>
    <xdr:pic>
      <xdr:nvPicPr>
        <xdr:cNvPr id="1000" name="Imagem 27" descr=""/>
        <xdr:cNvPicPr/>
      </xdr:nvPicPr>
      <xdr:blipFill>
        <a:blip r:embed="rId8"/>
        <a:stretch/>
      </xdr:blipFill>
      <xdr:spPr>
        <a:xfrm>
          <a:off x="797040" y="3595680"/>
          <a:ext cx="601560" cy="14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59400</xdr:colOff>
      <xdr:row>13</xdr:row>
      <xdr:rowOff>102960</xdr:rowOff>
    </xdr:from>
    <xdr:to>
      <xdr:col>2</xdr:col>
      <xdr:colOff>37440</xdr:colOff>
      <xdr:row>13</xdr:row>
      <xdr:rowOff>246960</xdr:rowOff>
    </xdr:to>
    <xdr:pic>
      <xdr:nvPicPr>
        <xdr:cNvPr id="1001" name="Imagem 28" descr=""/>
        <xdr:cNvPicPr/>
      </xdr:nvPicPr>
      <xdr:blipFill>
        <a:blip r:embed="rId9"/>
        <a:stretch/>
      </xdr:blipFill>
      <xdr:spPr>
        <a:xfrm>
          <a:off x="804240" y="3912840"/>
          <a:ext cx="589680" cy="14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94680</xdr:rowOff>
    </xdr:from>
    <xdr:to>
      <xdr:col>1</xdr:col>
      <xdr:colOff>438480</xdr:colOff>
      <xdr:row>15</xdr:row>
      <xdr:rowOff>256320</xdr:rowOff>
    </xdr:to>
    <xdr:pic>
      <xdr:nvPicPr>
        <xdr:cNvPr id="1002" name="Imagem 29" descr=""/>
        <xdr:cNvPicPr/>
      </xdr:nvPicPr>
      <xdr:blipFill>
        <a:blip r:embed="rId10"/>
        <a:stretch/>
      </xdr:blipFill>
      <xdr:spPr>
        <a:xfrm>
          <a:off x="811440" y="4552560"/>
          <a:ext cx="371880" cy="16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92880</xdr:colOff>
      <xdr:row>17</xdr:row>
      <xdr:rowOff>34920</xdr:rowOff>
    </xdr:from>
    <xdr:to>
      <xdr:col>1</xdr:col>
      <xdr:colOff>447120</xdr:colOff>
      <xdr:row>17</xdr:row>
      <xdr:rowOff>282600</xdr:rowOff>
    </xdr:to>
    <xdr:pic>
      <xdr:nvPicPr>
        <xdr:cNvPr id="1003" name="Imagem 30" descr=""/>
        <xdr:cNvPicPr/>
      </xdr:nvPicPr>
      <xdr:blipFill>
        <a:blip r:embed="rId11"/>
        <a:stretch/>
      </xdr:blipFill>
      <xdr:spPr>
        <a:xfrm>
          <a:off x="837720" y="5140440"/>
          <a:ext cx="35424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16</xdr:row>
      <xdr:rowOff>114480</xdr:rowOff>
    </xdr:from>
    <xdr:to>
      <xdr:col>1</xdr:col>
      <xdr:colOff>478080</xdr:colOff>
      <xdr:row>16</xdr:row>
      <xdr:rowOff>246960</xdr:rowOff>
    </xdr:to>
    <xdr:pic>
      <xdr:nvPicPr>
        <xdr:cNvPr id="1004" name="Imagem 31" descr=""/>
        <xdr:cNvPicPr/>
      </xdr:nvPicPr>
      <xdr:blipFill>
        <a:blip r:embed="rId12"/>
        <a:stretch/>
      </xdr:blipFill>
      <xdr:spPr>
        <a:xfrm>
          <a:off x="787680" y="4896000"/>
          <a:ext cx="435240" cy="1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104760</xdr:colOff>
      <xdr:row>18</xdr:row>
      <xdr:rowOff>76320</xdr:rowOff>
    </xdr:from>
    <xdr:to>
      <xdr:col>1</xdr:col>
      <xdr:colOff>392040</xdr:colOff>
      <xdr:row>18</xdr:row>
      <xdr:rowOff>212760</xdr:rowOff>
    </xdr:to>
    <xdr:pic>
      <xdr:nvPicPr>
        <xdr:cNvPr id="1005" name="Imagem 32" descr=""/>
        <xdr:cNvPicPr/>
      </xdr:nvPicPr>
      <xdr:blipFill>
        <a:blip r:embed="rId13"/>
        <a:stretch/>
      </xdr:blipFill>
      <xdr:spPr>
        <a:xfrm>
          <a:off x="849600" y="55054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129600</xdr:colOff>
      <xdr:row>19</xdr:row>
      <xdr:rowOff>57240</xdr:rowOff>
    </xdr:from>
    <xdr:to>
      <xdr:col>1</xdr:col>
      <xdr:colOff>389880</xdr:colOff>
      <xdr:row>19</xdr:row>
      <xdr:rowOff>245520</xdr:rowOff>
    </xdr:to>
    <xdr:pic>
      <xdr:nvPicPr>
        <xdr:cNvPr id="1006" name="Imagem 33" descr=""/>
        <xdr:cNvPicPr/>
      </xdr:nvPicPr>
      <xdr:blipFill>
        <a:blip r:embed="rId14"/>
        <a:stretch/>
      </xdr:blipFill>
      <xdr:spPr>
        <a:xfrm>
          <a:off x="874440" y="577224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20</xdr:row>
      <xdr:rowOff>75960</xdr:rowOff>
    </xdr:from>
    <xdr:to>
      <xdr:col>1</xdr:col>
      <xdr:colOff>418680</xdr:colOff>
      <xdr:row>20</xdr:row>
      <xdr:rowOff>229320</xdr:rowOff>
    </xdr:to>
    <xdr:pic>
      <xdr:nvPicPr>
        <xdr:cNvPr id="1007" name="Imagem 34" descr=""/>
        <xdr:cNvPicPr/>
      </xdr:nvPicPr>
      <xdr:blipFill>
        <a:blip r:embed="rId15"/>
        <a:stretch/>
      </xdr:blipFill>
      <xdr:spPr>
        <a:xfrm>
          <a:off x="840240" y="6076800"/>
          <a:ext cx="323280" cy="15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64440</xdr:colOff>
      <xdr:row>21</xdr:row>
      <xdr:rowOff>28440</xdr:rowOff>
    </xdr:from>
    <xdr:to>
      <xdr:col>1</xdr:col>
      <xdr:colOff>331920</xdr:colOff>
      <xdr:row>21</xdr:row>
      <xdr:rowOff>272160</xdr:rowOff>
    </xdr:to>
    <xdr:pic>
      <xdr:nvPicPr>
        <xdr:cNvPr id="1008" name="Imagem 35" descr=""/>
        <xdr:cNvPicPr/>
      </xdr:nvPicPr>
      <xdr:blipFill>
        <a:blip r:embed="rId16"/>
        <a:stretch/>
      </xdr:blipFill>
      <xdr:spPr>
        <a:xfrm>
          <a:off x="809280" y="6296040"/>
          <a:ext cx="267480" cy="24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71280</xdr:colOff>
      <xdr:row>22</xdr:row>
      <xdr:rowOff>50040</xdr:rowOff>
    </xdr:from>
    <xdr:to>
      <xdr:col>1</xdr:col>
      <xdr:colOff>361080</xdr:colOff>
      <xdr:row>22</xdr:row>
      <xdr:rowOff>275400</xdr:rowOff>
    </xdr:to>
    <xdr:pic>
      <xdr:nvPicPr>
        <xdr:cNvPr id="1009" name="Imagem 36" descr=""/>
        <xdr:cNvPicPr/>
      </xdr:nvPicPr>
      <xdr:blipFill>
        <a:blip r:embed="rId17"/>
        <a:stretch/>
      </xdr:blipFill>
      <xdr:spPr>
        <a:xfrm>
          <a:off x="816120" y="6651000"/>
          <a:ext cx="289800" cy="22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25</xdr:row>
      <xdr:rowOff>37440</xdr:rowOff>
    </xdr:from>
    <xdr:to>
      <xdr:col>1</xdr:col>
      <xdr:colOff>275400</xdr:colOff>
      <xdr:row>25</xdr:row>
      <xdr:rowOff>275400</xdr:rowOff>
    </xdr:to>
    <xdr:pic>
      <xdr:nvPicPr>
        <xdr:cNvPr id="1010" name="Imagem 37" descr=""/>
        <xdr:cNvPicPr/>
      </xdr:nvPicPr>
      <xdr:blipFill>
        <a:blip r:embed="rId18"/>
        <a:stretch/>
      </xdr:blipFill>
      <xdr:spPr>
        <a:xfrm>
          <a:off x="792360" y="7638480"/>
          <a:ext cx="2278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21600</xdr:colOff>
      <xdr:row>15</xdr:row>
      <xdr:rowOff>51120</xdr:rowOff>
    </xdr:from>
    <xdr:to>
      <xdr:col>11</xdr:col>
      <xdr:colOff>297360</xdr:colOff>
      <xdr:row>15</xdr:row>
      <xdr:rowOff>298800</xdr:rowOff>
    </xdr:to>
    <xdr:pic>
      <xdr:nvPicPr>
        <xdr:cNvPr id="1011" name="Imagem 38" descr=""/>
        <xdr:cNvPicPr/>
      </xdr:nvPicPr>
      <xdr:blipFill>
        <a:blip r:embed="rId19"/>
        <a:stretch/>
      </xdr:blipFill>
      <xdr:spPr>
        <a:xfrm>
          <a:off x="6621120" y="4509000"/>
          <a:ext cx="275760" cy="2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42840</xdr:colOff>
      <xdr:row>2</xdr:row>
      <xdr:rowOff>87120</xdr:rowOff>
    </xdr:from>
    <xdr:to>
      <xdr:col>11</xdr:col>
      <xdr:colOff>404280</xdr:colOff>
      <xdr:row>2</xdr:row>
      <xdr:rowOff>199440</xdr:rowOff>
    </xdr:to>
    <xdr:pic>
      <xdr:nvPicPr>
        <xdr:cNvPr id="1012" name="Imagem 39" descr=""/>
        <xdr:cNvPicPr/>
      </xdr:nvPicPr>
      <xdr:blipFill>
        <a:blip r:embed="rId20"/>
        <a:stretch/>
      </xdr:blipFill>
      <xdr:spPr>
        <a:xfrm>
          <a:off x="6642360" y="591840"/>
          <a:ext cx="361440" cy="11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62280</xdr:colOff>
      <xdr:row>3</xdr:row>
      <xdr:rowOff>69840</xdr:rowOff>
    </xdr:from>
    <xdr:to>
      <xdr:col>11</xdr:col>
      <xdr:colOff>391320</xdr:colOff>
      <xdr:row>3</xdr:row>
      <xdr:rowOff>215640</xdr:rowOff>
    </xdr:to>
    <xdr:pic>
      <xdr:nvPicPr>
        <xdr:cNvPr id="1013" name="Imagem 40" descr=""/>
        <xdr:cNvPicPr/>
      </xdr:nvPicPr>
      <xdr:blipFill>
        <a:blip r:embed="rId21"/>
        <a:stretch/>
      </xdr:blipFill>
      <xdr:spPr>
        <a:xfrm>
          <a:off x="6661800" y="822240"/>
          <a:ext cx="329040" cy="14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4</xdr:row>
      <xdr:rowOff>96840</xdr:rowOff>
    </xdr:from>
    <xdr:to>
      <xdr:col>11</xdr:col>
      <xdr:colOff>418320</xdr:colOff>
      <xdr:row>4</xdr:row>
      <xdr:rowOff>189720</xdr:rowOff>
    </xdr:to>
    <xdr:pic>
      <xdr:nvPicPr>
        <xdr:cNvPr id="1014" name="Imagem 41" descr=""/>
        <xdr:cNvPicPr/>
      </xdr:nvPicPr>
      <xdr:blipFill>
        <a:blip r:embed="rId22"/>
        <a:stretch/>
      </xdr:blipFill>
      <xdr:spPr>
        <a:xfrm>
          <a:off x="6637680" y="1096920"/>
          <a:ext cx="380160" cy="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45360</xdr:colOff>
      <xdr:row>5</xdr:row>
      <xdr:rowOff>123840</xdr:rowOff>
    </xdr:from>
    <xdr:to>
      <xdr:col>11</xdr:col>
      <xdr:colOff>432000</xdr:colOff>
      <xdr:row>5</xdr:row>
      <xdr:rowOff>218520</xdr:rowOff>
    </xdr:to>
    <xdr:pic>
      <xdr:nvPicPr>
        <xdr:cNvPr id="1015" name="Imagem 42" descr=""/>
        <xdr:cNvPicPr/>
      </xdr:nvPicPr>
      <xdr:blipFill>
        <a:blip r:embed="rId23"/>
        <a:stretch/>
      </xdr:blipFill>
      <xdr:spPr>
        <a:xfrm>
          <a:off x="6644880" y="1371600"/>
          <a:ext cx="386640" cy="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52560</xdr:colOff>
      <xdr:row>7</xdr:row>
      <xdr:rowOff>101880</xdr:rowOff>
    </xdr:from>
    <xdr:to>
      <xdr:col>11</xdr:col>
      <xdr:colOff>342360</xdr:colOff>
      <xdr:row>7</xdr:row>
      <xdr:rowOff>227880</xdr:rowOff>
    </xdr:to>
    <xdr:pic>
      <xdr:nvPicPr>
        <xdr:cNvPr id="1016" name="Imagem 43" descr=""/>
        <xdr:cNvPicPr/>
      </xdr:nvPicPr>
      <xdr:blipFill>
        <a:blip r:embed="rId24"/>
        <a:stretch/>
      </xdr:blipFill>
      <xdr:spPr>
        <a:xfrm>
          <a:off x="6652080" y="1978200"/>
          <a:ext cx="289800" cy="1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9</xdr:row>
      <xdr:rowOff>70560</xdr:rowOff>
    </xdr:from>
    <xdr:to>
      <xdr:col>11</xdr:col>
      <xdr:colOff>354600</xdr:colOff>
      <xdr:row>9</xdr:row>
      <xdr:rowOff>263520</xdr:rowOff>
    </xdr:to>
    <xdr:pic>
      <xdr:nvPicPr>
        <xdr:cNvPr id="1017" name="Imagem 44" descr=""/>
        <xdr:cNvPicPr/>
      </xdr:nvPicPr>
      <xdr:blipFill>
        <a:blip r:embed="rId25"/>
        <a:stretch/>
      </xdr:blipFill>
      <xdr:spPr>
        <a:xfrm>
          <a:off x="6678000" y="2585160"/>
          <a:ext cx="276120" cy="19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8</xdr:row>
      <xdr:rowOff>134280</xdr:rowOff>
    </xdr:from>
    <xdr:to>
      <xdr:col>11</xdr:col>
      <xdr:colOff>367560</xdr:colOff>
      <xdr:row>8</xdr:row>
      <xdr:rowOff>237600</xdr:rowOff>
    </xdr:to>
    <xdr:pic>
      <xdr:nvPicPr>
        <xdr:cNvPr id="1018" name="Imagem 45" descr=""/>
        <xdr:cNvPicPr/>
      </xdr:nvPicPr>
      <xdr:blipFill>
        <a:blip r:embed="rId26"/>
        <a:stretch/>
      </xdr:blipFill>
      <xdr:spPr>
        <a:xfrm>
          <a:off x="6627960" y="2315520"/>
          <a:ext cx="339120" cy="10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90360</xdr:colOff>
      <xdr:row>10</xdr:row>
      <xdr:rowOff>125280</xdr:rowOff>
    </xdr:from>
    <xdr:to>
      <xdr:col>11</xdr:col>
      <xdr:colOff>314280</xdr:colOff>
      <xdr:row>10</xdr:row>
      <xdr:rowOff>231480</xdr:rowOff>
    </xdr:to>
    <xdr:pic>
      <xdr:nvPicPr>
        <xdr:cNvPr id="1019" name="Imagem 46" descr=""/>
        <xdr:cNvPicPr/>
      </xdr:nvPicPr>
      <xdr:blipFill>
        <a:blip r:embed="rId27"/>
        <a:stretch/>
      </xdr:blipFill>
      <xdr:spPr>
        <a:xfrm>
          <a:off x="6689880" y="2963880"/>
          <a:ext cx="223920" cy="10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115200</xdr:colOff>
      <xdr:row>11</xdr:row>
      <xdr:rowOff>89280</xdr:rowOff>
    </xdr:from>
    <xdr:to>
      <xdr:col>11</xdr:col>
      <xdr:colOff>317880</xdr:colOff>
      <xdr:row>11</xdr:row>
      <xdr:rowOff>235800</xdr:rowOff>
    </xdr:to>
    <xdr:pic>
      <xdr:nvPicPr>
        <xdr:cNvPr id="1020" name="Imagem 47" descr=""/>
        <xdr:cNvPicPr/>
      </xdr:nvPicPr>
      <xdr:blipFill>
        <a:blip r:embed="rId28"/>
        <a:stretch/>
      </xdr:blipFill>
      <xdr:spPr>
        <a:xfrm>
          <a:off x="6714720" y="3251520"/>
          <a:ext cx="202680" cy="1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81000</xdr:colOff>
      <xdr:row>12</xdr:row>
      <xdr:rowOff>109800</xdr:rowOff>
    </xdr:from>
    <xdr:to>
      <xdr:col>11</xdr:col>
      <xdr:colOff>333000</xdr:colOff>
      <xdr:row>12</xdr:row>
      <xdr:rowOff>229320</xdr:rowOff>
    </xdr:to>
    <xdr:pic>
      <xdr:nvPicPr>
        <xdr:cNvPr id="1021" name="Imagem 48" descr=""/>
        <xdr:cNvPicPr/>
      </xdr:nvPicPr>
      <xdr:blipFill>
        <a:blip r:embed="rId29"/>
        <a:stretch/>
      </xdr:blipFill>
      <xdr:spPr>
        <a:xfrm>
          <a:off x="6680520" y="3596040"/>
          <a:ext cx="25200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50040</xdr:colOff>
      <xdr:row>13</xdr:row>
      <xdr:rowOff>53640</xdr:rowOff>
    </xdr:from>
    <xdr:to>
      <xdr:col>11</xdr:col>
      <xdr:colOff>258480</xdr:colOff>
      <xdr:row>13</xdr:row>
      <xdr:rowOff>243720</xdr:rowOff>
    </xdr:to>
    <xdr:pic>
      <xdr:nvPicPr>
        <xdr:cNvPr id="1022" name="Imagem 49" descr=""/>
        <xdr:cNvPicPr/>
      </xdr:nvPicPr>
      <xdr:blipFill>
        <a:blip r:embed="rId30"/>
        <a:stretch/>
      </xdr:blipFill>
      <xdr:spPr>
        <a:xfrm>
          <a:off x="6649560" y="3863520"/>
          <a:ext cx="20844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14</xdr:row>
      <xdr:rowOff>52200</xdr:rowOff>
    </xdr:from>
    <xdr:to>
      <xdr:col>11</xdr:col>
      <xdr:colOff>282960</xdr:colOff>
      <xdr:row>14</xdr:row>
      <xdr:rowOff>227880</xdr:rowOff>
    </xdr:to>
    <xdr:pic>
      <xdr:nvPicPr>
        <xdr:cNvPr id="1023" name="Imagem 50" descr=""/>
        <xdr:cNvPicPr/>
      </xdr:nvPicPr>
      <xdr:blipFill>
        <a:blip r:embed="rId31"/>
        <a:stretch/>
      </xdr:blipFill>
      <xdr:spPr>
        <a:xfrm>
          <a:off x="6656760" y="4186080"/>
          <a:ext cx="225720" cy="1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100080</xdr:colOff>
      <xdr:row>16</xdr:row>
      <xdr:rowOff>99720</xdr:rowOff>
    </xdr:from>
    <xdr:to>
      <xdr:col>11</xdr:col>
      <xdr:colOff>277560</xdr:colOff>
      <xdr:row>16</xdr:row>
      <xdr:rowOff>285120</xdr:rowOff>
    </xdr:to>
    <xdr:pic>
      <xdr:nvPicPr>
        <xdr:cNvPr id="1024" name="Imagem 51" descr=""/>
        <xdr:cNvPicPr/>
      </xdr:nvPicPr>
      <xdr:blipFill>
        <a:blip r:embed="rId32"/>
        <a:stretch/>
      </xdr:blipFill>
      <xdr:spPr>
        <a:xfrm>
          <a:off x="6699600" y="4881240"/>
          <a:ext cx="17748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6</xdr:row>
      <xdr:rowOff>66600</xdr:rowOff>
    </xdr:from>
    <xdr:to>
      <xdr:col>11</xdr:col>
      <xdr:colOff>351720</xdr:colOff>
      <xdr:row>6</xdr:row>
      <xdr:rowOff>311400</xdr:rowOff>
    </xdr:to>
    <xdr:pic>
      <xdr:nvPicPr>
        <xdr:cNvPr id="1025" name="Imagem 52" descr=""/>
        <xdr:cNvPicPr/>
      </xdr:nvPicPr>
      <xdr:blipFill>
        <a:blip r:embed="rId33"/>
        <a:stretch/>
      </xdr:blipFill>
      <xdr:spPr>
        <a:xfrm>
          <a:off x="6647040" y="1600200"/>
          <a:ext cx="304200" cy="24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026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027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028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029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030" name="Imagem 7" descr=""/>
        <xdr:cNvPicPr/>
      </xdr:nvPicPr>
      <xdr:blipFill>
        <a:blip r:embed="rId5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031" name="Imagem 9" descr=""/>
        <xdr:cNvPicPr/>
      </xdr:nvPicPr>
      <xdr:blipFill>
        <a:blip r:embed="rId6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032" name="Imagem 10" descr=""/>
        <xdr:cNvPicPr/>
      </xdr:nvPicPr>
      <xdr:blipFill>
        <a:blip r:embed="rId7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033" name="Imagem 11" descr=""/>
        <xdr:cNvPicPr/>
      </xdr:nvPicPr>
      <xdr:blipFill>
        <a:blip r:embed="rId8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034" name="Imagem 12" descr=""/>
        <xdr:cNvPicPr/>
      </xdr:nvPicPr>
      <xdr:blipFill>
        <a:blip r:embed="rId9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035" name="Imagem 13" descr=""/>
        <xdr:cNvPicPr/>
      </xdr:nvPicPr>
      <xdr:blipFill>
        <a:blip r:embed="rId10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036" name="Imagem 14" descr=""/>
        <xdr:cNvPicPr/>
      </xdr:nvPicPr>
      <xdr:blipFill>
        <a:blip r:embed="rId11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037" name="Imagem 15" descr=""/>
        <xdr:cNvPicPr/>
      </xdr:nvPicPr>
      <xdr:blipFill>
        <a:blip r:embed="rId12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038" name="Imagem 16" descr=""/>
        <xdr:cNvPicPr/>
      </xdr:nvPicPr>
      <xdr:blipFill>
        <a:blip r:embed="rId13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039" name="Imagem 17" descr=""/>
        <xdr:cNvPicPr/>
      </xdr:nvPicPr>
      <xdr:blipFill>
        <a:blip r:embed="rId14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040" name="Imagem 18" descr=""/>
        <xdr:cNvPicPr/>
      </xdr:nvPicPr>
      <xdr:blipFill>
        <a:blip r:embed="rId15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041" name="Imagem 19" descr=""/>
        <xdr:cNvPicPr/>
      </xdr:nvPicPr>
      <xdr:blipFill>
        <a:blip r:embed="rId16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042" name="Imagem 20" descr=""/>
        <xdr:cNvPicPr/>
      </xdr:nvPicPr>
      <xdr:blipFill>
        <a:blip r:embed="rId17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263520</xdr:rowOff>
    </xdr:from>
    <xdr:to>
      <xdr:col>1</xdr:col>
      <xdr:colOff>361440</xdr:colOff>
      <xdr:row>22</xdr:row>
      <xdr:rowOff>22680</xdr:rowOff>
    </xdr:to>
    <xdr:pic>
      <xdr:nvPicPr>
        <xdr:cNvPr id="1043" name="Imagem 21" descr=""/>
        <xdr:cNvPicPr/>
      </xdr:nvPicPr>
      <xdr:blipFill>
        <a:blip r:embed="rId18"/>
        <a:stretch/>
      </xdr:blipFill>
      <xdr:spPr>
        <a:xfrm>
          <a:off x="802080" y="626436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12</xdr:row>
      <xdr:rowOff>44640</xdr:rowOff>
    </xdr:from>
    <xdr:to>
      <xdr:col>11</xdr:col>
      <xdr:colOff>370800</xdr:colOff>
      <xdr:row>12</xdr:row>
      <xdr:rowOff>289440</xdr:rowOff>
    </xdr:to>
    <xdr:pic>
      <xdr:nvPicPr>
        <xdr:cNvPr id="1044" name="Imagem 22" descr=""/>
        <xdr:cNvPicPr/>
      </xdr:nvPicPr>
      <xdr:blipFill>
        <a:blip r:embed="rId19"/>
        <a:stretch/>
      </xdr:blipFill>
      <xdr:spPr>
        <a:xfrm>
          <a:off x="6666120" y="3530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1440</xdr:rowOff>
    </xdr:from>
    <xdr:to>
      <xdr:col>1</xdr:col>
      <xdr:colOff>408960</xdr:colOff>
      <xdr:row>13</xdr:row>
      <xdr:rowOff>289080</xdr:rowOff>
    </xdr:to>
    <xdr:pic>
      <xdr:nvPicPr>
        <xdr:cNvPr id="1045" name="Imagem 23" descr=""/>
        <xdr:cNvPicPr/>
      </xdr:nvPicPr>
      <xdr:blipFill>
        <a:blip r:embed="rId20"/>
        <a:stretch/>
      </xdr:blipFill>
      <xdr:spPr>
        <a:xfrm>
          <a:off x="830520" y="381132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4</xdr:row>
      <xdr:rowOff>239400</xdr:rowOff>
    </xdr:from>
    <xdr:to>
      <xdr:col>11</xdr:col>
      <xdr:colOff>380520</xdr:colOff>
      <xdr:row>5</xdr:row>
      <xdr:rowOff>279360</xdr:rowOff>
    </xdr:to>
    <xdr:pic>
      <xdr:nvPicPr>
        <xdr:cNvPr id="1046" name="Imagem 24" descr=""/>
        <xdr:cNvPicPr/>
      </xdr:nvPicPr>
      <xdr:blipFill>
        <a:blip r:embed="rId21"/>
        <a:stretch/>
      </xdr:blipFill>
      <xdr:spPr>
        <a:xfrm>
          <a:off x="6656760" y="123948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181080</xdr:colOff>
      <xdr:row>4</xdr:row>
      <xdr:rowOff>171360</xdr:rowOff>
    </xdr:from>
    <xdr:to>
      <xdr:col>9</xdr:col>
      <xdr:colOff>155160</xdr:colOff>
      <xdr:row>9</xdr:row>
      <xdr:rowOff>75240</xdr:rowOff>
    </xdr:to>
    <xdr:pic>
      <xdr:nvPicPr>
        <xdr:cNvPr id="1047" name="Imagem 25" descr="">
          <a:hlinkClick r:id="rId22"/>
        </xdr:cNvPr>
        <xdr:cNvPicPr/>
      </xdr:nvPicPr>
      <xdr:blipFill>
        <a:blip r:embed="rId23"/>
        <a:stretch/>
      </xdr:blipFill>
      <xdr:spPr>
        <a:xfrm>
          <a:off x="4263480" y="1171440"/>
          <a:ext cx="1101960" cy="1418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048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16</xdr:row>
      <xdr:rowOff>295200</xdr:rowOff>
    </xdr:from>
    <xdr:to>
      <xdr:col>1</xdr:col>
      <xdr:colOff>399240</xdr:colOff>
      <xdr:row>17</xdr:row>
      <xdr:rowOff>289080</xdr:rowOff>
    </xdr:to>
    <xdr:pic>
      <xdr:nvPicPr>
        <xdr:cNvPr id="1049" name="Imagem 2" descr=""/>
        <xdr:cNvPicPr/>
      </xdr:nvPicPr>
      <xdr:blipFill>
        <a:blip r:embed="rId2"/>
        <a:stretch/>
      </xdr:blipFill>
      <xdr:spPr>
        <a:xfrm>
          <a:off x="790200" y="50767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17</xdr:row>
      <xdr:rowOff>266760</xdr:rowOff>
    </xdr:from>
    <xdr:to>
      <xdr:col>1</xdr:col>
      <xdr:colOff>370440</xdr:colOff>
      <xdr:row>18</xdr:row>
      <xdr:rowOff>260640</xdr:rowOff>
    </xdr:to>
    <xdr:pic>
      <xdr:nvPicPr>
        <xdr:cNvPr id="1050" name="Imagem 3" descr=""/>
        <xdr:cNvPicPr/>
      </xdr:nvPicPr>
      <xdr:blipFill>
        <a:blip r:embed="rId3"/>
        <a:stretch/>
      </xdr:blipFill>
      <xdr:spPr>
        <a:xfrm>
          <a:off x="761400" y="537228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051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052" name="Imagem 7" descr=""/>
        <xdr:cNvPicPr/>
      </xdr:nvPicPr>
      <xdr:blipFill>
        <a:blip r:embed="rId5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053" name="Imagem 9" descr=""/>
        <xdr:cNvPicPr/>
      </xdr:nvPicPr>
      <xdr:blipFill>
        <a:blip r:embed="rId6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054" name="Imagem 10" descr=""/>
        <xdr:cNvPicPr/>
      </xdr:nvPicPr>
      <xdr:blipFill>
        <a:blip r:embed="rId7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055" name="Imagem 11" descr=""/>
        <xdr:cNvPicPr/>
      </xdr:nvPicPr>
      <xdr:blipFill>
        <a:blip r:embed="rId8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056" name="Imagem 12" descr=""/>
        <xdr:cNvPicPr/>
      </xdr:nvPicPr>
      <xdr:blipFill>
        <a:blip r:embed="rId9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057" name="Imagem 13" descr=""/>
        <xdr:cNvPicPr/>
      </xdr:nvPicPr>
      <xdr:blipFill>
        <a:blip r:embed="rId10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058" name="Imagem 14" descr=""/>
        <xdr:cNvPicPr/>
      </xdr:nvPicPr>
      <xdr:blipFill>
        <a:blip r:embed="rId11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19</xdr:row>
      <xdr:rowOff>38160</xdr:rowOff>
    </xdr:from>
    <xdr:to>
      <xdr:col>1</xdr:col>
      <xdr:colOff>335880</xdr:colOff>
      <xdr:row>19</xdr:row>
      <xdr:rowOff>219960</xdr:rowOff>
    </xdr:to>
    <xdr:pic>
      <xdr:nvPicPr>
        <xdr:cNvPr id="1059" name="Imagem 15" descr=""/>
        <xdr:cNvPicPr/>
      </xdr:nvPicPr>
      <xdr:blipFill>
        <a:blip r:embed="rId12"/>
        <a:stretch/>
      </xdr:blipFill>
      <xdr:spPr>
        <a:xfrm>
          <a:off x="811440" y="575316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060" name="Imagem 16" descr=""/>
        <xdr:cNvPicPr/>
      </xdr:nvPicPr>
      <xdr:blipFill>
        <a:blip r:embed="rId13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061" name="Imagem 17" descr=""/>
        <xdr:cNvPicPr/>
      </xdr:nvPicPr>
      <xdr:blipFill>
        <a:blip r:embed="rId14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062" name="Imagem 18" descr=""/>
        <xdr:cNvPicPr/>
      </xdr:nvPicPr>
      <xdr:blipFill>
        <a:blip r:embed="rId15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063" name="Imagem 19" descr=""/>
        <xdr:cNvPicPr/>
      </xdr:nvPicPr>
      <xdr:blipFill>
        <a:blip r:embed="rId16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064" name="Imagem 20" descr=""/>
        <xdr:cNvPicPr/>
      </xdr:nvPicPr>
      <xdr:blipFill>
        <a:blip r:embed="rId17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9360</xdr:rowOff>
    </xdr:from>
    <xdr:to>
      <xdr:col>1</xdr:col>
      <xdr:colOff>408960</xdr:colOff>
      <xdr:row>13</xdr:row>
      <xdr:rowOff>297000</xdr:rowOff>
    </xdr:to>
    <xdr:pic>
      <xdr:nvPicPr>
        <xdr:cNvPr id="1065" name="Imagem 21" descr=""/>
        <xdr:cNvPicPr/>
      </xdr:nvPicPr>
      <xdr:blipFill>
        <a:blip r:embed="rId18"/>
        <a:stretch/>
      </xdr:blipFill>
      <xdr:spPr>
        <a:xfrm>
          <a:off x="830520" y="381924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5</xdr:row>
      <xdr:rowOff>28440</xdr:rowOff>
    </xdr:from>
    <xdr:to>
      <xdr:col>11</xdr:col>
      <xdr:colOff>380520</xdr:colOff>
      <xdr:row>6</xdr:row>
      <xdr:rowOff>30240</xdr:rowOff>
    </xdr:to>
    <xdr:pic>
      <xdr:nvPicPr>
        <xdr:cNvPr id="1066" name="Imagem 22" descr=""/>
        <xdr:cNvPicPr/>
      </xdr:nvPicPr>
      <xdr:blipFill>
        <a:blip r:embed="rId19"/>
        <a:stretch/>
      </xdr:blipFill>
      <xdr:spPr>
        <a:xfrm>
          <a:off x="6656760" y="127620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219240</xdr:colOff>
      <xdr:row>4</xdr:row>
      <xdr:rowOff>171360</xdr:rowOff>
    </xdr:from>
    <xdr:to>
      <xdr:col>9</xdr:col>
      <xdr:colOff>199440</xdr:colOff>
      <xdr:row>9</xdr:row>
      <xdr:rowOff>83880</xdr:rowOff>
    </xdr:to>
    <xdr:pic>
      <xdr:nvPicPr>
        <xdr:cNvPr id="1067" name="Imagem 23" descr="">
          <a:hlinkClick r:id="rId20"/>
        </xdr:cNvPr>
        <xdr:cNvPicPr/>
      </xdr:nvPicPr>
      <xdr:blipFill>
        <a:blip r:embed="rId21"/>
        <a:stretch/>
      </xdr:blipFill>
      <xdr:spPr>
        <a:xfrm>
          <a:off x="4301640" y="1171440"/>
          <a:ext cx="1108080" cy="142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068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069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070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071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072" name="Imagem 5" descr=""/>
        <xdr:cNvPicPr/>
      </xdr:nvPicPr>
      <xdr:blipFill>
        <a:blip r:embed="rId5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9</xdr:row>
      <xdr:rowOff>85680</xdr:rowOff>
    </xdr:from>
    <xdr:to>
      <xdr:col>11</xdr:col>
      <xdr:colOff>394560</xdr:colOff>
      <xdr:row>9</xdr:row>
      <xdr:rowOff>254160</xdr:rowOff>
    </xdr:to>
    <xdr:pic>
      <xdr:nvPicPr>
        <xdr:cNvPr id="1073" name="Imagem 6" descr=""/>
        <xdr:cNvPicPr/>
      </xdr:nvPicPr>
      <xdr:blipFill>
        <a:blip r:embed="rId6"/>
        <a:stretch/>
      </xdr:blipFill>
      <xdr:spPr>
        <a:xfrm>
          <a:off x="6527160" y="2600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074" name="Imagem 7" descr=""/>
        <xdr:cNvPicPr/>
      </xdr:nvPicPr>
      <xdr:blipFill>
        <a:blip r:embed="rId7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075" name="Imagem 8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076" name="Imagem 9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077" name="Imagem 10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078" name="Imagem 11" descr=""/>
        <xdr:cNvPicPr/>
      </xdr:nvPicPr>
      <xdr:blipFill>
        <a:blip r:embed="rId12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079" name="Imagem 12" descr=""/>
        <xdr:cNvPicPr/>
      </xdr:nvPicPr>
      <xdr:blipFill>
        <a:blip r:embed="rId13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080" name="Imagem 13" descr=""/>
        <xdr:cNvPicPr/>
      </xdr:nvPicPr>
      <xdr:blipFill>
        <a:blip r:embed="rId14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081" name="Imagem 14" descr=""/>
        <xdr:cNvPicPr/>
      </xdr:nvPicPr>
      <xdr:blipFill>
        <a:blip r:embed="rId15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082" name="Imagem 15" descr=""/>
        <xdr:cNvPicPr/>
      </xdr:nvPicPr>
      <xdr:blipFill>
        <a:blip r:embed="rId16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083" name="Imagem 16" descr=""/>
        <xdr:cNvPicPr/>
      </xdr:nvPicPr>
      <xdr:blipFill>
        <a:blip r:embed="rId17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084" name="Imagem 17" descr=""/>
        <xdr:cNvPicPr/>
      </xdr:nvPicPr>
      <xdr:blipFill>
        <a:blip r:embed="rId18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085" name="Imagem 18" descr=""/>
        <xdr:cNvPicPr/>
      </xdr:nvPicPr>
      <xdr:blipFill>
        <a:blip r:embed="rId19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086" name="Imagem 20" descr=""/>
        <xdr:cNvPicPr/>
      </xdr:nvPicPr>
      <xdr:blipFill>
        <a:blip r:embed="rId20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087" name="Imagem 21" descr=""/>
        <xdr:cNvPicPr/>
      </xdr:nvPicPr>
      <xdr:blipFill>
        <a:blip r:embed="rId21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9360</xdr:rowOff>
    </xdr:from>
    <xdr:to>
      <xdr:col>1</xdr:col>
      <xdr:colOff>408960</xdr:colOff>
      <xdr:row>13</xdr:row>
      <xdr:rowOff>297000</xdr:rowOff>
    </xdr:to>
    <xdr:pic>
      <xdr:nvPicPr>
        <xdr:cNvPr id="1088" name="Imagem 23" descr=""/>
        <xdr:cNvPicPr/>
      </xdr:nvPicPr>
      <xdr:blipFill>
        <a:blip r:embed="rId22"/>
        <a:stretch/>
      </xdr:blipFill>
      <xdr:spPr>
        <a:xfrm>
          <a:off x="830520" y="381924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5</xdr:row>
      <xdr:rowOff>28440</xdr:rowOff>
    </xdr:from>
    <xdr:to>
      <xdr:col>11</xdr:col>
      <xdr:colOff>380520</xdr:colOff>
      <xdr:row>6</xdr:row>
      <xdr:rowOff>30240</xdr:rowOff>
    </xdr:to>
    <xdr:pic>
      <xdr:nvPicPr>
        <xdr:cNvPr id="1089" name="Imagem 24" descr=""/>
        <xdr:cNvPicPr/>
      </xdr:nvPicPr>
      <xdr:blipFill>
        <a:blip r:embed="rId23"/>
        <a:stretch/>
      </xdr:blipFill>
      <xdr:spPr>
        <a:xfrm>
          <a:off x="6656760" y="1276200"/>
          <a:ext cx="323280" cy="287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090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091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092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093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094" name="Imagem 5" descr=""/>
        <xdr:cNvPicPr/>
      </xdr:nvPicPr>
      <xdr:blipFill>
        <a:blip r:embed="rId5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9</xdr:row>
      <xdr:rowOff>85680</xdr:rowOff>
    </xdr:from>
    <xdr:to>
      <xdr:col>11</xdr:col>
      <xdr:colOff>394560</xdr:colOff>
      <xdr:row>9</xdr:row>
      <xdr:rowOff>254160</xdr:rowOff>
    </xdr:to>
    <xdr:pic>
      <xdr:nvPicPr>
        <xdr:cNvPr id="1095" name="Imagem 6" descr=""/>
        <xdr:cNvPicPr/>
      </xdr:nvPicPr>
      <xdr:blipFill>
        <a:blip r:embed="rId6"/>
        <a:stretch/>
      </xdr:blipFill>
      <xdr:spPr>
        <a:xfrm>
          <a:off x="6527160" y="2600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096" name="Imagem 7" descr=""/>
        <xdr:cNvPicPr/>
      </xdr:nvPicPr>
      <xdr:blipFill>
        <a:blip r:embed="rId7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097" name="Imagem 8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098" name="Imagem 9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099" name="Imagem 10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100" name="Imagem 11" descr=""/>
        <xdr:cNvPicPr/>
      </xdr:nvPicPr>
      <xdr:blipFill>
        <a:blip r:embed="rId12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101" name="Imagem 12" descr=""/>
        <xdr:cNvPicPr/>
      </xdr:nvPicPr>
      <xdr:blipFill>
        <a:blip r:embed="rId13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102" name="Imagem 13" descr=""/>
        <xdr:cNvPicPr/>
      </xdr:nvPicPr>
      <xdr:blipFill>
        <a:blip r:embed="rId14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103" name="Imagem 14" descr=""/>
        <xdr:cNvPicPr/>
      </xdr:nvPicPr>
      <xdr:blipFill>
        <a:blip r:embed="rId15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104" name="Imagem 15" descr=""/>
        <xdr:cNvPicPr/>
      </xdr:nvPicPr>
      <xdr:blipFill>
        <a:blip r:embed="rId16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105" name="Imagem 16" descr=""/>
        <xdr:cNvPicPr/>
      </xdr:nvPicPr>
      <xdr:blipFill>
        <a:blip r:embed="rId17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106" name="Imagem 17" descr=""/>
        <xdr:cNvPicPr/>
      </xdr:nvPicPr>
      <xdr:blipFill>
        <a:blip r:embed="rId18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107" name="Imagem 18" descr=""/>
        <xdr:cNvPicPr/>
      </xdr:nvPicPr>
      <xdr:blipFill>
        <a:blip r:embed="rId19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108" name="Imagem 20" descr=""/>
        <xdr:cNvPicPr/>
      </xdr:nvPicPr>
      <xdr:blipFill>
        <a:blip r:embed="rId20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109" name="Imagem 21" descr=""/>
        <xdr:cNvPicPr/>
      </xdr:nvPicPr>
      <xdr:blipFill>
        <a:blip r:embed="rId21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263520</xdr:rowOff>
    </xdr:from>
    <xdr:to>
      <xdr:col>1</xdr:col>
      <xdr:colOff>361440</xdr:colOff>
      <xdr:row>22</xdr:row>
      <xdr:rowOff>22680</xdr:rowOff>
    </xdr:to>
    <xdr:pic>
      <xdr:nvPicPr>
        <xdr:cNvPr id="1110" name="Imagem 23" descr=""/>
        <xdr:cNvPicPr/>
      </xdr:nvPicPr>
      <xdr:blipFill>
        <a:blip r:embed="rId22"/>
        <a:stretch/>
      </xdr:blipFill>
      <xdr:spPr>
        <a:xfrm>
          <a:off x="802080" y="626436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12</xdr:row>
      <xdr:rowOff>44640</xdr:rowOff>
    </xdr:from>
    <xdr:to>
      <xdr:col>11</xdr:col>
      <xdr:colOff>370800</xdr:colOff>
      <xdr:row>12</xdr:row>
      <xdr:rowOff>289440</xdr:rowOff>
    </xdr:to>
    <xdr:pic>
      <xdr:nvPicPr>
        <xdr:cNvPr id="1111" name="Imagem 24" descr=""/>
        <xdr:cNvPicPr/>
      </xdr:nvPicPr>
      <xdr:blipFill>
        <a:blip r:embed="rId23"/>
        <a:stretch/>
      </xdr:blipFill>
      <xdr:spPr>
        <a:xfrm>
          <a:off x="6666120" y="3530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1440</xdr:rowOff>
    </xdr:from>
    <xdr:to>
      <xdr:col>1</xdr:col>
      <xdr:colOff>408960</xdr:colOff>
      <xdr:row>13</xdr:row>
      <xdr:rowOff>289080</xdr:rowOff>
    </xdr:to>
    <xdr:pic>
      <xdr:nvPicPr>
        <xdr:cNvPr id="1112" name="Imagem 25" descr=""/>
        <xdr:cNvPicPr/>
      </xdr:nvPicPr>
      <xdr:blipFill>
        <a:blip r:embed="rId24"/>
        <a:stretch/>
      </xdr:blipFill>
      <xdr:spPr>
        <a:xfrm>
          <a:off x="830520" y="3811320"/>
          <a:ext cx="323280" cy="28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57240</xdr:colOff>
      <xdr:row>4</xdr:row>
      <xdr:rowOff>239400</xdr:rowOff>
    </xdr:from>
    <xdr:to>
      <xdr:col>11</xdr:col>
      <xdr:colOff>380520</xdr:colOff>
      <xdr:row>5</xdr:row>
      <xdr:rowOff>279360</xdr:rowOff>
    </xdr:to>
    <xdr:pic>
      <xdr:nvPicPr>
        <xdr:cNvPr id="1113" name="Imagem 26" descr=""/>
        <xdr:cNvPicPr/>
      </xdr:nvPicPr>
      <xdr:blipFill>
        <a:blip r:embed="rId25"/>
        <a:stretch/>
      </xdr:blipFill>
      <xdr:spPr>
        <a:xfrm>
          <a:off x="6656760" y="1239480"/>
          <a:ext cx="323280" cy="287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114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115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116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117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118" name="Imagem 5" descr=""/>
        <xdr:cNvPicPr/>
      </xdr:nvPicPr>
      <xdr:blipFill>
        <a:blip r:embed="rId5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9</xdr:row>
      <xdr:rowOff>85680</xdr:rowOff>
    </xdr:from>
    <xdr:to>
      <xdr:col>11</xdr:col>
      <xdr:colOff>394560</xdr:colOff>
      <xdr:row>9</xdr:row>
      <xdr:rowOff>254160</xdr:rowOff>
    </xdr:to>
    <xdr:pic>
      <xdr:nvPicPr>
        <xdr:cNvPr id="1119" name="Imagem 6" descr=""/>
        <xdr:cNvPicPr/>
      </xdr:nvPicPr>
      <xdr:blipFill>
        <a:blip r:embed="rId6"/>
        <a:stretch/>
      </xdr:blipFill>
      <xdr:spPr>
        <a:xfrm>
          <a:off x="6527160" y="2600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120" name="Imagem 7" descr=""/>
        <xdr:cNvPicPr/>
      </xdr:nvPicPr>
      <xdr:blipFill>
        <a:blip r:embed="rId7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121" name="Imagem 8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122" name="Imagem 9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123" name="Imagem 10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124" name="Imagem 11" descr=""/>
        <xdr:cNvPicPr/>
      </xdr:nvPicPr>
      <xdr:blipFill>
        <a:blip r:embed="rId12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125" name="Imagem 12" descr=""/>
        <xdr:cNvPicPr/>
      </xdr:nvPicPr>
      <xdr:blipFill>
        <a:blip r:embed="rId13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126" name="Imagem 13" descr=""/>
        <xdr:cNvPicPr/>
      </xdr:nvPicPr>
      <xdr:blipFill>
        <a:blip r:embed="rId14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127" name="Imagem 14" descr=""/>
        <xdr:cNvPicPr/>
      </xdr:nvPicPr>
      <xdr:blipFill>
        <a:blip r:embed="rId15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128" name="Imagem 15" descr=""/>
        <xdr:cNvPicPr/>
      </xdr:nvPicPr>
      <xdr:blipFill>
        <a:blip r:embed="rId16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129" name="Imagem 16" descr=""/>
        <xdr:cNvPicPr/>
      </xdr:nvPicPr>
      <xdr:blipFill>
        <a:blip r:embed="rId17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130" name="Imagem 17" descr=""/>
        <xdr:cNvPicPr/>
      </xdr:nvPicPr>
      <xdr:blipFill>
        <a:blip r:embed="rId18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131" name="Imagem 18" descr=""/>
        <xdr:cNvPicPr/>
      </xdr:nvPicPr>
      <xdr:blipFill>
        <a:blip r:embed="rId19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13</xdr:row>
      <xdr:rowOff>76320</xdr:rowOff>
    </xdr:from>
    <xdr:to>
      <xdr:col>1</xdr:col>
      <xdr:colOff>448560</xdr:colOff>
      <xdr:row>13</xdr:row>
      <xdr:rowOff>238320</xdr:rowOff>
    </xdr:to>
    <xdr:pic>
      <xdr:nvPicPr>
        <xdr:cNvPr id="1132" name="Imagem 19" descr=""/>
        <xdr:cNvPicPr/>
      </xdr:nvPicPr>
      <xdr:blipFill>
        <a:blip r:embed="rId20"/>
        <a:stretch/>
      </xdr:blipFill>
      <xdr:spPr>
        <a:xfrm>
          <a:off x="797040" y="388620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133" name="Imagem 20" descr=""/>
        <xdr:cNvPicPr/>
      </xdr:nvPicPr>
      <xdr:blipFill>
        <a:blip r:embed="rId21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134" name="Imagem 21" descr=""/>
        <xdr:cNvPicPr/>
      </xdr:nvPicPr>
      <xdr:blipFill>
        <a:blip r:embed="rId22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52200</xdr:colOff>
      <xdr:row>5</xdr:row>
      <xdr:rowOff>66600</xdr:rowOff>
    </xdr:from>
    <xdr:to>
      <xdr:col>11</xdr:col>
      <xdr:colOff>448560</xdr:colOff>
      <xdr:row>5</xdr:row>
      <xdr:rowOff>228600</xdr:rowOff>
    </xdr:to>
    <xdr:pic>
      <xdr:nvPicPr>
        <xdr:cNvPr id="1135" name="Imagem 22" descr=""/>
        <xdr:cNvPicPr/>
      </xdr:nvPicPr>
      <xdr:blipFill>
        <a:blip r:embed="rId23"/>
        <a:stretch/>
      </xdr:blipFill>
      <xdr:spPr>
        <a:xfrm>
          <a:off x="6651720" y="131436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20</xdr:row>
      <xdr:rowOff>263520</xdr:rowOff>
    </xdr:from>
    <xdr:to>
      <xdr:col>1</xdr:col>
      <xdr:colOff>361440</xdr:colOff>
      <xdr:row>22</xdr:row>
      <xdr:rowOff>22680</xdr:rowOff>
    </xdr:to>
    <xdr:pic>
      <xdr:nvPicPr>
        <xdr:cNvPr id="1136" name="Imagem 23" descr=""/>
        <xdr:cNvPicPr/>
      </xdr:nvPicPr>
      <xdr:blipFill>
        <a:blip r:embed="rId24"/>
        <a:stretch/>
      </xdr:blipFill>
      <xdr:spPr>
        <a:xfrm>
          <a:off x="802080" y="6264360"/>
          <a:ext cx="304200" cy="24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12</xdr:row>
      <xdr:rowOff>44640</xdr:rowOff>
    </xdr:from>
    <xdr:to>
      <xdr:col>11</xdr:col>
      <xdr:colOff>370800</xdr:colOff>
      <xdr:row>12</xdr:row>
      <xdr:rowOff>289440</xdr:rowOff>
    </xdr:to>
    <xdr:pic>
      <xdr:nvPicPr>
        <xdr:cNvPr id="1137" name="Imagem 24" descr=""/>
        <xdr:cNvPicPr/>
      </xdr:nvPicPr>
      <xdr:blipFill>
        <a:blip r:embed="rId25"/>
        <a:stretch/>
      </xdr:blipFill>
      <xdr:spPr>
        <a:xfrm>
          <a:off x="6666120" y="3530880"/>
          <a:ext cx="304200" cy="24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138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139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140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141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142" name="Imagem 5" descr=""/>
        <xdr:cNvPicPr/>
      </xdr:nvPicPr>
      <xdr:blipFill>
        <a:blip r:embed="rId5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9</xdr:row>
      <xdr:rowOff>85680</xdr:rowOff>
    </xdr:from>
    <xdr:to>
      <xdr:col>11</xdr:col>
      <xdr:colOff>394560</xdr:colOff>
      <xdr:row>9</xdr:row>
      <xdr:rowOff>254160</xdr:rowOff>
    </xdr:to>
    <xdr:pic>
      <xdr:nvPicPr>
        <xdr:cNvPr id="1143" name="Imagem 6" descr=""/>
        <xdr:cNvPicPr/>
      </xdr:nvPicPr>
      <xdr:blipFill>
        <a:blip r:embed="rId6"/>
        <a:stretch/>
      </xdr:blipFill>
      <xdr:spPr>
        <a:xfrm>
          <a:off x="6527160" y="2600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144" name="Imagem 7" descr=""/>
        <xdr:cNvPicPr/>
      </xdr:nvPicPr>
      <xdr:blipFill>
        <a:blip r:embed="rId7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145" name="Imagem 8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146" name="Imagem 9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147" name="Imagem 10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148" name="Imagem 14" descr=""/>
        <xdr:cNvPicPr/>
      </xdr:nvPicPr>
      <xdr:blipFill>
        <a:blip r:embed="rId12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149" name="Imagem 15" descr=""/>
        <xdr:cNvPicPr/>
      </xdr:nvPicPr>
      <xdr:blipFill>
        <a:blip r:embed="rId13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150" name="Imagem 16" descr=""/>
        <xdr:cNvPicPr/>
      </xdr:nvPicPr>
      <xdr:blipFill>
        <a:blip r:embed="rId14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151" name="Imagem 20" descr=""/>
        <xdr:cNvPicPr/>
      </xdr:nvPicPr>
      <xdr:blipFill>
        <a:blip r:embed="rId15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152" name="Imagem 21" descr=""/>
        <xdr:cNvPicPr/>
      </xdr:nvPicPr>
      <xdr:blipFill>
        <a:blip r:embed="rId16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153" name="Imagem 22" descr=""/>
        <xdr:cNvPicPr/>
      </xdr:nvPicPr>
      <xdr:blipFill>
        <a:blip r:embed="rId17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14</xdr:row>
      <xdr:rowOff>38160</xdr:rowOff>
    </xdr:from>
    <xdr:to>
      <xdr:col>1</xdr:col>
      <xdr:colOff>402120</xdr:colOff>
      <xdr:row>14</xdr:row>
      <xdr:rowOff>232200</xdr:rowOff>
    </xdr:to>
    <xdr:pic>
      <xdr:nvPicPr>
        <xdr:cNvPr id="1154" name="Imagem 23" descr=""/>
        <xdr:cNvPicPr/>
      </xdr:nvPicPr>
      <xdr:blipFill>
        <a:blip r:embed="rId18"/>
        <a:stretch/>
      </xdr:blipFill>
      <xdr:spPr>
        <a:xfrm>
          <a:off x="783000" y="417204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15</xdr:row>
      <xdr:rowOff>85680</xdr:rowOff>
    </xdr:from>
    <xdr:to>
      <xdr:col>1</xdr:col>
      <xdr:colOff>406440</xdr:colOff>
      <xdr:row>15</xdr:row>
      <xdr:rowOff>250920</xdr:rowOff>
    </xdr:to>
    <xdr:pic>
      <xdr:nvPicPr>
        <xdr:cNvPr id="1155" name="Imagem 24" descr=""/>
        <xdr:cNvPicPr/>
      </xdr:nvPicPr>
      <xdr:blipFill>
        <a:blip r:embed="rId19"/>
        <a:stretch/>
      </xdr:blipFill>
      <xdr:spPr>
        <a:xfrm>
          <a:off x="818640" y="454356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13</xdr:row>
      <xdr:rowOff>76320</xdr:rowOff>
    </xdr:from>
    <xdr:to>
      <xdr:col>1</xdr:col>
      <xdr:colOff>448560</xdr:colOff>
      <xdr:row>13</xdr:row>
      <xdr:rowOff>238320</xdr:rowOff>
    </xdr:to>
    <xdr:pic>
      <xdr:nvPicPr>
        <xdr:cNvPr id="1156" name="Imagem 25" descr=""/>
        <xdr:cNvPicPr/>
      </xdr:nvPicPr>
      <xdr:blipFill>
        <a:blip r:embed="rId20"/>
        <a:stretch/>
      </xdr:blipFill>
      <xdr:spPr>
        <a:xfrm>
          <a:off x="797040" y="3886200"/>
          <a:ext cx="396360" cy="1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6</xdr:row>
      <xdr:rowOff>66600</xdr:rowOff>
    </xdr:from>
    <xdr:to>
      <xdr:col>11</xdr:col>
      <xdr:colOff>402120</xdr:colOff>
      <xdr:row>6</xdr:row>
      <xdr:rowOff>260640</xdr:rowOff>
    </xdr:to>
    <xdr:pic>
      <xdr:nvPicPr>
        <xdr:cNvPr id="1157" name="Imagem 26" descr=""/>
        <xdr:cNvPicPr/>
      </xdr:nvPicPr>
      <xdr:blipFill>
        <a:blip r:embed="rId21"/>
        <a:stretch/>
      </xdr:blipFill>
      <xdr:spPr>
        <a:xfrm>
          <a:off x="6637680" y="1600200"/>
          <a:ext cx="36396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73800</xdr:colOff>
      <xdr:row>7</xdr:row>
      <xdr:rowOff>95400</xdr:rowOff>
    </xdr:from>
    <xdr:to>
      <xdr:col>11</xdr:col>
      <xdr:colOff>406440</xdr:colOff>
      <xdr:row>7</xdr:row>
      <xdr:rowOff>260640</xdr:rowOff>
    </xdr:to>
    <xdr:pic>
      <xdr:nvPicPr>
        <xdr:cNvPr id="1158" name="Imagem 27" descr=""/>
        <xdr:cNvPicPr/>
      </xdr:nvPicPr>
      <xdr:blipFill>
        <a:blip r:embed="rId22"/>
        <a:stretch/>
      </xdr:blipFill>
      <xdr:spPr>
        <a:xfrm>
          <a:off x="6673320" y="1971720"/>
          <a:ext cx="332640" cy="16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52200</xdr:colOff>
      <xdr:row>5</xdr:row>
      <xdr:rowOff>66600</xdr:rowOff>
    </xdr:from>
    <xdr:to>
      <xdr:col>11</xdr:col>
      <xdr:colOff>448560</xdr:colOff>
      <xdr:row>5</xdr:row>
      <xdr:rowOff>228600</xdr:rowOff>
    </xdr:to>
    <xdr:pic>
      <xdr:nvPicPr>
        <xdr:cNvPr id="1159" name="Imagem 28" descr=""/>
        <xdr:cNvPicPr/>
      </xdr:nvPicPr>
      <xdr:blipFill>
        <a:blip r:embed="rId23"/>
        <a:stretch/>
      </xdr:blipFill>
      <xdr:spPr>
        <a:xfrm>
          <a:off x="6651720" y="1314360"/>
          <a:ext cx="396360" cy="16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10</xdr:row>
      <xdr:rowOff>37440</xdr:rowOff>
    </xdr:from>
    <xdr:to>
      <xdr:col>11</xdr:col>
      <xdr:colOff>296640</xdr:colOff>
      <xdr:row>10</xdr:row>
      <xdr:rowOff>285480</xdr:rowOff>
    </xdr:to>
    <xdr:pic>
      <xdr:nvPicPr>
        <xdr:cNvPr id="1160" name="Imagem 1" descr=""/>
        <xdr:cNvPicPr/>
      </xdr:nvPicPr>
      <xdr:blipFill>
        <a:blip r:embed="rId1"/>
        <a:stretch/>
      </xdr:blipFill>
      <xdr:spPr>
        <a:xfrm>
          <a:off x="661968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17</xdr:row>
      <xdr:rowOff>295200</xdr:rowOff>
    </xdr:from>
    <xdr:to>
      <xdr:col>1</xdr:col>
      <xdr:colOff>399240</xdr:colOff>
      <xdr:row>19</xdr:row>
      <xdr:rowOff>3240</xdr:rowOff>
    </xdr:to>
    <xdr:pic>
      <xdr:nvPicPr>
        <xdr:cNvPr id="1161" name="Imagem 2" descr=""/>
        <xdr:cNvPicPr/>
      </xdr:nvPicPr>
      <xdr:blipFill>
        <a:blip r:embed="rId2"/>
        <a:stretch/>
      </xdr:blipFill>
      <xdr:spPr>
        <a:xfrm>
          <a:off x="790200" y="540072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266760</xdr:rowOff>
    </xdr:from>
    <xdr:to>
      <xdr:col>1</xdr:col>
      <xdr:colOff>370440</xdr:colOff>
      <xdr:row>20</xdr:row>
      <xdr:rowOff>12960</xdr:rowOff>
    </xdr:to>
    <xdr:pic>
      <xdr:nvPicPr>
        <xdr:cNvPr id="1162" name="Imagem 3" descr=""/>
        <xdr:cNvPicPr/>
      </xdr:nvPicPr>
      <xdr:blipFill>
        <a:blip r:embed="rId3"/>
        <a:stretch/>
      </xdr:blipFill>
      <xdr:spPr>
        <a:xfrm>
          <a:off x="7614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35640</xdr:colOff>
      <xdr:row>16</xdr:row>
      <xdr:rowOff>114480</xdr:rowOff>
    </xdr:from>
    <xdr:to>
      <xdr:col>1</xdr:col>
      <xdr:colOff>421200</xdr:colOff>
      <xdr:row>16</xdr:row>
      <xdr:rowOff>200160</xdr:rowOff>
    </xdr:to>
    <xdr:pic>
      <xdr:nvPicPr>
        <xdr:cNvPr id="1163" name="Imagem 4" descr=""/>
        <xdr:cNvPicPr/>
      </xdr:nvPicPr>
      <xdr:blipFill>
        <a:blip r:embed="rId4"/>
        <a:stretch/>
      </xdr:blipFill>
      <xdr:spPr>
        <a:xfrm>
          <a:off x="780480" y="4896000"/>
          <a:ext cx="385560" cy="8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164" name="Imagem 5" descr=""/>
        <xdr:cNvPicPr/>
      </xdr:nvPicPr>
      <xdr:blipFill>
        <a:blip r:embed="rId5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9</xdr:row>
      <xdr:rowOff>85680</xdr:rowOff>
    </xdr:from>
    <xdr:to>
      <xdr:col>11</xdr:col>
      <xdr:colOff>394560</xdr:colOff>
      <xdr:row>9</xdr:row>
      <xdr:rowOff>254160</xdr:rowOff>
    </xdr:to>
    <xdr:pic>
      <xdr:nvPicPr>
        <xdr:cNvPr id="1165" name="Imagem 6" descr=""/>
        <xdr:cNvPicPr/>
      </xdr:nvPicPr>
      <xdr:blipFill>
        <a:blip r:embed="rId6"/>
        <a:stretch/>
      </xdr:blipFill>
      <xdr:spPr>
        <a:xfrm>
          <a:off x="6527160" y="2600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107640</xdr:rowOff>
    </xdr:from>
    <xdr:to>
      <xdr:col>11</xdr:col>
      <xdr:colOff>554040</xdr:colOff>
      <xdr:row>8</xdr:row>
      <xdr:rowOff>231120</xdr:rowOff>
    </xdr:to>
    <xdr:pic>
      <xdr:nvPicPr>
        <xdr:cNvPr id="1166" name="Imagem 7" descr=""/>
        <xdr:cNvPicPr/>
      </xdr:nvPicPr>
      <xdr:blipFill>
        <a:blip r:embed="rId7"/>
        <a:stretch/>
      </xdr:blipFill>
      <xdr:spPr>
        <a:xfrm>
          <a:off x="6599520" y="228888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167" name="Imagem 8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168" name="Imagem 9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169" name="Imagem 10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114840</xdr:rowOff>
    </xdr:from>
    <xdr:to>
      <xdr:col>1</xdr:col>
      <xdr:colOff>363600</xdr:colOff>
      <xdr:row>13</xdr:row>
      <xdr:rowOff>251280</xdr:rowOff>
    </xdr:to>
    <xdr:pic>
      <xdr:nvPicPr>
        <xdr:cNvPr id="1170" name="Imagem 11" descr=""/>
        <xdr:cNvPicPr/>
      </xdr:nvPicPr>
      <xdr:blipFill>
        <a:blip r:embed="rId12"/>
        <a:stretch/>
      </xdr:blipFill>
      <xdr:spPr>
        <a:xfrm>
          <a:off x="821160" y="39247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14</xdr:row>
      <xdr:rowOff>7560</xdr:rowOff>
    </xdr:from>
    <xdr:to>
      <xdr:col>1</xdr:col>
      <xdr:colOff>313560</xdr:colOff>
      <xdr:row>14</xdr:row>
      <xdr:rowOff>285120</xdr:rowOff>
    </xdr:to>
    <xdr:pic>
      <xdr:nvPicPr>
        <xdr:cNvPr id="1171" name="Imagem 13" descr=""/>
        <xdr:cNvPicPr/>
      </xdr:nvPicPr>
      <xdr:blipFill>
        <a:blip r:embed="rId13"/>
        <a:stretch/>
      </xdr:blipFill>
      <xdr:spPr>
        <a:xfrm>
          <a:off x="887760" y="414144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14</xdr:row>
      <xdr:rowOff>321480</xdr:rowOff>
    </xdr:from>
    <xdr:to>
      <xdr:col>1</xdr:col>
      <xdr:colOff>304200</xdr:colOff>
      <xdr:row>15</xdr:row>
      <xdr:rowOff>320400</xdr:rowOff>
    </xdr:to>
    <xdr:pic>
      <xdr:nvPicPr>
        <xdr:cNvPr id="1172" name="Imagem 14" descr=""/>
        <xdr:cNvPicPr/>
      </xdr:nvPicPr>
      <xdr:blipFill>
        <a:blip r:embed="rId14"/>
        <a:stretch/>
      </xdr:blipFill>
      <xdr:spPr>
        <a:xfrm>
          <a:off x="856800" y="4455360"/>
          <a:ext cx="19224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173" name="Imagem 15" descr=""/>
        <xdr:cNvPicPr/>
      </xdr:nvPicPr>
      <xdr:blipFill>
        <a:blip r:embed="rId15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174" name="Imagem 16" descr=""/>
        <xdr:cNvPicPr/>
      </xdr:nvPicPr>
      <xdr:blipFill>
        <a:blip r:embed="rId16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175" name="Imagem 17" descr=""/>
        <xdr:cNvPicPr/>
      </xdr:nvPicPr>
      <xdr:blipFill>
        <a:blip r:embed="rId17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5</xdr:row>
      <xdr:rowOff>95760</xdr:rowOff>
    </xdr:from>
    <xdr:to>
      <xdr:col>11</xdr:col>
      <xdr:colOff>306360</xdr:colOff>
      <xdr:row>5</xdr:row>
      <xdr:rowOff>232200</xdr:rowOff>
    </xdr:to>
    <xdr:pic>
      <xdr:nvPicPr>
        <xdr:cNvPr id="1176" name="Imagem 18" descr=""/>
        <xdr:cNvPicPr/>
      </xdr:nvPicPr>
      <xdr:blipFill>
        <a:blip r:embed="rId18"/>
        <a:stretch/>
      </xdr:blipFill>
      <xdr:spPr>
        <a:xfrm>
          <a:off x="6618600" y="13435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6</xdr:row>
      <xdr:rowOff>36000</xdr:rowOff>
    </xdr:from>
    <xdr:to>
      <xdr:col>11</xdr:col>
      <xdr:colOff>256320</xdr:colOff>
      <xdr:row>6</xdr:row>
      <xdr:rowOff>313560</xdr:rowOff>
    </xdr:to>
    <xdr:pic>
      <xdr:nvPicPr>
        <xdr:cNvPr id="1177" name="Imagem 20" descr=""/>
        <xdr:cNvPicPr/>
      </xdr:nvPicPr>
      <xdr:blipFill>
        <a:blip r:embed="rId19"/>
        <a:stretch/>
      </xdr:blipFill>
      <xdr:spPr>
        <a:xfrm>
          <a:off x="6685200" y="156960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6</xdr:row>
      <xdr:rowOff>340560</xdr:rowOff>
    </xdr:from>
    <xdr:to>
      <xdr:col>11</xdr:col>
      <xdr:colOff>246960</xdr:colOff>
      <xdr:row>8</xdr:row>
      <xdr:rowOff>15840</xdr:rowOff>
    </xdr:to>
    <xdr:pic>
      <xdr:nvPicPr>
        <xdr:cNvPr id="1178" name="Imagem 21" descr=""/>
        <xdr:cNvPicPr/>
      </xdr:nvPicPr>
      <xdr:blipFill>
        <a:blip r:embed="rId20"/>
        <a:stretch/>
      </xdr:blipFill>
      <xdr:spPr>
        <a:xfrm>
          <a:off x="6654240" y="1874160"/>
          <a:ext cx="19224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179" name="Imagem 22" descr=""/>
        <xdr:cNvPicPr/>
      </xdr:nvPicPr>
      <xdr:blipFill>
        <a:blip r:embed="rId21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20</xdr:row>
      <xdr:rowOff>38160</xdr:rowOff>
    </xdr:from>
    <xdr:to>
      <xdr:col>1</xdr:col>
      <xdr:colOff>335880</xdr:colOff>
      <xdr:row>20</xdr:row>
      <xdr:rowOff>219960</xdr:rowOff>
    </xdr:to>
    <xdr:pic>
      <xdr:nvPicPr>
        <xdr:cNvPr id="1180" name="Imagem 23" descr=""/>
        <xdr:cNvPicPr/>
      </xdr:nvPicPr>
      <xdr:blipFill>
        <a:blip r:embed="rId22"/>
        <a:stretch/>
      </xdr:blipFill>
      <xdr:spPr>
        <a:xfrm>
          <a:off x="811440" y="60390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11</xdr:row>
      <xdr:rowOff>66600</xdr:rowOff>
    </xdr:from>
    <xdr:to>
      <xdr:col>11</xdr:col>
      <xdr:colOff>316800</xdr:colOff>
      <xdr:row>11</xdr:row>
      <xdr:rowOff>248400</xdr:rowOff>
    </xdr:to>
    <xdr:pic>
      <xdr:nvPicPr>
        <xdr:cNvPr id="1181" name="Imagem 24" descr=""/>
        <xdr:cNvPicPr/>
      </xdr:nvPicPr>
      <xdr:blipFill>
        <a:blip r:embed="rId23"/>
        <a:stretch/>
      </xdr:blipFill>
      <xdr:spPr>
        <a:xfrm>
          <a:off x="6647040" y="3228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11</xdr:row>
      <xdr:rowOff>37440</xdr:rowOff>
    </xdr:from>
    <xdr:to>
      <xdr:col>11</xdr:col>
      <xdr:colOff>296640</xdr:colOff>
      <xdr:row>11</xdr:row>
      <xdr:rowOff>285480</xdr:rowOff>
    </xdr:to>
    <xdr:pic>
      <xdr:nvPicPr>
        <xdr:cNvPr id="1182" name="Imagem 1" descr=""/>
        <xdr:cNvPicPr/>
      </xdr:nvPicPr>
      <xdr:blipFill>
        <a:blip r:embed="rId1"/>
        <a:stretch/>
      </xdr:blipFill>
      <xdr:spPr>
        <a:xfrm>
          <a:off x="6619680" y="319968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45360</xdr:colOff>
      <xdr:row>18</xdr:row>
      <xdr:rowOff>266760</xdr:rowOff>
    </xdr:from>
    <xdr:to>
      <xdr:col>1</xdr:col>
      <xdr:colOff>399240</xdr:colOff>
      <xdr:row>20</xdr:row>
      <xdr:rowOff>12960</xdr:rowOff>
    </xdr:to>
    <xdr:pic>
      <xdr:nvPicPr>
        <xdr:cNvPr id="1183" name="Imagem 3" descr=""/>
        <xdr:cNvPicPr/>
      </xdr:nvPicPr>
      <xdr:blipFill>
        <a:blip r:embed="rId2"/>
        <a:stretch/>
      </xdr:blipFill>
      <xdr:spPr>
        <a:xfrm>
          <a:off x="790200" y="569592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19</xdr:row>
      <xdr:rowOff>228600</xdr:rowOff>
    </xdr:from>
    <xdr:to>
      <xdr:col>1</xdr:col>
      <xdr:colOff>370440</xdr:colOff>
      <xdr:row>20</xdr:row>
      <xdr:rowOff>260640</xdr:rowOff>
    </xdr:to>
    <xdr:pic>
      <xdr:nvPicPr>
        <xdr:cNvPr id="1184" name="Imagem 7" descr=""/>
        <xdr:cNvPicPr/>
      </xdr:nvPicPr>
      <xdr:blipFill>
        <a:blip r:embed="rId3"/>
        <a:stretch/>
      </xdr:blipFill>
      <xdr:spPr>
        <a:xfrm>
          <a:off x="761400" y="5943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17</xdr:row>
      <xdr:rowOff>114480</xdr:rowOff>
    </xdr:from>
    <xdr:to>
      <xdr:col>1</xdr:col>
      <xdr:colOff>580320</xdr:colOff>
      <xdr:row>17</xdr:row>
      <xdr:rowOff>237960</xdr:rowOff>
    </xdr:to>
    <xdr:pic>
      <xdr:nvPicPr>
        <xdr:cNvPr id="1185" name="Imagem 15" descr=""/>
        <xdr:cNvPicPr/>
      </xdr:nvPicPr>
      <xdr:blipFill>
        <a:blip r:embed="rId4"/>
        <a:stretch/>
      </xdr:blipFill>
      <xdr:spPr>
        <a:xfrm>
          <a:off x="771120" y="522000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18</xdr:row>
      <xdr:rowOff>64440</xdr:rowOff>
    </xdr:from>
    <xdr:to>
      <xdr:col>1</xdr:col>
      <xdr:colOff>494640</xdr:colOff>
      <xdr:row>18</xdr:row>
      <xdr:rowOff>232920</xdr:rowOff>
    </xdr:to>
    <xdr:pic>
      <xdr:nvPicPr>
        <xdr:cNvPr id="1186" name="Imagem 16" descr=""/>
        <xdr:cNvPicPr/>
      </xdr:nvPicPr>
      <xdr:blipFill>
        <a:blip r:embed="rId5"/>
        <a:stretch/>
      </xdr:blipFill>
      <xdr:spPr>
        <a:xfrm>
          <a:off x="806760" y="549360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561960</xdr:colOff>
      <xdr:row>10</xdr:row>
      <xdr:rowOff>85680</xdr:rowOff>
    </xdr:from>
    <xdr:to>
      <xdr:col>11</xdr:col>
      <xdr:colOff>394560</xdr:colOff>
      <xdr:row>10</xdr:row>
      <xdr:rowOff>254160</xdr:rowOff>
    </xdr:to>
    <xdr:pic>
      <xdr:nvPicPr>
        <xdr:cNvPr id="1187" name="Imagem 17" descr=""/>
        <xdr:cNvPicPr/>
      </xdr:nvPicPr>
      <xdr:blipFill>
        <a:blip r:embed="rId6"/>
        <a:stretch/>
      </xdr:blipFill>
      <xdr:spPr>
        <a:xfrm>
          <a:off x="6527160" y="2924280"/>
          <a:ext cx="4669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514440</xdr:colOff>
      <xdr:row>9</xdr:row>
      <xdr:rowOff>136080</xdr:rowOff>
    </xdr:from>
    <xdr:to>
      <xdr:col>11</xdr:col>
      <xdr:colOff>468360</xdr:colOff>
      <xdr:row>9</xdr:row>
      <xdr:rowOff>259560</xdr:rowOff>
    </xdr:to>
    <xdr:pic>
      <xdr:nvPicPr>
        <xdr:cNvPr id="1188" name="Imagem 19" descr=""/>
        <xdr:cNvPicPr/>
      </xdr:nvPicPr>
      <xdr:blipFill>
        <a:blip r:embed="rId7"/>
        <a:stretch/>
      </xdr:blipFill>
      <xdr:spPr>
        <a:xfrm>
          <a:off x="6479640" y="2650680"/>
          <a:ext cx="5882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190440</xdr:colOff>
      <xdr:row>4</xdr:row>
      <xdr:rowOff>162000</xdr:rowOff>
    </xdr:from>
    <xdr:to>
      <xdr:col>9</xdr:col>
      <xdr:colOff>166680</xdr:colOff>
      <xdr:row>9</xdr:row>
      <xdr:rowOff>84960</xdr:rowOff>
    </xdr:to>
    <xdr:pic>
      <xdr:nvPicPr>
        <xdr:cNvPr id="1189" name="Imagem 20" descr="">
          <a:hlinkClick r:id="rId8"/>
        </xdr:cNvPr>
        <xdr:cNvPicPr/>
      </xdr:nvPicPr>
      <xdr:blipFill>
        <a:blip r:embed="rId9"/>
        <a:stretch/>
      </xdr:blipFill>
      <xdr:spPr>
        <a:xfrm>
          <a:off x="4272840" y="1162080"/>
          <a:ext cx="1104120" cy="14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10</xdr:row>
      <xdr:rowOff>133200</xdr:rowOff>
    </xdr:from>
    <xdr:to>
      <xdr:col>1</xdr:col>
      <xdr:colOff>380160</xdr:colOff>
      <xdr:row>10</xdr:row>
      <xdr:rowOff>278280</xdr:rowOff>
    </xdr:to>
    <xdr:pic>
      <xdr:nvPicPr>
        <xdr:cNvPr id="1190" name="Imagem 21" descr=""/>
        <xdr:cNvPicPr/>
      </xdr:nvPicPr>
      <xdr:blipFill>
        <a:blip r:embed="rId10"/>
        <a:stretch/>
      </xdr:blipFill>
      <xdr:spPr>
        <a:xfrm>
          <a:off x="811440" y="29718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12</xdr:row>
      <xdr:rowOff>105480</xdr:rowOff>
    </xdr:from>
    <xdr:to>
      <xdr:col>1</xdr:col>
      <xdr:colOff>396000</xdr:colOff>
      <xdr:row>12</xdr:row>
      <xdr:rowOff>228960</xdr:rowOff>
    </xdr:to>
    <xdr:pic>
      <xdr:nvPicPr>
        <xdr:cNvPr id="1191" name="Imagem 22" descr=""/>
        <xdr:cNvPicPr/>
      </xdr:nvPicPr>
      <xdr:blipFill>
        <a:blip r:embed="rId11"/>
        <a:stretch/>
      </xdr:blipFill>
      <xdr:spPr>
        <a:xfrm>
          <a:off x="802080" y="35917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76320</xdr:colOff>
      <xdr:row>13</xdr:row>
      <xdr:rowOff>114840</xdr:rowOff>
    </xdr:from>
    <xdr:to>
      <xdr:col>1</xdr:col>
      <xdr:colOff>363600</xdr:colOff>
      <xdr:row>13</xdr:row>
      <xdr:rowOff>251280</xdr:rowOff>
    </xdr:to>
    <xdr:pic>
      <xdr:nvPicPr>
        <xdr:cNvPr id="1192" name="Imagem 23" descr=""/>
        <xdr:cNvPicPr/>
      </xdr:nvPicPr>
      <xdr:blipFill>
        <a:blip r:embed="rId12"/>
        <a:stretch/>
      </xdr:blipFill>
      <xdr:spPr>
        <a:xfrm>
          <a:off x="821160" y="39247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16</xdr:row>
      <xdr:rowOff>70920</xdr:rowOff>
    </xdr:from>
    <xdr:to>
      <xdr:col>1</xdr:col>
      <xdr:colOff>437760</xdr:colOff>
      <xdr:row>17</xdr:row>
      <xdr:rowOff>22680</xdr:rowOff>
    </xdr:to>
    <xdr:pic>
      <xdr:nvPicPr>
        <xdr:cNvPr id="1193" name="Imagem 24" descr=""/>
        <xdr:cNvPicPr/>
      </xdr:nvPicPr>
      <xdr:blipFill>
        <a:blip r:embed="rId13"/>
        <a:stretch/>
      </xdr:blipFill>
      <xdr:spPr>
        <a:xfrm>
          <a:off x="840240" y="4852440"/>
          <a:ext cx="34236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14</xdr:row>
      <xdr:rowOff>7560</xdr:rowOff>
    </xdr:from>
    <xdr:to>
      <xdr:col>1</xdr:col>
      <xdr:colOff>313560</xdr:colOff>
      <xdr:row>14</xdr:row>
      <xdr:rowOff>285120</xdr:rowOff>
    </xdr:to>
    <xdr:pic>
      <xdr:nvPicPr>
        <xdr:cNvPr id="1194" name="Imagem 25" descr=""/>
        <xdr:cNvPicPr/>
      </xdr:nvPicPr>
      <xdr:blipFill>
        <a:blip r:embed="rId14"/>
        <a:stretch/>
      </xdr:blipFill>
      <xdr:spPr>
        <a:xfrm>
          <a:off x="887760" y="414144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14</xdr:row>
      <xdr:rowOff>321480</xdr:rowOff>
    </xdr:from>
    <xdr:to>
      <xdr:col>1</xdr:col>
      <xdr:colOff>304200</xdr:colOff>
      <xdr:row>15</xdr:row>
      <xdr:rowOff>320400</xdr:rowOff>
    </xdr:to>
    <xdr:pic>
      <xdr:nvPicPr>
        <xdr:cNvPr id="1195" name="Imagem 26" descr=""/>
        <xdr:cNvPicPr/>
      </xdr:nvPicPr>
      <xdr:blipFill>
        <a:blip r:embed="rId15"/>
        <a:stretch/>
      </xdr:blipFill>
      <xdr:spPr>
        <a:xfrm>
          <a:off x="856800" y="4455360"/>
          <a:ext cx="19224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52200</xdr:colOff>
      <xdr:row>11</xdr:row>
      <xdr:rowOff>54000</xdr:rowOff>
    </xdr:from>
    <xdr:to>
      <xdr:col>1</xdr:col>
      <xdr:colOff>399240</xdr:colOff>
      <xdr:row>11</xdr:row>
      <xdr:rowOff>242280</xdr:rowOff>
    </xdr:to>
    <xdr:pic>
      <xdr:nvPicPr>
        <xdr:cNvPr id="1196" name="Imagem 27" descr=""/>
        <xdr:cNvPicPr/>
      </xdr:nvPicPr>
      <xdr:blipFill>
        <a:blip r:embed="rId16"/>
        <a:stretch/>
      </xdr:blipFill>
      <xdr:spPr>
        <a:xfrm>
          <a:off x="797040" y="3216240"/>
          <a:ext cx="3470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9360</xdr:colOff>
      <xdr:row>2</xdr:row>
      <xdr:rowOff>57240</xdr:rowOff>
    </xdr:from>
    <xdr:to>
      <xdr:col>11</xdr:col>
      <xdr:colOff>322920</xdr:colOff>
      <xdr:row>2</xdr:row>
      <xdr:rowOff>202320</xdr:rowOff>
    </xdr:to>
    <xdr:pic>
      <xdr:nvPicPr>
        <xdr:cNvPr id="1197" name="Imagem 32" descr=""/>
        <xdr:cNvPicPr/>
      </xdr:nvPicPr>
      <xdr:blipFill>
        <a:blip r:embed="rId17"/>
        <a:stretch/>
      </xdr:blipFill>
      <xdr:spPr>
        <a:xfrm>
          <a:off x="6608880" y="56196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4</xdr:row>
      <xdr:rowOff>105480</xdr:rowOff>
    </xdr:from>
    <xdr:to>
      <xdr:col>11</xdr:col>
      <xdr:colOff>338760</xdr:colOff>
      <xdr:row>4</xdr:row>
      <xdr:rowOff>228960</xdr:rowOff>
    </xdr:to>
    <xdr:pic>
      <xdr:nvPicPr>
        <xdr:cNvPr id="1198" name="Imagem 33" descr=""/>
        <xdr:cNvPicPr/>
      </xdr:nvPicPr>
      <xdr:blipFill>
        <a:blip r:embed="rId18"/>
        <a:stretch/>
      </xdr:blipFill>
      <xdr:spPr>
        <a:xfrm>
          <a:off x="6599520" y="110556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19080</xdr:colOff>
      <xdr:row>5</xdr:row>
      <xdr:rowOff>95760</xdr:rowOff>
    </xdr:from>
    <xdr:to>
      <xdr:col>11</xdr:col>
      <xdr:colOff>306360</xdr:colOff>
      <xdr:row>5</xdr:row>
      <xdr:rowOff>232200</xdr:rowOff>
    </xdr:to>
    <xdr:pic>
      <xdr:nvPicPr>
        <xdr:cNvPr id="1199" name="Imagem 34" descr=""/>
        <xdr:cNvPicPr/>
      </xdr:nvPicPr>
      <xdr:blipFill>
        <a:blip r:embed="rId19"/>
        <a:stretch/>
      </xdr:blipFill>
      <xdr:spPr>
        <a:xfrm>
          <a:off x="6618600" y="134352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8</xdr:row>
      <xdr:rowOff>51840</xdr:rowOff>
    </xdr:from>
    <xdr:to>
      <xdr:col>11</xdr:col>
      <xdr:colOff>380520</xdr:colOff>
      <xdr:row>8</xdr:row>
      <xdr:rowOff>327600</xdr:rowOff>
    </xdr:to>
    <xdr:pic>
      <xdr:nvPicPr>
        <xdr:cNvPr id="1200" name="Imagem 35" descr=""/>
        <xdr:cNvPicPr/>
      </xdr:nvPicPr>
      <xdr:blipFill>
        <a:blip r:embed="rId20"/>
        <a:stretch/>
      </xdr:blipFill>
      <xdr:spPr>
        <a:xfrm>
          <a:off x="6637680" y="2233080"/>
          <a:ext cx="34236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6</xdr:row>
      <xdr:rowOff>36000</xdr:rowOff>
    </xdr:from>
    <xdr:to>
      <xdr:col>11</xdr:col>
      <xdr:colOff>256320</xdr:colOff>
      <xdr:row>6</xdr:row>
      <xdr:rowOff>313560</xdr:rowOff>
    </xdr:to>
    <xdr:pic>
      <xdr:nvPicPr>
        <xdr:cNvPr id="1201" name="Imagem 36" descr=""/>
        <xdr:cNvPicPr/>
      </xdr:nvPicPr>
      <xdr:blipFill>
        <a:blip r:embed="rId21"/>
        <a:stretch/>
      </xdr:blipFill>
      <xdr:spPr>
        <a:xfrm>
          <a:off x="6685200" y="1569600"/>
          <a:ext cx="17064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54720</xdr:colOff>
      <xdr:row>6</xdr:row>
      <xdr:rowOff>340560</xdr:rowOff>
    </xdr:from>
    <xdr:to>
      <xdr:col>11</xdr:col>
      <xdr:colOff>246960</xdr:colOff>
      <xdr:row>8</xdr:row>
      <xdr:rowOff>15840</xdr:rowOff>
    </xdr:to>
    <xdr:pic>
      <xdr:nvPicPr>
        <xdr:cNvPr id="1202" name="Imagem 37" descr=""/>
        <xdr:cNvPicPr/>
      </xdr:nvPicPr>
      <xdr:blipFill>
        <a:blip r:embed="rId22"/>
        <a:stretch/>
      </xdr:blipFill>
      <xdr:spPr>
        <a:xfrm>
          <a:off x="6654240" y="1874160"/>
          <a:ext cx="19224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595440</xdr:colOff>
      <xdr:row>3</xdr:row>
      <xdr:rowOff>15840</xdr:rowOff>
    </xdr:from>
    <xdr:to>
      <xdr:col>11</xdr:col>
      <xdr:colOff>342360</xdr:colOff>
      <xdr:row>3</xdr:row>
      <xdr:rowOff>204120</xdr:rowOff>
    </xdr:to>
    <xdr:pic>
      <xdr:nvPicPr>
        <xdr:cNvPr id="1203" name="Imagem 38" descr=""/>
        <xdr:cNvPicPr/>
      </xdr:nvPicPr>
      <xdr:blipFill>
        <a:blip r:embed="rId23"/>
        <a:stretch/>
      </xdr:blipFill>
      <xdr:spPr>
        <a:xfrm>
          <a:off x="6560640" y="768240"/>
          <a:ext cx="381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21</xdr:row>
      <xdr:rowOff>0</xdr:rowOff>
    </xdr:from>
    <xdr:to>
      <xdr:col>1</xdr:col>
      <xdr:colOff>335880</xdr:colOff>
      <xdr:row>21</xdr:row>
      <xdr:rowOff>181800</xdr:rowOff>
    </xdr:to>
    <xdr:pic>
      <xdr:nvPicPr>
        <xdr:cNvPr id="1204" name="Imagem 39" descr=""/>
        <xdr:cNvPicPr/>
      </xdr:nvPicPr>
      <xdr:blipFill>
        <a:blip r:embed="rId24"/>
        <a:stretch/>
      </xdr:blipFill>
      <xdr:spPr>
        <a:xfrm>
          <a:off x="811440" y="6267600"/>
          <a:ext cx="26928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12</xdr:row>
      <xdr:rowOff>66600</xdr:rowOff>
    </xdr:from>
    <xdr:to>
      <xdr:col>11</xdr:col>
      <xdr:colOff>316800</xdr:colOff>
      <xdr:row>12</xdr:row>
      <xdr:rowOff>248400</xdr:rowOff>
    </xdr:to>
    <xdr:pic>
      <xdr:nvPicPr>
        <xdr:cNvPr id="1205" name="Imagem 40" descr=""/>
        <xdr:cNvPicPr/>
      </xdr:nvPicPr>
      <xdr:blipFill>
        <a:blip r:embed="rId25"/>
        <a:stretch/>
      </xdr:blipFill>
      <xdr:spPr>
        <a:xfrm>
          <a:off x="6647040" y="3552840"/>
          <a:ext cx="269280" cy="18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06" name="Imagem 1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18</xdr:row>
      <xdr:rowOff>38160</xdr:rowOff>
    </xdr:from>
    <xdr:to>
      <xdr:col>1</xdr:col>
      <xdr:colOff>389880</xdr:colOff>
      <xdr:row>18</xdr:row>
      <xdr:rowOff>260640</xdr:rowOff>
    </xdr:to>
    <xdr:pic>
      <xdr:nvPicPr>
        <xdr:cNvPr id="1207" name="Imagem 2" descr=""/>
        <xdr:cNvPicPr/>
      </xdr:nvPicPr>
      <xdr:blipFill>
        <a:blip r:embed="rId2"/>
        <a:stretch/>
      </xdr:blipFill>
      <xdr:spPr>
        <a:xfrm>
          <a:off x="802080" y="546732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08" name="Imagem 3" descr=""/>
        <xdr:cNvPicPr/>
      </xdr:nvPicPr>
      <xdr:blipFill>
        <a:blip r:embed="rId3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09" name="Imagem 4" descr=""/>
        <xdr:cNvPicPr/>
      </xdr:nvPicPr>
      <xdr:blipFill>
        <a:blip r:embed="rId4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10" name="Imagem 5" descr=""/>
        <xdr:cNvPicPr/>
      </xdr:nvPicPr>
      <xdr:blipFill>
        <a:blip r:embed="rId5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11" name="Imagem 6" descr=""/>
        <xdr:cNvPicPr/>
      </xdr:nvPicPr>
      <xdr:blipFill>
        <a:blip r:embed="rId6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12" name="Imagem 7" descr=""/>
        <xdr:cNvPicPr/>
      </xdr:nvPicPr>
      <xdr:blipFill>
        <a:blip r:embed="rId7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13" name="Imagem 9" descr=""/>
        <xdr:cNvPicPr/>
      </xdr:nvPicPr>
      <xdr:blipFill>
        <a:blip r:embed="rId8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14" name="Imagem 10" descr=""/>
        <xdr:cNvPicPr/>
      </xdr:nvPicPr>
      <xdr:blipFill>
        <a:blip r:embed="rId9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215" name="Imagem 11" descr=""/>
        <xdr:cNvPicPr/>
      </xdr:nvPicPr>
      <xdr:blipFill>
        <a:blip r:embed="rId10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64080</xdr:rowOff>
    </xdr:from>
    <xdr:to>
      <xdr:col>1</xdr:col>
      <xdr:colOff>542160</xdr:colOff>
      <xdr:row>13</xdr:row>
      <xdr:rowOff>262800</xdr:rowOff>
    </xdr:to>
    <xdr:pic>
      <xdr:nvPicPr>
        <xdr:cNvPr id="1216" name="Imagem 14" descr=""/>
        <xdr:cNvPicPr/>
      </xdr:nvPicPr>
      <xdr:blipFill>
        <a:blip r:embed="rId11"/>
        <a:stretch/>
      </xdr:blipFill>
      <xdr:spPr>
        <a:xfrm>
          <a:off x="830520" y="3873960"/>
          <a:ext cx="4564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14</xdr:row>
      <xdr:rowOff>104760</xdr:rowOff>
    </xdr:from>
    <xdr:to>
      <xdr:col>1</xdr:col>
      <xdr:colOff>539280</xdr:colOff>
      <xdr:row>14</xdr:row>
      <xdr:rowOff>219240</xdr:rowOff>
    </xdr:to>
    <xdr:pic>
      <xdr:nvPicPr>
        <xdr:cNvPr id="1217" name="Imagem 15" descr=""/>
        <xdr:cNvPicPr/>
      </xdr:nvPicPr>
      <xdr:blipFill>
        <a:blip r:embed="rId12"/>
        <a:stretch/>
      </xdr:blipFill>
      <xdr:spPr>
        <a:xfrm>
          <a:off x="771120" y="4238640"/>
          <a:ext cx="513000" cy="11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17</xdr:row>
      <xdr:rowOff>64440</xdr:rowOff>
    </xdr:from>
    <xdr:to>
      <xdr:col>1</xdr:col>
      <xdr:colOff>494640</xdr:colOff>
      <xdr:row>17</xdr:row>
      <xdr:rowOff>232920</xdr:rowOff>
    </xdr:to>
    <xdr:pic>
      <xdr:nvPicPr>
        <xdr:cNvPr id="1218" name="Imagem 16" descr=""/>
        <xdr:cNvPicPr/>
      </xdr:nvPicPr>
      <xdr:blipFill>
        <a:blip r:embed="rId13"/>
        <a:stretch/>
      </xdr:blipFill>
      <xdr:spPr>
        <a:xfrm>
          <a:off x="806760" y="516996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6</xdr:row>
      <xdr:rowOff>85680</xdr:rowOff>
    </xdr:from>
    <xdr:to>
      <xdr:col>11</xdr:col>
      <xdr:colOff>537480</xdr:colOff>
      <xdr:row>6</xdr:row>
      <xdr:rowOff>254160</xdr:rowOff>
    </xdr:to>
    <xdr:pic>
      <xdr:nvPicPr>
        <xdr:cNvPr id="1219" name="Imagem 17" descr=""/>
        <xdr:cNvPicPr/>
      </xdr:nvPicPr>
      <xdr:blipFill>
        <a:blip r:embed="rId14"/>
        <a:stretch/>
      </xdr:blipFill>
      <xdr:spPr>
        <a:xfrm>
          <a:off x="6704280" y="161928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7</xdr:row>
      <xdr:rowOff>95400</xdr:rowOff>
    </xdr:from>
    <xdr:to>
      <xdr:col>11</xdr:col>
      <xdr:colOff>534960</xdr:colOff>
      <xdr:row>7</xdr:row>
      <xdr:rowOff>294120</xdr:rowOff>
    </xdr:to>
    <xdr:pic>
      <xdr:nvPicPr>
        <xdr:cNvPr id="1220" name="Imagem 18" descr=""/>
        <xdr:cNvPicPr/>
      </xdr:nvPicPr>
      <xdr:blipFill>
        <a:blip r:embed="rId15"/>
        <a:stretch/>
      </xdr:blipFill>
      <xdr:spPr>
        <a:xfrm>
          <a:off x="6678000" y="1971720"/>
          <a:ext cx="4564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8</xdr:row>
      <xdr:rowOff>155160</xdr:rowOff>
    </xdr:from>
    <xdr:to>
      <xdr:col>11</xdr:col>
      <xdr:colOff>554040</xdr:colOff>
      <xdr:row>8</xdr:row>
      <xdr:rowOff>278640</xdr:rowOff>
    </xdr:to>
    <xdr:pic>
      <xdr:nvPicPr>
        <xdr:cNvPr id="1221" name="Imagem 19" descr=""/>
        <xdr:cNvPicPr/>
      </xdr:nvPicPr>
      <xdr:blipFill>
        <a:blip r:embed="rId16"/>
        <a:stretch/>
      </xdr:blipFill>
      <xdr:spPr>
        <a:xfrm>
          <a:off x="6599520" y="233640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85680</xdr:colOff>
      <xdr:row>4</xdr:row>
      <xdr:rowOff>224640</xdr:rowOff>
    </xdr:from>
    <xdr:to>
      <xdr:col>9</xdr:col>
      <xdr:colOff>275400</xdr:colOff>
      <xdr:row>9</xdr:row>
      <xdr:rowOff>8640</xdr:rowOff>
    </xdr:to>
    <xdr:pic>
      <xdr:nvPicPr>
        <xdr:cNvPr id="1222" name="Imagem 20" descr="">
          <a:hlinkClick r:id="rId17"/>
        </xdr:cNvPr>
        <xdr:cNvPicPr/>
      </xdr:nvPicPr>
      <xdr:blipFill>
        <a:blip r:embed="rId18"/>
        <a:stretch/>
      </xdr:blipFill>
      <xdr:spPr>
        <a:xfrm>
          <a:off x="4168080" y="1224720"/>
          <a:ext cx="1317600" cy="1298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68" name="Imagem 2" descr=""/>
        <xdr:cNvPicPr/>
      </xdr:nvPicPr>
      <xdr:blipFill>
        <a:blip r:embed="rId1"/>
        <a:stretch/>
      </xdr:blipFill>
      <xdr:spPr>
        <a:xfrm>
          <a:off x="476280" y="28958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69" name="Imagem 3" descr=""/>
        <xdr:cNvPicPr/>
      </xdr:nvPicPr>
      <xdr:blipFill>
        <a:blip r:embed="rId2"/>
        <a:stretch/>
      </xdr:blipFill>
      <xdr:spPr>
        <a:xfrm>
          <a:off x="476280" y="32097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33120</xdr:rowOff>
    </xdr:from>
    <xdr:to>
      <xdr:col>1</xdr:col>
      <xdr:colOff>513360</xdr:colOff>
      <xdr:row>13</xdr:row>
      <xdr:rowOff>263520</xdr:rowOff>
    </xdr:to>
    <xdr:pic>
      <xdr:nvPicPr>
        <xdr:cNvPr id="70" name="Imagem 4" descr=""/>
        <xdr:cNvPicPr/>
      </xdr:nvPicPr>
      <xdr:blipFill>
        <a:blip r:embed="rId3"/>
        <a:stretch/>
      </xdr:blipFill>
      <xdr:spPr>
        <a:xfrm>
          <a:off x="782280" y="39574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14</xdr:row>
      <xdr:rowOff>52200</xdr:rowOff>
    </xdr:from>
    <xdr:to>
      <xdr:col>1</xdr:col>
      <xdr:colOff>513360</xdr:colOff>
      <xdr:row>14</xdr:row>
      <xdr:rowOff>282600</xdr:rowOff>
    </xdr:to>
    <xdr:pic>
      <xdr:nvPicPr>
        <xdr:cNvPr id="71" name="Imagem 5" descr=""/>
        <xdr:cNvPicPr/>
      </xdr:nvPicPr>
      <xdr:blipFill>
        <a:blip r:embed="rId4"/>
        <a:stretch/>
      </xdr:blipFill>
      <xdr:spPr>
        <a:xfrm>
          <a:off x="782280" y="430020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11</xdr:row>
      <xdr:rowOff>266760</xdr:rowOff>
    </xdr:from>
    <xdr:to>
      <xdr:col>2</xdr:col>
      <xdr:colOff>151560</xdr:colOff>
      <xdr:row>13</xdr:row>
      <xdr:rowOff>65880</xdr:rowOff>
    </xdr:to>
    <xdr:pic>
      <xdr:nvPicPr>
        <xdr:cNvPr id="72" name="Imagem 6" descr=""/>
        <xdr:cNvPicPr/>
      </xdr:nvPicPr>
      <xdr:blipFill>
        <a:blip r:embed="rId5"/>
        <a:stretch/>
      </xdr:blipFill>
      <xdr:spPr>
        <a:xfrm>
          <a:off x="476280" y="354348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16</xdr:row>
      <xdr:rowOff>38160</xdr:rowOff>
    </xdr:from>
    <xdr:to>
      <xdr:col>1</xdr:col>
      <xdr:colOff>538200</xdr:colOff>
      <xdr:row>16</xdr:row>
      <xdr:rowOff>313920</xdr:rowOff>
    </xdr:to>
    <xdr:pic>
      <xdr:nvPicPr>
        <xdr:cNvPr id="73" name="Imagem 7" descr=""/>
        <xdr:cNvPicPr/>
      </xdr:nvPicPr>
      <xdr:blipFill>
        <a:blip r:embed="rId6"/>
        <a:stretch/>
      </xdr:blipFill>
      <xdr:spPr>
        <a:xfrm>
          <a:off x="820440" y="493416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17</xdr:row>
      <xdr:rowOff>19080</xdr:rowOff>
    </xdr:from>
    <xdr:to>
      <xdr:col>1</xdr:col>
      <xdr:colOff>312480</xdr:colOff>
      <xdr:row>17</xdr:row>
      <xdr:rowOff>256680</xdr:rowOff>
    </xdr:to>
    <xdr:pic>
      <xdr:nvPicPr>
        <xdr:cNvPr id="74" name="Imagem 8" descr=""/>
        <xdr:cNvPicPr/>
      </xdr:nvPicPr>
      <xdr:blipFill>
        <a:blip r:embed="rId7"/>
        <a:stretch/>
      </xdr:blipFill>
      <xdr:spPr>
        <a:xfrm>
          <a:off x="801360" y="523872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2</xdr:row>
      <xdr:rowOff>342360</xdr:rowOff>
    </xdr:to>
    <xdr:pic>
      <xdr:nvPicPr>
        <xdr:cNvPr id="75" name="Imagem 9" descr=""/>
        <xdr:cNvPicPr/>
      </xdr:nvPicPr>
      <xdr:blipFill>
        <a:blip r:embed="rId8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76" name="Imagem 10" descr=""/>
        <xdr:cNvPicPr/>
      </xdr:nvPicPr>
      <xdr:blipFill>
        <a:blip r:embed="rId9"/>
        <a:stretch/>
      </xdr:blipFill>
      <xdr:spPr>
        <a:xfrm>
          <a:off x="6940080" y="88092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77" name="Imagem 11" descr=""/>
        <xdr:cNvPicPr/>
      </xdr:nvPicPr>
      <xdr:blipFill>
        <a:blip r:embed="rId10"/>
        <a:stretch/>
      </xdr:blipFill>
      <xdr:spPr>
        <a:xfrm>
          <a:off x="6968520" y="112392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285120</xdr:rowOff>
    </xdr:to>
    <xdr:pic>
      <xdr:nvPicPr>
        <xdr:cNvPr id="78" name="Imagem 12" descr=""/>
        <xdr:cNvPicPr/>
      </xdr:nvPicPr>
      <xdr:blipFill>
        <a:blip r:embed="rId11"/>
        <a:stretch/>
      </xdr:blipFill>
      <xdr:spPr>
        <a:xfrm>
          <a:off x="7130520" y="140976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15</xdr:row>
      <xdr:rowOff>33120</xdr:rowOff>
    </xdr:from>
    <xdr:to>
      <xdr:col>1</xdr:col>
      <xdr:colOff>532440</xdr:colOff>
      <xdr:row>15</xdr:row>
      <xdr:rowOff>263520</xdr:rowOff>
    </xdr:to>
    <xdr:pic>
      <xdr:nvPicPr>
        <xdr:cNvPr id="79" name="Imagem 13" descr=""/>
        <xdr:cNvPicPr/>
      </xdr:nvPicPr>
      <xdr:blipFill>
        <a:blip r:embed="rId12"/>
        <a:stretch/>
      </xdr:blipFill>
      <xdr:spPr>
        <a:xfrm>
          <a:off x="801360" y="460512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285840</xdr:colOff>
      <xdr:row>4</xdr:row>
      <xdr:rowOff>19080</xdr:rowOff>
    </xdr:from>
    <xdr:to>
      <xdr:col>9</xdr:col>
      <xdr:colOff>332280</xdr:colOff>
      <xdr:row>8</xdr:row>
      <xdr:rowOff>286200</xdr:rowOff>
    </xdr:to>
    <xdr:pic>
      <xdr:nvPicPr>
        <xdr:cNvPr id="80" name="Imagem 14" descr="">
          <a:hlinkClick r:id="rId13"/>
        </xdr:cNvPr>
        <xdr:cNvPicPr/>
      </xdr:nvPicPr>
      <xdr:blipFill>
        <a:blip r:embed="rId14"/>
        <a:stretch/>
      </xdr:blipFill>
      <xdr:spPr>
        <a:xfrm>
          <a:off x="5253480" y="1133640"/>
          <a:ext cx="658080" cy="144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23" name="Imagem 1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19</xdr:row>
      <xdr:rowOff>38160</xdr:rowOff>
    </xdr:from>
    <xdr:to>
      <xdr:col>1</xdr:col>
      <xdr:colOff>389880</xdr:colOff>
      <xdr:row>19</xdr:row>
      <xdr:rowOff>260640</xdr:rowOff>
    </xdr:to>
    <xdr:pic>
      <xdr:nvPicPr>
        <xdr:cNvPr id="1224" name="Imagem 3" descr=""/>
        <xdr:cNvPicPr/>
      </xdr:nvPicPr>
      <xdr:blipFill>
        <a:blip r:embed="rId2"/>
        <a:stretch/>
      </xdr:blipFill>
      <xdr:spPr>
        <a:xfrm>
          <a:off x="802080" y="575316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25" name="Imagem 4" descr=""/>
        <xdr:cNvPicPr/>
      </xdr:nvPicPr>
      <xdr:blipFill>
        <a:blip r:embed="rId3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26" name="Imagem 5" descr=""/>
        <xdr:cNvPicPr/>
      </xdr:nvPicPr>
      <xdr:blipFill>
        <a:blip r:embed="rId4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27" name="Imagem 6" descr=""/>
        <xdr:cNvPicPr/>
      </xdr:nvPicPr>
      <xdr:blipFill>
        <a:blip r:embed="rId5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28" name="Imagem 7" descr=""/>
        <xdr:cNvPicPr/>
      </xdr:nvPicPr>
      <xdr:blipFill>
        <a:blip r:embed="rId6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29" name="Imagem 9" descr=""/>
        <xdr:cNvPicPr/>
      </xdr:nvPicPr>
      <xdr:blipFill>
        <a:blip r:embed="rId7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17</xdr:row>
      <xdr:rowOff>66600</xdr:rowOff>
    </xdr:from>
    <xdr:to>
      <xdr:col>1</xdr:col>
      <xdr:colOff>444600</xdr:colOff>
      <xdr:row>17</xdr:row>
      <xdr:rowOff>302040</xdr:rowOff>
    </xdr:to>
    <xdr:pic>
      <xdr:nvPicPr>
        <xdr:cNvPr id="1230" name="Imagem 10" descr=""/>
        <xdr:cNvPicPr/>
      </xdr:nvPicPr>
      <xdr:blipFill>
        <a:blip r:embed="rId8"/>
        <a:stretch/>
      </xdr:blipFill>
      <xdr:spPr>
        <a:xfrm>
          <a:off x="783000" y="517212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31" name="Imagem 12" descr=""/>
        <xdr:cNvPicPr/>
      </xdr:nvPicPr>
      <xdr:blipFill>
        <a:blip r:embed="rId9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32" name="Imagem 13" descr=""/>
        <xdr:cNvPicPr/>
      </xdr:nvPicPr>
      <xdr:blipFill>
        <a:blip r:embed="rId10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233" name="Imagem 14" descr=""/>
        <xdr:cNvPicPr/>
      </xdr:nvPicPr>
      <xdr:blipFill>
        <a:blip r:embed="rId11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6</xdr:row>
      <xdr:rowOff>85680</xdr:rowOff>
    </xdr:from>
    <xdr:to>
      <xdr:col>11</xdr:col>
      <xdr:colOff>482760</xdr:colOff>
      <xdr:row>6</xdr:row>
      <xdr:rowOff>321120</xdr:rowOff>
    </xdr:to>
    <xdr:pic>
      <xdr:nvPicPr>
        <xdr:cNvPr id="1234" name="Imagem 15" descr=""/>
        <xdr:cNvPicPr/>
      </xdr:nvPicPr>
      <xdr:blipFill>
        <a:blip r:embed="rId12"/>
        <a:stretch/>
      </xdr:blipFill>
      <xdr:spPr>
        <a:xfrm>
          <a:off x="6675840" y="161928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66600</xdr:colOff>
      <xdr:row>5</xdr:row>
      <xdr:rowOff>0</xdr:rowOff>
    </xdr:from>
    <xdr:to>
      <xdr:col>9</xdr:col>
      <xdr:colOff>227880</xdr:colOff>
      <xdr:row>9</xdr:row>
      <xdr:rowOff>2160</xdr:rowOff>
    </xdr:to>
    <xdr:pic>
      <xdr:nvPicPr>
        <xdr:cNvPr id="1235" name="Imagem 17" descr="">
          <a:hlinkClick r:id="rId13"/>
        </xdr:cNvPr>
        <xdr:cNvPicPr/>
      </xdr:nvPicPr>
      <xdr:blipFill>
        <a:blip r:embed="rId14"/>
        <a:stretch/>
      </xdr:blipFill>
      <xdr:spPr>
        <a:xfrm>
          <a:off x="4149000" y="1247760"/>
          <a:ext cx="1289160" cy="126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13</xdr:row>
      <xdr:rowOff>64080</xdr:rowOff>
    </xdr:from>
    <xdr:to>
      <xdr:col>1</xdr:col>
      <xdr:colOff>599400</xdr:colOff>
      <xdr:row>13</xdr:row>
      <xdr:rowOff>262800</xdr:rowOff>
    </xdr:to>
    <xdr:pic>
      <xdr:nvPicPr>
        <xdr:cNvPr id="1236" name="Imagem 18" descr=""/>
        <xdr:cNvPicPr/>
      </xdr:nvPicPr>
      <xdr:blipFill>
        <a:blip r:embed="rId15"/>
        <a:stretch/>
      </xdr:blipFill>
      <xdr:spPr>
        <a:xfrm>
          <a:off x="887760" y="3873960"/>
          <a:ext cx="4564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18</xdr:row>
      <xdr:rowOff>64440</xdr:rowOff>
    </xdr:from>
    <xdr:to>
      <xdr:col>1</xdr:col>
      <xdr:colOff>494640</xdr:colOff>
      <xdr:row>18</xdr:row>
      <xdr:rowOff>232920</xdr:rowOff>
    </xdr:to>
    <xdr:pic>
      <xdr:nvPicPr>
        <xdr:cNvPr id="1237" name="Imagem 20" descr=""/>
        <xdr:cNvPicPr/>
      </xdr:nvPicPr>
      <xdr:blipFill>
        <a:blip r:embed="rId16"/>
        <a:stretch/>
      </xdr:blipFill>
      <xdr:spPr>
        <a:xfrm>
          <a:off x="806760" y="549360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7</xdr:row>
      <xdr:rowOff>85680</xdr:rowOff>
    </xdr:from>
    <xdr:to>
      <xdr:col>11</xdr:col>
      <xdr:colOff>537480</xdr:colOff>
      <xdr:row>7</xdr:row>
      <xdr:rowOff>254160</xdr:rowOff>
    </xdr:to>
    <xdr:pic>
      <xdr:nvPicPr>
        <xdr:cNvPr id="1238" name="Imagem 21" descr=""/>
        <xdr:cNvPicPr/>
      </xdr:nvPicPr>
      <xdr:blipFill>
        <a:blip r:embed="rId17"/>
        <a:stretch/>
      </xdr:blipFill>
      <xdr:spPr>
        <a:xfrm>
          <a:off x="6704280" y="1962000"/>
          <a:ext cx="432720" cy="16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78480</xdr:colOff>
      <xdr:row>8</xdr:row>
      <xdr:rowOff>95400</xdr:rowOff>
    </xdr:from>
    <xdr:to>
      <xdr:col>11</xdr:col>
      <xdr:colOff>534960</xdr:colOff>
      <xdr:row>8</xdr:row>
      <xdr:rowOff>294120</xdr:rowOff>
    </xdr:to>
    <xdr:pic>
      <xdr:nvPicPr>
        <xdr:cNvPr id="1239" name="Imagem 22" descr=""/>
        <xdr:cNvPicPr/>
      </xdr:nvPicPr>
      <xdr:blipFill>
        <a:blip r:embed="rId18"/>
        <a:stretch/>
      </xdr:blipFill>
      <xdr:spPr>
        <a:xfrm>
          <a:off x="6678000" y="2276640"/>
          <a:ext cx="4564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9</xdr:row>
      <xdr:rowOff>155160</xdr:rowOff>
    </xdr:from>
    <xdr:to>
      <xdr:col>11</xdr:col>
      <xdr:colOff>554040</xdr:colOff>
      <xdr:row>9</xdr:row>
      <xdr:rowOff>278640</xdr:rowOff>
    </xdr:to>
    <xdr:pic>
      <xdr:nvPicPr>
        <xdr:cNvPr id="1240" name="Imagem 23" descr=""/>
        <xdr:cNvPicPr/>
      </xdr:nvPicPr>
      <xdr:blipFill>
        <a:blip r:embed="rId19"/>
        <a:stretch/>
      </xdr:blipFill>
      <xdr:spPr>
        <a:xfrm>
          <a:off x="6599520" y="2669760"/>
          <a:ext cx="55404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13</xdr:row>
      <xdr:rowOff>64080</xdr:rowOff>
    </xdr:from>
    <xdr:to>
      <xdr:col>1</xdr:col>
      <xdr:colOff>542160</xdr:colOff>
      <xdr:row>13</xdr:row>
      <xdr:rowOff>262800</xdr:rowOff>
    </xdr:to>
    <xdr:pic>
      <xdr:nvPicPr>
        <xdr:cNvPr id="1241" name="Imagem 24" descr=""/>
        <xdr:cNvPicPr/>
      </xdr:nvPicPr>
      <xdr:blipFill>
        <a:blip r:embed="rId20"/>
        <a:stretch/>
      </xdr:blipFill>
      <xdr:spPr>
        <a:xfrm>
          <a:off x="830520" y="3873960"/>
          <a:ext cx="4564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14</xdr:row>
      <xdr:rowOff>104760</xdr:rowOff>
    </xdr:from>
    <xdr:to>
      <xdr:col>1</xdr:col>
      <xdr:colOff>539280</xdr:colOff>
      <xdr:row>14</xdr:row>
      <xdr:rowOff>219240</xdr:rowOff>
    </xdr:to>
    <xdr:pic>
      <xdr:nvPicPr>
        <xdr:cNvPr id="1242" name="Imagem 25" descr=""/>
        <xdr:cNvPicPr/>
      </xdr:nvPicPr>
      <xdr:blipFill>
        <a:blip r:embed="rId21"/>
        <a:stretch/>
      </xdr:blipFill>
      <xdr:spPr>
        <a:xfrm>
          <a:off x="771120" y="4238640"/>
          <a:ext cx="513000" cy="11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43" name="Imagem 1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14</xdr:row>
      <xdr:rowOff>38160</xdr:rowOff>
    </xdr:from>
    <xdr:to>
      <xdr:col>1</xdr:col>
      <xdr:colOff>389880</xdr:colOff>
      <xdr:row>14</xdr:row>
      <xdr:rowOff>260640</xdr:rowOff>
    </xdr:to>
    <xdr:pic>
      <xdr:nvPicPr>
        <xdr:cNvPr id="1244" name="Imagem 3" descr=""/>
        <xdr:cNvPicPr/>
      </xdr:nvPicPr>
      <xdr:blipFill>
        <a:blip r:embed="rId2"/>
        <a:stretch/>
      </xdr:blipFill>
      <xdr:spPr>
        <a:xfrm>
          <a:off x="802080" y="417204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45" name="Imagem 4" descr=""/>
        <xdr:cNvPicPr/>
      </xdr:nvPicPr>
      <xdr:blipFill>
        <a:blip r:embed="rId3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46" name="Imagem 5" descr=""/>
        <xdr:cNvPicPr/>
      </xdr:nvPicPr>
      <xdr:blipFill>
        <a:blip r:embed="rId4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47" name="Imagem 6" descr=""/>
        <xdr:cNvPicPr/>
      </xdr:nvPicPr>
      <xdr:blipFill>
        <a:blip r:embed="rId5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48" name="Imagem 7" descr=""/>
        <xdr:cNvPicPr/>
      </xdr:nvPicPr>
      <xdr:blipFill>
        <a:blip r:embed="rId6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13</xdr:row>
      <xdr:rowOff>64080</xdr:rowOff>
    </xdr:from>
    <xdr:to>
      <xdr:col>1</xdr:col>
      <xdr:colOff>570960</xdr:colOff>
      <xdr:row>13</xdr:row>
      <xdr:rowOff>276840</xdr:rowOff>
    </xdr:to>
    <xdr:pic>
      <xdr:nvPicPr>
        <xdr:cNvPr id="1249" name="Imagem 8" descr=""/>
        <xdr:cNvPicPr/>
      </xdr:nvPicPr>
      <xdr:blipFill>
        <a:blip r:embed="rId7"/>
        <a:stretch/>
      </xdr:blipFill>
      <xdr:spPr>
        <a:xfrm>
          <a:off x="787680" y="387396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50" name="Imagem 9" descr=""/>
        <xdr:cNvPicPr/>
      </xdr:nvPicPr>
      <xdr:blipFill>
        <a:blip r:embed="rId8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17</xdr:row>
      <xdr:rowOff>66600</xdr:rowOff>
    </xdr:from>
    <xdr:to>
      <xdr:col>1</xdr:col>
      <xdr:colOff>444600</xdr:colOff>
      <xdr:row>17</xdr:row>
      <xdr:rowOff>302040</xdr:rowOff>
    </xdr:to>
    <xdr:pic>
      <xdr:nvPicPr>
        <xdr:cNvPr id="1251" name="Imagem 10" descr=""/>
        <xdr:cNvPicPr/>
      </xdr:nvPicPr>
      <xdr:blipFill>
        <a:blip r:embed="rId9"/>
        <a:stretch/>
      </xdr:blipFill>
      <xdr:spPr>
        <a:xfrm>
          <a:off x="783000" y="517212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18</xdr:row>
      <xdr:rowOff>109080</xdr:rowOff>
    </xdr:from>
    <xdr:to>
      <xdr:col>1</xdr:col>
      <xdr:colOff>542160</xdr:colOff>
      <xdr:row>18</xdr:row>
      <xdr:rowOff>218160</xdr:rowOff>
    </xdr:to>
    <xdr:pic>
      <xdr:nvPicPr>
        <xdr:cNvPr id="1252" name="Imagem 11" descr=""/>
        <xdr:cNvPicPr/>
      </xdr:nvPicPr>
      <xdr:blipFill>
        <a:blip r:embed="rId10"/>
        <a:stretch/>
      </xdr:blipFill>
      <xdr:spPr>
        <a:xfrm>
          <a:off x="792360" y="5538240"/>
          <a:ext cx="494640" cy="1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53" name="Imagem 12" descr=""/>
        <xdr:cNvPicPr/>
      </xdr:nvPicPr>
      <xdr:blipFill>
        <a:blip r:embed="rId11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54" name="Imagem 13" descr=""/>
        <xdr:cNvPicPr/>
      </xdr:nvPicPr>
      <xdr:blipFill>
        <a:blip r:embed="rId12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255" name="Imagem 14" descr=""/>
        <xdr:cNvPicPr/>
      </xdr:nvPicPr>
      <xdr:blipFill>
        <a:blip r:embed="rId13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6</xdr:row>
      <xdr:rowOff>85680</xdr:rowOff>
    </xdr:from>
    <xdr:to>
      <xdr:col>11</xdr:col>
      <xdr:colOff>482760</xdr:colOff>
      <xdr:row>6</xdr:row>
      <xdr:rowOff>321120</xdr:rowOff>
    </xdr:to>
    <xdr:pic>
      <xdr:nvPicPr>
        <xdr:cNvPr id="1256" name="Imagem 15" descr=""/>
        <xdr:cNvPicPr/>
      </xdr:nvPicPr>
      <xdr:blipFill>
        <a:blip r:embed="rId14"/>
        <a:stretch/>
      </xdr:blipFill>
      <xdr:spPr>
        <a:xfrm>
          <a:off x="6675840" y="161928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7</xdr:row>
      <xdr:rowOff>128160</xdr:rowOff>
    </xdr:from>
    <xdr:to>
      <xdr:col>11</xdr:col>
      <xdr:colOff>523080</xdr:colOff>
      <xdr:row>7</xdr:row>
      <xdr:rowOff>237240</xdr:rowOff>
    </xdr:to>
    <xdr:pic>
      <xdr:nvPicPr>
        <xdr:cNvPr id="1257" name="Imagem 16" descr=""/>
        <xdr:cNvPicPr/>
      </xdr:nvPicPr>
      <xdr:blipFill>
        <a:blip r:embed="rId15"/>
        <a:stretch/>
      </xdr:blipFill>
      <xdr:spPr>
        <a:xfrm>
          <a:off x="6627960" y="2004480"/>
          <a:ext cx="494640" cy="1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0</xdr:colOff>
      <xdr:row>4</xdr:row>
      <xdr:rowOff>237960</xdr:rowOff>
    </xdr:from>
    <xdr:to>
      <xdr:col>9</xdr:col>
      <xdr:colOff>428040</xdr:colOff>
      <xdr:row>9</xdr:row>
      <xdr:rowOff>75240</xdr:rowOff>
    </xdr:to>
    <xdr:pic>
      <xdr:nvPicPr>
        <xdr:cNvPr id="1258" name="Imagem 17" descr="">
          <a:hlinkClick r:id="rId16"/>
        </xdr:cNvPr>
        <xdr:cNvPicPr/>
      </xdr:nvPicPr>
      <xdr:blipFill>
        <a:blip r:embed="rId17"/>
        <a:stretch/>
      </xdr:blipFill>
      <xdr:spPr>
        <a:xfrm>
          <a:off x="4082400" y="1238040"/>
          <a:ext cx="1555920" cy="135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59" name="Imagem 1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14</xdr:row>
      <xdr:rowOff>38160</xdr:rowOff>
    </xdr:from>
    <xdr:to>
      <xdr:col>1</xdr:col>
      <xdr:colOff>389880</xdr:colOff>
      <xdr:row>14</xdr:row>
      <xdr:rowOff>260640</xdr:rowOff>
    </xdr:to>
    <xdr:pic>
      <xdr:nvPicPr>
        <xdr:cNvPr id="1260" name="Imagem 3" descr=""/>
        <xdr:cNvPicPr/>
      </xdr:nvPicPr>
      <xdr:blipFill>
        <a:blip r:embed="rId2"/>
        <a:stretch/>
      </xdr:blipFill>
      <xdr:spPr>
        <a:xfrm>
          <a:off x="802080" y="417204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61" name="Imagem 4" descr=""/>
        <xdr:cNvPicPr/>
      </xdr:nvPicPr>
      <xdr:blipFill>
        <a:blip r:embed="rId3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62" name="Imagem 5" descr=""/>
        <xdr:cNvPicPr/>
      </xdr:nvPicPr>
      <xdr:blipFill>
        <a:blip r:embed="rId4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63" name="Imagem 6" descr=""/>
        <xdr:cNvPicPr/>
      </xdr:nvPicPr>
      <xdr:blipFill>
        <a:blip r:embed="rId5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64" name="Imagem 7" descr=""/>
        <xdr:cNvPicPr/>
      </xdr:nvPicPr>
      <xdr:blipFill>
        <a:blip r:embed="rId6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13</xdr:row>
      <xdr:rowOff>64080</xdr:rowOff>
    </xdr:from>
    <xdr:to>
      <xdr:col>1</xdr:col>
      <xdr:colOff>570960</xdr:colOff>
      <xdr:row>13</xdr:row>
      <xdr:rowOff>276840</xdr:rowOff>
    </xdr:to>
    <xdr:pic>
      <xdr:nvPicPr>
        <xdr:cNvPr id="1265" name="Imagem 8" descr=""/>
        <xdr:cNvPicPr/>
      </xdr:nvPicPr>
      <xdr:blipFill>
        <a:blip r:embed="rId7"/>
        <a:stretch/>
      </xdr:blipFill>
      <xdr:spPr>
        <a:xfrm>
          <a:off x="787680" y="387396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66" name="Imagem 9" descr=""/>
        <xdr:cNvPicPr/>
      </xdr:nvPicPr>
      <xdr:blipFill>
        <a:blip r:embed="rId8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17</xdr:row>
      <xdr:rowOff>109080</xdr:rowOff>
    </xdr:from>
    <xdr:to>
      <xdr:col>1</xdr:col>
      <xdr:colOff>542160</xdr:colOff>
      <xdr:row>17</xdr:row>
      <xdr:rowOff>218160</xdr:rowOff>
    </xdr:to>
    <xdr:pic>
      <xdr:nvPicPr>
        <xdr:cNvPr id="1267" name="Imagem 11" descr=""/>
        <xdr:cNvPicPr/>
      </xdr:nvPicPr>
      <xdr:blipFill>
        <a:blip r:embed="rId9"/>
        <a:stretch/>
      </xdr:blipFill>
      <xdr:spPr>
        <a:xfrm>
          <a:off x="792360" y="5214600"/>
          <a:ext cx="494640" cy="1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68" name="Imagem 12" descr=""/>
        <xdr:cNvPicPr/>
      </xdr:nvPicPr>
      <xdr:blipFill>
        <a:blip r:embed="rId10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69" name="Imagem 13" descr=""/>
        <xdr:cNvPicPr/>
      </xdr:nvPicPr>
      <xdr:blipFill>
        <a:blip r:embed="rId11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270" name="Imagem 14" descr=""/>
        <xdr:cNvPicPr/>
      </xdr:nvPicPr>
      <xdr:blipFill>
        <a:blip r:embed="rId12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6</xdr:row>
      <xdr:rowOff>128160</xdr:rowOff>
    </xdr:from>
    <xdr:to>
      <xdr:col>11</xdr:col>
      <xdr:colOff>523080</xdr:colOff>
      <xdr:row>6</xdr:row>
      <xdr:rowOff>237240</xdr:rowOff>
    </xdr:to>
    <xdr:pic>
      <xdr:nvPicPr>
        <xdr:cNvPr id="1271" name="Imagem 16" descr=""/>
        <xdr:cNvPicPr/>
      </xdr:nvPicPr>
      <xdr:blipFill>
        <a:blip r:embed="rId13"/>
        <a:stretch/>
      </xdr:blipFill>
      <xdr:spPr>
        <a:xfrm>
          <a:off x="6627960" y="1661760"/>
          <a:ext cx="494640" cy="1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380880</xdr:colOff>
      <xdr:row>5</xdr:row>
      <xdr:rowOff>66600</xdr:rowOff>
    </xdr:from>
    <xdr:to>
      <xdr:col>8</xdr:col>
      <xdr:colOff>383760</xdr:colOff>
      <xdr:row>8</xdr:row>
      <xdr:rowOff>276120</xdr:rowOff>
    </xdr:to>
    <xdr:pic>
      <xdr:nvPicPr>
        <xdr:cNvPr id="1272" name="Imagem 18" descr="">
          <a:hlinkClick r:id="rId14"/>
        </xdr:cNvPr>
        <xdr:cNvPicPr/>
      </xdr:nvPicPr>
      <xdr:blipFill>
        <a:blip r:embed="rId15"/>
        <a:stretch/>
      </xdr:blipFill>
      <xdr:spPr>
        <a:xfrm>
          <a:off x="4463280" y="1314360"/>
          <a:ext cx="587160" cy="114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73" name="Imagem 1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14</xdr:row>
      <xdr:rowOff>38160</xdr:rowOff>
    </xdr:from>
    <xdr:to>
      <xdr:col>1</xdr:col>
      <xdr:colOff>389880</xdr:colOff>
      <xdr:row>14</xdr:row>
      <xdr:rowOff>260640</xdr:rowOff>
    </xdr:to>
    <xdr:pic>
      <xdr:nvPicPr>
        <xdr:cNvPr id="1274" name="Imagem 3" descr=""/>
        <xdr:cNvPicPr/>
      </xdr:nvPicPr>
      <xdr:blipFill>
        <a:blip r:embed="rId2"/>
        <a:stretch/>
      </xdr:blipFill>
      <xdr:spPr>
        <a:xfrm>
          <a:off x="802080" y="417204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75" name="Imagem 4" descr=""/>
        <xdr:cNvPicPr/>
      </xdr:nvPicPr>
      <xdr:blipFill>
        <a:blip r:embed="rId3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76" name="Imagem 5" descr=""/>
        <xdr:cNvPicPr/>
      </xdr:nvPicPr>
      <xdr:blipFill>
        <a:blip r:embed="rId4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77" name="Imagem 6" descr=""/>
        <xdr:cNvPicPr/>
      </xdr:nvPicPr>
      <xdr:blipFill>
        <a:blip r:embed="rId5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78" name="Imagem 7" descr=""/>
        <xdr:cNvPicPr/>
      </xdr:nvPicPr>
      <xdr:blipFill>
        <a:blip r:embed="rId6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13</xdr:row>
      <xdr:rowOff>64080</xdr:rowOff>
    </xdr:from>
    <xdr:to>
      <xdr:col>1</xdr:col>
      <xdr:colOff>570960</xdr:colOff>
      <xdr:row>13</xdr:row>
      <xdr:rowOff>276840</xdr:rowOff>
    </xdr:to>
    <xdr:pic>
      <xdr:nvPicPr>
        <xdr:cNvPr id="1279" name="Imagem 8" descr=""/>
        <xdr:cNvPicPr/>
      </xdr:nvPicPr>
      <xdr:blipFill>
        <a:blip r:embed="rId7"/>
        <a:stretch/>
      </xdr:blipFill>
      <xdr:spPr>
        <a:xfrm>
          <a:off x="787680" y="387396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80" name="Imagem 9" descr=""/>
        <xdr:cNvPicPr/>
      </xdr:nvPicPr>
      <xdr:blipFill>
        <a:blip r:embed="rId8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81" name="Imagem 12" descr=""/>
        <xdr:cNvPicPr/>
      </xdr:nvPicPr>
      <xdr:blipFill>
        <a:blip r:embed="rId9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82" name="Imagem 13" descr=""/>
        <xdr:cNvPicPr/>
      </xdr:nvPicPr>
      <xdr:blipFill>
        <a:blip r:embed="rId10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283" name="Imagem 14" descr=""/>
        <xdr:cNvPicPr/>
      </xdr:nvPicPr>
      <xdr:blipFill>
        <a:blip r:embed="rId11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476280</xdr:colOff>
      <xdr:row>5</xdr:row>
      <xdr:rowOff>57240</xdr:rowOff>
    </xdr:from>
    <xdr:to>
      <xdr:col>8</xdr:col>
      <xdr:colOff>450360</xdr:colOff>
      <xdr:row>8</xdr:row>
      <xdr:rowOff>294480</xdr:rowOff>
    </xdr:to>
    <xdr:pic>
      <xdr:nvPicPr>
        <xdr:cNvPr id="1284" name="Imagem 17" descr="">
          <a:hlinkClick r:id="rId12"/>
        </xdr:cNvPr>
        <xdr:cNvPicPr/>
      </xdr:nvPicPr>
      <xdr:blipFill>
        <a:blip r:embed="rId13"/>
        <a:stretch/>
      </xdr:blipFill>
      <xdr:spPr>
        <a:xfrm>
          <a:off x="4558680" y="1305000"/>
          <a:ext cx="558360" cy="117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17</xdr:row>
      <xdr:rowOff>114120</xdr:rowOff>
    </xdr:from>
    <xdr:to>
      <xdr:col>2</xdr:col>
      <xdr:colOff>202680</xdr:colOff>
      <xdr:row>17</xdr:row>
      <xdr:rowOff>218160</xdr:rowOff>
    </xdr:to>
    <xdr:pic>
      <xdr:nvPicPr>
        <xdr:cNvPr id="1285" name="Imagem 18" descr=""/>
        <xdr:cNvPicPr/>
      </xdr:nvPicPr>
      <xdr:blipFill>
        <a:blip r:embed="rId14"/>
        <a:stretch/>
      </xdr:blipFill>
      <xdr:spPr>
        <a:xfrm>
          <a:off x="763920" y="5219640"/>
          <a:ext cx="795240" cy="10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581040</xdr:colOff>
      <xdr:row>6</xdr:row>
      <xdr:rowOff>152280</xdr:rowOff>
    </xdr:from>
    <xdr:to>
      <xdr:col>11</xdr:col>
      <xdr:colOff>580320</xdr:colOff>
      <xdr:row>6</xdr:row>
      <xdr:rowOff>230760</xdr:rowOff>
    </xdr:to>
    <xdr:pic>
      <xdr:nvPicPr>
        <xdr:cNvPr id="1286" name="Imagem 19" descr=""/>
        <xdr:cNvPicPr/>
      </xdr:nvPicPr>
      <xdr:blipFill>
        <a:blip r:embed="rId15"/>
        <a:stretch/>
      </xdr:blipFill>
      <xdr:spPr>
        <a:xfrm>
          <a:off x="6546240" y="1685880"/>
          <a:ext cx="633600" cy="7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153720</xdr:colOff>
      <xdr:row>5</xdr:row>
      <xdr:rowOff>37440</xdr:rowOff>
    </xdr:from>
    <xdr:to>
      <xdr:col>11</xdr:col>
      <xdr:colOff>430200</xdr:colOff>
      <xdr:row>5</xdr:row>
      <xdr:rowOff>285480</xdr:rowOff>
    </xdr:to>
    <xdr:pic>
      <xdr:nvPicPr>
        <xdr:cNvPr id="1287" name="Imagem 19" descr=""/>
        <xdr:cNvPicPr/>
      </xdr:nvPicPr>
      <xdr:blipFill>
        <a:blip r:embed="rId1"/>
        <a:stretch/>
      </xdr:blipFill>
      <xdr:spPr>
        <a:xfrm>
          <a:off x="6753240" y="128520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352440</xdr:colOff>
      <xdr:row>5</xdr:row>
      <xdr:rowOff>85680</xdr:rowOff>
    </xdr:from>
    <xdr:to>
      <xdr:col>8</xdr:col>
      <xdr:colOff>318240</xdr:colOff>
      <xdr:row>8</xdr:row>
      <xdr:rowOff>294480</xdr:rowOff>
    </xdr:to>
    <xdr:pic>
      <xdr:nvPicPr>
        <xdr:cNvPr id="1288" name="Imagem 22" descr="">
          <a:hlinkClick r:id="rId2"/>
        </xdr:cNvPr>
        <xdr:cNvPicPr/>
      </xdr:nvPicPr>
      <xdr:blipFill>
        <a:blip r:embed="rId3"/>
        <a:stretch/>
      </xdr:blipFill>
      <xdr:spPr>
        <a:xfrm>
          <a:off x="4434840" y="1333440"/>
          <a:ext cx="550080" cy="114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57240</xdr:colOff>
      <xdr:row>14</xdr:row>
      <xdr:rowOff>38160</xdr:rowOff>
    </xdr:from>
    <xdr:to>
      <xdr:col>1</xdr:col>
      <xdr:colOff>389880</xdr:colOff>
      <xdr:row>14</xdr:row>
      <xdr:rowOff>260640</xdr:rowOff>
    </xdr:to>
    <xdr:pic>
      <xdr:nvPicPr>
        <xdr:cNvPr id="1289" name="Imagem 23" descr=""/>
        <xdr:cNvPicPr/>
      </xdr:nvPicPr>
      <xdr:blipFill>
        <a:blip r:embed="rId4"/>
        <a:stretch/>
      </xdr:blipFill>
      <xdr:spPr>
        <a:xfrm>
          <a:off x="802080" y="4172040"/>
          <a:ext cx="332640" cy="22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15</xdr:row>
      <xdr:rowOff>19080</xdr:rowOff>
    </xdr:from>
    <xdr:to>
      <xdr:col>1</xdr:col>
      <xdr:colOff>408600</xdr:colOff>
      <xdr:row>16</xdr:row>
      <xdr:rowOff>12960</xdr:rowOff>
    </xdr:to>
    <xdr:pic>
      <xdr:nvPicPr>
        <xdr:cNvPr id="1290" name="Imagem 24" descr=""/>
        <xdr:cNvPicPr/>
      </xdr:nvPicPr>
      <xdr:blipFill>
        <a:blip r:embed="rId5"/>
        <a:stretch/>
      </xdr:blipFill>
      <xdr:spPr>
        <a:xfrm>
          <a:off x="799560" y="4476960"/>
          <a:ext cx="353880" cy="31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61920</xdr:colOff>
      <xdr:row>12</xdr:row>
      <xdr:rowOff>54360</xdr:rowOff>
    </xdr:from>
    <xdr:to>
      <xdr:col>1</xdr:col>
      <xdr:colOff>590040</xdr:colOff>
      <xdr:row>12</xdr:row>
      <xdr:rowOff>267120</xdr:rowOff>
    </xdr:to>
    <xdr:pic>
      <xdr:nvPicPr>
        <xdr:cNvPr id="1291" name="Imagem 25" descr=""/>
        <xdr:cNvPicPr/>
      </xdr:nvPicPr>
      <xdr:blipFill>
        <a:blip r:embed="rId6"/>
        <a:stretch/>
      </xdr:blipFill>
      <xdr:spPr>
        <a:xfrm>
          <a:off x="806760" y="354060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145080</xdr:colOff>
      <xdr:row>10</xdr:row>
      <xdr:rowOff>66240</xdr:rowOff>
    </xdr:from>
    <xdr:to>
      <xdr:col>1</xdr:col>
      <xdr:colOff>427680</xdr:colOff>
      <xdr:row>10</xdr:row>
      <xdr:rowOff>293400</xdr:rowOff>
    </xdr:to>
    <xdr:pic>
      <xdr:nvPicPr>
        <xdr:cNvPr id="1292" name="Imagem 26" descr=""/>
        <xdr:cNvPicPr/>
      </xdr:nvPicPr>
      <xdr:blipFill>
        <a:blip r:embed="rId7"/>
        <a:stretch/>
      </xdr:blipFill>
      <xdr:spPr>
        <a:xfrm>
          <a:off x="889920" y="290484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154800</xdr:colOff>
      <xdr:row>11</xdr:row>
      <xdr:rowOff>56880</xdr:rowOff>
    </xdr:from>
    <xdr:to>
      <xdr:col>1</xdr:col>
      <xdr:colOff>437400</xdr:colOff>
      <xdr:row>11</xdr:row>
      <xdr:rowOff>284040</xdr:rowOff>
    </xdr:to>
    <xdr:pic>
      <xdr:nvPicPr>
        <xdr:cNvPr id="1293" name="Imagem 27" descr=""/>
        <xdr:cNvPicPr/>
      </xdr:nvPicPr>
      <xdr:blipFill>
        <a:blip r:embed="rId8"/>
        <a:stretch/>
      </xdr:blipFill>
      <xdr:spPr>
        <a:xfrm>
          <a:off x="899640" y="3219120"/>
          <a:ext cx="28260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42840</xdr:colOff>
      <xdr:row>13</xdr:row>
      <xdr:rowOff>64080</xdr:rowOff>
    </xdr:from>
    <xdr:to>
      <xdr:col>1</xdr:col>
      <xdr:colOff>570960</xdr:colOff>
      <xdr:row>13</xdr:row>
      <xdr:rowOff>276840</xdr:rowOff>
    </xdr:to>
    <xdr:pic>
      <xdr:nvPicPr>
        <xdr:cNvPr id="1294" name="Imagem 29" descr=""/>
        <xdr:cNvPicPr/>
      </xdr:nvPicPr>
      <xdr:blipFill>
        <a:blip r:embed="rId9"/>
        <a:stretch/>
      </xdr:blipFill>
      <xdr:spPr>
        <a:xfrm>
          <a:off x="787680" y="3873960"/>
          <a:ext cx="528120" cy="21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16</xdr:row>
      <xdr:rowOff>19080</xdr:rowOff>
    </xdr:from>
    <xdr:to>
      <xdr:col>1</xdr:col>
      <xdr:colOff>380160</xdr:colOff>
      <xdr:row>17</xdr:row>
      <xdr:rowOff>12960</xdr:rowOff>
    </xdr:to>
    <xdr:pic>
      <xdr:nvPicPr>
        <xdr:cNvPr id="1295" name="Imagem 30" descr=""/>
        <xdr:cNvPicPr/>
      </xdr:nvPicPr>
      <xdr:blipFill>
        <a:blip r:embed="rId10"/>
        <a:stretch/>
      </xdr:blipFill>
      <xdr:spPr>
        <a:xfrm>
          <a:off x="771120" y="4800600"/>
          <a:ext cx="353880" cy="31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38160</xdr:colOff>
      <xdr:row>17</xdr:row>
      <xdr:rowOff>66600</xdr:rowOff>
    </xdr:from>
    <xdr:to>
      <xdr:col>1</xdr:col>
      <xdr:colOff>444600</xdr:colOff>
      <xdr:row>17</xdr:row>
      <xdr:rowOff>302040</xdr:rowOff>
    </xdr:to>
    <xdr:pic>
      <xdr:nvPicPr>
        <xdr:cNvPr id="1296" name="Imagem 32" descr=""/>
        <xdr:cNvPicPr/>
      </xdr:nvPicPr>
      <xdr:blipFill>
        <a:blip r:embed="rId11"/>
        <a:stretch/>
      </xdr:blipFill>
      <xdr:spPr>
        <a:xfrm>
          <a:off x="783000" y="517212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18</xdr:row>
      <xdr:rowOff>109080</xdr:rowOff>
    </xdr:from>
    <xdr:to>
      <xdr:col>1</xdr:col>
      <xdr:colOff>542160</xdr:colOff>
      <xdr:row>18</xdr:row>
      <xdr:rowOff>218160</xdr:rowOff>
    </xdr:to>
    <xdr:pic>
      <xdr:nvPicPr>
        <xdr:cNvPr id="1297" name="Imagem 33" descr=""/>
        <xdr:cNvPicPr/>
      </xdr:nvPicPr>
      <xdr:blipFill>
        <a:blip r:embed="rId12"/>
        <a:stretch/>
      </xdr:blipFill>
      <xdr:spPr>
        <a:xfrm>
          <a:off x="792360" y="5538240"/>
          <a:ext cx="494640" cy="10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61920</xdr:colOff>
      <xdr:row>3</xdr:row>
      <xdr:rowOff>43560</xdr:rowOff>
    </xdr:from>
    <xdr:to>
      <xdr:col>11</xdr:col>
      <xdr:colOff>475560</xdr:colOff>
      <xdr:row>3</xdr:row>
      <xdr:rowOff>210240</xdr:rowOff>
    </xdr:to>
    <xdr:pic>
      <xdr:nvPicPr>
        <xdr:cNvPr id="1298" name="Imagem 35" descr=""/>
        <xdr:cNvPicPr/>
      </xdr:nvPicPr>
      <xdr:blipFill>
        <a:blip r:embed="rId13"/>
        <a:stretch/>
      </xdr:blipFill>
      <xdr:spPr>
        <a:xfrm>
          <a:off x="6661440" y="795960"/>
          <a:ext cx="413640" cy="16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183240</xdr:colOff>
      <xdr:row>2</xdr:row>
      <xdr:rowOff>47160</xdr:rowOff>
    </xdr:from>
    <xdr:to>
      <xdr:col>11</xdr:col>
      <xdr:colOff>437400</xdr:colOff>
      <xdr:row>3</xdr:row>
      <xdr:rowOff>3600</xdr:rowOff>
    </xdr:to>
    <xdr:pic>
      <xdr:nvPicPr>
        <xdr:cNvPr id="1299" name="Imagem 36" descr=""/>
        <xdr:cNvPicPr/>
      </xdr:nvPicPr>
      <xdr:blipFill>
        <a:blip r:embed="rId14"/>
        <a:stretch/>
      </xdr:blipFill>
      <xdr:spPr>
        <a:xfrm>
          <a:off x="6782760" y="551880"/>
          <a:ext cx="254160" cy="20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47520</xdr:rowOff>
    </xdr:from>
    <xdr:to>
      <xdr:col>11</xdr:col>
      <xdr:colOff>445680</xdr:colOff>
      <xdr:row>4</xdr:row>
      <xdr:rowOff>237240</xdr:rowOff>
    </xdr:to>
    <xdr:pic>
      <xdr:nvPicPr>
        <xdr:cNvPr id="1300" name="Imagem 37" descr=""/>
        <xdr:cNvPicPr/>
      </xdr:nvPicPr>
      <xdr:blipFill>
        <a:blip r:embed="rId15"/>
        <a:stretch/>
      </xdr:blipFill>
      <xdr:spPr>
        <a:xfrm>
          <a:off x="6761520" y="1047600"/>
          <a:ext cx="283680" cy="18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6</xdr:row>
      <xdr:rowOff>85680</xdr:rowOff>
    </xdr:from>
    <xdr:to>
      <xdr:col>11</xdr:col>
      <xdr:colOff>482760</xdr:colOff>
      <xdr:row>6</xdr:row>
      <xdr:rowOff>321120</xdr:rowOff>
    </xdr:to>
    <xdr:pic>
      <xdr:nvPicPr>
        <xdr:cNvPr id="1301" name="Imagem 38" descr=""/>
        <xdr:cNvPicPr/>
      </xdr:nvPicPr>
      <xdr:blipFill>
        <a:blip r:embed="rId16"/>
        <a:stretch/>
      </xdr:blipFill>
      <xdr:spPr>
        <a:xfrm>
          <a:off x="6675840" y="1619280"/>
          <a:ext cx="406440" cy="23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7</xdr:row>
      <xdr:rowOff>128160</xdr:rowOff>
    </xdr:from>
    <xdr:to>
      <xdr:col>11</xdr:col>
      <xdr:colOff>523080</xdr:colOff>
      <xdr:row>7</xdr:row>
      <xdr:rowOff>237240</xdr:rowOff>
    </xdr:to>
    <xdr:pic>
      <xdr:nvPicPr>
        <xdr:cNvPr id="1302" name="Imagem 39" descr=""/>
        <xdr:cNvPicPr/>
      </xdr:nvPicPr>
      <xdr:blipFill>
        <a:blip r:embed="rId17"/>
        <a:stretch/>
      </xdr:blipFill>
      <xdr:spPr>
        <a:xfrm>
          <a:off x="6627960" y="2004480"/>
          <a:ext cx="494640" cy="10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10</xdr:row>
      <xdr:rowOff>95400</xdr:rowOff>
    </xdr:from>
    <xdr:to>
      <xdr:col>1</xdr:col>
      <xdr:colOff>456480</xdr:colOff>
      <xdr:row>10</xdr:row>
      <xdr:rowOff>240480</xdr:rowOff>
    </xdr:to>
    <xdr:pic>
      <xdr:nvPicPr>
        <xdr:cNvPr id="1303" name="Imagem 2" descr=""/>
        <xdr:cNvPicPr/>
      </xdr:nvPicPr>
      <xdr:blipFill>
        <a:blip r:embed="rId1"/>
        <a:stretch/>
      </xdr:blipFill>
      <xdr:spPr>
        <a:xfrm>
          <a:off x="877680" y="29340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11</xdr:row>
      <xdr:rowOff>38880</xdr:rowOff>
    </xdr:from>
    <xdr:to>
      <xdr:col>1</xdr:col>
      <xdr:colOff>471960</xdr:colOff>
      <xdr:row>11</xdr:row>
      <xdr:rowOff>250920</xdr:rowOff>
    </xdr:to>
    <xdr:pic>
      <xdr:nvPicPr>
        <xdr:cNvPr id="1304" name="Imagem 3" descr=""/>
        <xdr:cNvPicPr/>
      </xdr:nvPicPr>
      <xdr:blipFill>
        <a:blip r:embed="rId2"/>
        <a:stretch/>
      </xdr:blipFill>
      <xdr:spPr>
        <a:xfrm>
          <a:off x="884880" y="320112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12</xdr:row>
      <xdr:rowOff>114840</xdr:rowOff>
    </xdr:from>
    <xdr:to>
      <xdr:col>1</xdr:col>
      <xdr:colOff>481680</xdr:colOff>
      <xdr:row>12</xdr:row>
      <xdr:rowOff>238320</xdr:rowOff>
    </xdr:to>
    <xdr:pic>
      <xdr:nvPicPr>
        <xdr:cNvPr id="1305" name="Imagem 4" descr=""/>
        <xdr:cNvPicPr/>
      </xdr:nvPicPr>
      <xdr:blipFill>
        <a:blip r:embed="rId3"/>
        <a:stretch/>
      </xdr:blipFill>
      <xdr:spPr>
        <a:xfrm>
          <a:off x="877680" y="360108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13</xdr:row>
      <xdr:rowOff>95760</xdr:rowOff>
    </xdr:from>
    <xdr:to>
      <xdr:col>1</xdr:col>
      <xdr:colOff>449280</xdr:colOff>
      <xdr:row>13</xdr:row>
      <xdr:rowOff>232200</xdr:rowOff>
    </xdr:to>
    <xdr:pic>
      <xdr:nvPicPr>
        <xdr:cNvPr id="1306" name="Imagem 5" descr=""/>
        <xdr:cNvPicPr/>
      </xdr:nvPicPr>
      <xdr:blipFill>
        <a:blip r:embed="rId4"/>
        <a:stretch/>
      </xdr:blipFill>
      <xdr:spPr>
        <a:xfrm>
          <a:off x="896760" y="390564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205560</xdr:colOff>
      <xdr:row>14</xdr:row>
      <xdr:rowOff>86400</xdr:rowOff>
    </xdr:from>
    <xdr:to>
      <xdr:col>1</xdr:col>
      <xdr:colOff>465840</xdr:colOff>
      <xdr:row>14</xdr:row>
      <xdr:rowOff>274680</xdr:rowOff>
    </xdr:to>
    <xdr:pic>
      <xdr:nvPicPr>
        <xdr:cNvPr id="1307" name="Imagem 6" descr=""/>
        <xdr:cNvPicPr/>
      </xdr:nvPicPr>
      <xdr:blipFill>
        <a:blip r:embed="rId5"/>
        <a:stretch/>
      </xdr:blipFill>
      <xdr:spPr>
        <a:xfrm>
          <a:off x="940320" y="422028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124920</xdr:colOff>
      <xdr:row>17</xdr:row>
      <xdr:rowOff>18360</xdr:rowOff>
    </xdr:from>
    <xdr:to>
      <xdr:col>1</xdr:col>
      <xdr:colOff>401400</xdr:colOff>
      <xdr:row>17</xdr:row>
      <xdr:rowOff>266400</xdr:rowOff>
    </xdr:to>
    <xdr:pic>
      <xdr:nvPicPr>
        <xdr:cNvPr id="1308" name="Imagem 7" descr=""/>
        <xdr:cNvPicPr/>
      </xdr:nvPicPr>
      <xdr:blipFill>
        <a:blip r:embed="rId6"/>
        <a:stretch/>
      </xdr:blipFill>
      <xdr:spPr>
        <a:xfrm>
          <a:off x="859680" y="512388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115560</xdr:colOff>
      <xdr:row>18</xdr:row>
      <xdr:rowOff>9000</xdr:rowOff>
    </xdr:from>
    <xdr:to>
      <xdr:col>1</xdr:col>
      <xdr:colOff>392040</xdr:colOff>
      <xdr:row>18</xdr:row>
      <xdr:rowOff>257040</xdr:rowOff>
    </xdr:to>
    <xdr:pic>
      <xdr:nvPicPr>
        <xdr:cNvPr id="1309" name="Imagem 8" descr=""/>
        <xdr:cNvPicPr/>
      </xdr:nvPicPr>
      <xdr:blipFill>
        <a:blip r:embed="rId7"/>
        <a:stretch/>
      </xdr:blipFill>
      <xdr:spPr>
        <a:xfrm>
          <a:off x="850320" y="543816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134640</xdr:colOff>
      <xdr:row>15</xdr:row>
      <xdr:rowOff>84960</xdr:rowOff>
    </xdr:from>
    <xdr:to>
      <xdr:col>1</xdr:col>
      <xdr:colOff>403200</xdr:colOff>
      <xdr:row>15</xdr:row>
      <xdr:rowOff>293760</xdr:rowOff>
    </xdr:to>
    <xdr:pic>
      <xdr:nvPicPr>
        <xdr:cNvPr id="1310" name="Imagem 9" descr=""/>
        <xdr:cNvPicPr/>
      </xdr:nvPicPr>
      <xdr:blipFill>
        <a:blip r:embed="rId8"/>
        <a:stretch/>
      </xdr:blipFill>
      <xdr:spPr>
        <a:xfrm>
          <a:off x="869400" y="454284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184680</xdr:colOff>
      <xdr:row>16</xdr:row>
      <xdr:rowOff>44640</xdr:rowOff>
    </xdr:from>
    <xdr:to>
      <xdr:col>1</xdr:col>
      <xdr:colOff>414000</xdr:colOff>
      <xdr:row>16</xdr:row>
      <xdr:rowOff>229320</xdr:rowOff>
    </xdr:to>
    <xdr:pic>
      <xdr:nvPicPr>
        <xdr:cNvPr id="1311" name="Imagem 10" descr=""/>
        <xdr:cNvPicPr/>
      </xdr:nvPicPr>
      <xdr:blipFill>
        <a:blip r:embed="rId9"/>
        <a:stretch/>
      </xdr:blipFill>
      <xdr:spPr>
        <a:xfrm>
          <a:off x="919440" y="482616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504720</xdr:colOff>
      <xdr:row>5</xdr:row>
      <xdr:rowOff>47520</xdr:rowOff>
    </xdr:from>
    <xdr:to>
      <xdr:col>9</xdr:col>
      <xdr:colOff>113400</xdr:colOff>
      <xdr:row>8</xdr:row>
      <xdr:rowOff>282600</xdr:rowOff>
    </xdr:to>
    <xdr:pic>
      <xdr:nvPicPr>
        <xdr:cNvPr id="1312" name="Imagem 14" descr="">
          <a:hlinkClick r:id="rId10"/>
        </xdr:cNvPr>
        <xdr:cNvPicPr/>
      </xdr:nvPicPr>
      <xdr:blipFill>
        <a:blip r:embed="rId11"/>
        <a:stretch/>
      </xdr:blipFill>
      <xdr:spPr>
        <a:xfrm>
          <a:off x="4296960" y="1295280"/>
          <a:ext cx="1395720" cy="116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115560</xdr:colOff>
      <xdr:row>17</xdr:row>
      <xdr:rowOff>9000</xdr:rowOff>
    </xdr:from>
    <xdr:to>
      <xdr:col>1</xdr:col>
      <xdr:colOff>392040</xdr:colOff>
      <xdr:row>17</xdr:row>
      <xdr:rowOff>257040</xdr:rowOff>
    </xdr:to>
    <xdr:pic>
      <xdr:nvPicPr>
        <xdr:cNvPr id="1313" name="Imagem 15" descr=""/>
        <xdr:cNvPicPr/>
      </xdr:nvPicPr>
      <xdr:blipFill>
        <a:blip r:embed="rId12"/>
        <a:stretch/>
      </xdr:blipFill>
      <xdr:spPr>
        <a:xfrm>
          <a:off x="850320" y="511452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152280</xdr:colOff>
      <xdr:row>2</xdr:row>
      <xdr:rowOff>57240</xdr:rowOff>
    </xdr:from>
    <xdr:to>
      <xdr:col>11</xdr:col>
      <xdr:colOff>459360</xdr:colOff>
      <xdr:row>2</xdr:row>
      <xdr:rowOff>199440</xdr:rowOff>
    </xdr:to>
    <xdr:pic>
      <xdr:nvPicPr>
        <xdr:cNvPr id="1314" name="Imagem 13" descr=""/>
        <xdr:cNvPicPr/>
      </xdr:nvPicPr>
      <xdr:blipFill>
        <a:blip r:embed="rId13"/>
        <a:stretch/>
      </xdr:blipFill>
      <xdr:spPr>
        <a:xfrm>
          <a:off x="6987600" y="561960"/>
          <a:ext cx="30708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140400</xdr:colOff>
      <xdr:row>3</xdr:row>
      <xdr:rowOff>38880</xdr:rowOff>
    </xdr:from>
    <xdr:to>
      <xdr:col>11</xdr:col>
      <xdr:colOff>462240</xdr:colOff>
      <xdr:row>4</xdr:row>
      <xdr:rowOff>3240</xdr:rowOff>
    </xdr:to>
    <xdr:pic>
      <xdr:nvPicPr>
        <xdr:cNvPr id="1315" name="Imagem 16" descr=""/>
        <xdr:cNvPicPr/>
      </xdr:nvPicPr>
      <xdr:blipFill>
        <a:blip r:embed="rId14"/>
        <a:stretch/>
      </xdr:blipFill>
      <xdr:spPr>
        <a:xfrm>
          <a:off x="6975720" y="79128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152280</xdr:colOff>
      <xdr:row>4</xdr:row>
      <xdr:rowOff>77040</xdr:rowOff>
    </xdr:from>
    <xdr:to>
      <xdr:col>11</xdr:col>
      <xdr:colOff>491040</xdr:colOff>
      <xdr:row>4</xdr:row>
      <xdr:rowOff>200520</xdr:rowOff>
    </xdr:to>
    <xdr:pic>
      <xdr:nvPicPr>
        <xdr:cNvPr id="1316" name="Imagem 17" descr=""/>
        <xdr:cNvPicPr/>
      </xdr:nvPicPr>
      <xdr:blipFill>
        <a:blip r:embed="rId15"/>
        <a:stretch/>
      </xdr:blipFill>
      <xdr:spPr>
        <a:xfrm>
          <a:off x="6987600" y="107712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190440</xdr:colOff>
      <xdr:row>5</xdr:row>
      <xdr:rowOff>67320</xdr:rowOff>
    </xdr:from>
    <xdr:to>
      <xdr:col>11</xdr:col>
      <xdr:colOff>477720</xdr:colOff>
      <xdr:row>5</xdr:row>
      <xdr:rowOff>203760</xdr:rowOff>
    </xdr:to>
    <xdr:pic>
      <xdr:nvPicPr>
        <xdr:cNvPr id="1317" name="Imagem 21" descr=""/>
        <xdr:cNvPicPr/>
      </xdr:nvPicPr>
      <xdr:blipFill>
        <a:blip r:embed="rId16"/>
        <a:stretch/>
      </xdr:blipFill>
      <xdr:spPr>
        <a:xfrm>
          <a:off x="7025760" y="131508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234360</xdr:colOff>
      <xdr:row>6</xdr:row>
      <xdr:rowOff>95760</xdr:rowOff>
    </xdr:from>
    <xdr:to>
      <xdr:col>11</xdr:col>
      <xdr:colOff>494640</xdr:colOff>
      <xdr:row>6</xdr:row>
      <xdr:rowOff>284040</xdr:rowOff>
    </xdr:to>
    <xdr:pic>
      <xdr:nvPicPr>
        <xdr:cNvPr id="1318" name="Imagem 22" descr=""/>
        <xdr:cNvPicPr/>
      </xdr:nvPicPr>
      <xdr:blipFill>
        <a:blip r:embed="rId17"/>
        <a:stretch/>
      </xdr:blipFill>
      <xdr:spPr>
        <a:xfrm>
          <a:off x="7069680" y="162936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163080</xdr:colOff>
      <xdr:row>7</xdr:row>
      <xdr:rowOff>75600</xdr:rowOff>
    </xdr:from>
    <xdr:to>
      <xdr:col>11</xdr:col>
      <xdr:colOff>431640</xdr:colOff>
      <xdr:row>7</xdr:row>
      <xdr:rowOff>284400</xdr:rowOff>
    </xdr:to>
    <xdr:pic>
      <xdr:nvPicPr>
        <xdr:cNvPr id="1319" name="Imagem 23" descr=""/>
        <xdr:cNvPicPr/>
      </xdr:nvPicPr>
      <xdr:blipFill>
        <a:blip r:embed="rId18"/>
        <a:stretch/>
      </xdr:blipFill>
      <xdr:spPr>
        <a:xfrm>
          <a:off x="6998400" y="195192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222840</xdr:colOff>
      <xdr:row>8</xdr:row>
      <xdr:rowOff>92520</xdr:rowOff>
    </xdr:from>
    <xdr:to>
      <xdr:col>11</xdr:col>
      <xdr:colOff>452160</xdr:colOff>
      <xdr:row>8</xdr:row>
      <xdr:rowOff>277200</xdr:rowOff>
    </xdr:to>
    <xdr:pic>
      <xdr:nvPicPr>
        <xdr:cNvPr id="1320" name="Imagem 24" descr=""/>
        <xdr:cNvPicPr/>
      </xdr:nvPicPr>
      <xdr:blipFill>
        <a:blip r:embed="rId19"/>
        <a:stretch/>
      </xdr:blipFill>
      <xdr:spPr>
        <a:xfrm>
          <a:off x="7058160" y="227376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153720</xdr:colOff>
      <xdr:row>9</xdr:row>
      <xdr:rowOff>47160</xdr:rowOff>
    </xdr:from>
    <xdr:to>
      <xdr:col>11</xdr:col>
      <xdr:colOff>430200</xdr:colOff>
      <xdr:row>9</xdr:row>
      <xdr:rowOff>295200</xdr:rowOff>
    </xdr:to>
    <xdr:pic>
      <xdr:nvPicPr>
        <xdr:cNvPr id="1321" name="Imagem 25" descr=""/>
        <xdr:cNvPicPr/>
      </xdr:nvPicPr>
      <xdr:blipFill>
        <a:blip r:embed="rId20"/>
        <a:stretch/>
      </xdr:blipFill>
      <xdr:spPr>
        <a:xfrm>
          <a:off x="6989040" y="2561760"/>
          <a:ext cx="276480" cy="24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10</xdr:row>
      <xdr:rowOff>95400</xdr:rowOff>
    </xdr:from>
    <xdr:to>
      <xdr:col>1</xdr:col>
      <xdr:colOff>456480</xdr:colOff>
      <xdr:row>10</xdr:row>
      <xdr:rowOff>240480</xdr:rowOff>
    </xdr:to>
    <xdr:pic>
      <xdr:nvPicPr>
        <xdr:cNvPr id="1322" name="Imagem 3" descr=""/>
        <xdr:cNvPicPr/>
      </xdr:nvPicPr>
      <xdr:blipFill>
        <a:blip r:embed="rId1"/>
        <a:stretch/>
      </xdr:blipFill>
      <xdr:spPr>
        <a:xfrm>
          <a:off x="887760" y="2934000"/>
          <a:ext cx="313560" cy="14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11</xdr:row>
      <xdr:rowOff>38880</xdr:rowOff>
    </xdr:from>
    <xdr:to>
      <xdr:col>1</xdr:col>
      <xdr:colOff>471960</xdr:colOff>
      <xdr:row>11</xdr:row>
      <xdr:rowOff>250920</xdr:rowOff>
    </xdr:to>
    <xdr:pic>
      <xdr:nvPicPr>
        <xdr:cNvPr id="1323" name="Imagem 4" descr=""/>
        <xdr:cNvPicPr/>
      </xdr:nvPicPr>
      <xdr:blipFill>
        <a:blip r:embed="rId2"/>
        <a:stretch/>
      </xdr:blipFill>
      <xdr:spPr>
        <a:xfrm>
          <a:off x="894960" y="320112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142920</xdr:colOff>
      <xdr:row>12</xdr:row>
      <xdr:rowOff>114840</xdr:rowOff>
    </xdr:from>
    <xdr:to>
      <xdr:col>1</xdr:col>
      <xdr:colOff>481680</xdr:colOff>
      <xdr:row>12</xdr:row>
      <xdr:rowOff>238320</xdr:rowOff>
    </xdr:to>
    <xdr:pic>
      <xdr:nvPicPr>
        <xdr:cNvPr id="1324" name="Imagem 5" descr=""/>
        <xdr:cNvPicPr/>
      </xdr:nvPicPr>
      <xdr:blipFill>
        <a:blip r:embed="rId3"/>
        <a:stretch/>
      </xdr:blipFill>
      <xdr:spPr>
        <a:xfrm>
          <a:off x="887760" y="360108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13</xdr:row>
      <xdr:rowOff>95760</xdr:rowOff>
    </xdr:from>
    <xdr:to>
      <xdr:col>1</xdr:col>
      <xdr:colOff>449280</xdr:colOff>
      <xdr:row>13</xdr:row>
      <xdr:rowOff>232200</xdr:rowOff>
    </xdr:to>
    <xdr:pic>
      <xdr:nvPicPr>
        <xdr:cNvPr id="1325" name="Imagem 6" descr=""/>
        <xdr:cNvPicPr/>
      </xdr:nvPicPr>
      <xdr:blipFill>
        <a:blip r:embed="rId4"/>
        <a:stretch/>
      </xdr:blipFill>
      <xdr:spPr>
        <a:xfrm>
          <a:off x="906840" y="390564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186840</xdr:colOff>
      <xdr:row>15</xdr:row>
      <xdr:rowOff>86400</xdr:rowOff>
    </xdr:from>
    <xdr:to>
      <xdr:col>1</xdr:col>
      <xdr:colOff>447120</xdr:colOff>
      <xdr:row>15</xdr:row>
      <xdr:rowOff>274680</xdr:rowOff>
    </xdr:to>
    <xdr:pic>
      <xdr:nvPicPr>
        <xdr:cNvPr id="1326" name="Imagem 7" descr=""/>
        <xdr:cNvPicPr/>
      </xdr:nvPicPr>
      <xdr:blipFill>
        <a:blip r:embed="rId5"/>
        <a:stretch/>
      </xdr:blipFill>
      <xdr:spPr>
        <a:xfrm>
          <a:off x="931680" y="454428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124920</xdr:colOff>
      <xdr:row>18</xdr:row>
      <xdr:rowOff>47160</xdr:rowOff>
    </xdr:from>
    <xdr:to>
      <xdr:col>1</xdr:col>
      <xdr:colOff>401400</xdr:colOff>
      <xdr:row>19</xdr:row>
      <xdr:rowOff>9720</xdr:rowOff>
    </xdr:to>
    <xdr:pic>
      <xdr:nvPicPr>
        <xdr:cNvPr id="1327" name="Imagem 8" descr=""/>
        <xdr:cNvPicPr/>
      </xdr:nvPicPr>
      <xdr:blipFill>
        <a:blip r:embed="rId6"/>
        <a:stretch/>
      </xdr:blipFill>
      <xdr:spPr>
        <a:xfrm>
          <a:off x="869760" y="5476320"/>
          <a:ext cx="276480" cy="24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115560</xdr:colOff>
      <xdr:row>19</xdr:row>
      <xdr:rowOff>28080</xdr:rowOff>
    </xdr:from>
    <xdr:to>
      <xdr:col>1</xdr:col>
      <xdr:colOff>392040</xdr:colOff>
      <xdr:row>19</xdr:row>
      <xdr:rowOff>276120</xdr:rowOff>
    </xdr:to>
    <xdr:pic>
      <xdr:nvPicPr>
        <xdr:cNvPr id="1328" name="Imagem 9" descr=""/>
        <xdr:cNvPicPr/>
      </xdr:nvPicPr>
      <xdr:blipFill>
        <a:blip r:embed="rId7"/>
        <a:stretch/>
      </xdr:blipFill>
      <xdr:spPr>
        <a:xfrm>
          <a:off x="860400" y="574308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134640</xdr:colOff>
      <xdr:row>16</xdr:row>
      <xdr:rowOff>75600</xdr:rowOff>
    </xdr:from>
    <xdr:to>
      <xdr:col>1</xdr:col>
      <xdr:colOff>403200</xdr:colOff>
      <xdr:row>16</xdr:row>
      <xdr:rowOff>284400</xdr:rowOff>
    </xdr:to>
    <xdr:pic>
      <xdr:nvPicPr>
        <xdr:cNvPr id="1329" name="Imagem 10" descr=""/>
        <xdr:cNvPicPr/>
      </xdr:nvPicPr>
      <xdr:blipFill>
        <a:blip r:embed="rId8"/>
        <a:stretch/>
      </xdr:blipFill>
      <xdr:spPr>
        <a:xfrm>
          <a:off x="879480" y="485712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203760</xdr:colOff>
      <xdr:row>17</xdr:row>
      <xdr:rowOff>54360</xdr:rowOff>
    </xdr:from>
    <xdr:to>
      <xdr:col>1</xdr:col>
      <xdr:colOff>433080</xdr:colOff>
      <xdr:row>17</xdr:row>
      <xdr:rowOff>239040</xdr:rowOff>
    </xdr:to>
    <xdr:pic>
      <xdr:nvPicPr>
        <xdr:cNvPr id="1330" name="Imagem 11" descr=""/>
        <xdr:cNvPicPr/>
      </xdr:nvPicPr>
      <xdr:blipFill>
        <a:blip r:embed="rId9"/>
        <a:stretch/>
      </xdr:blipFill>
      <xdr:spPr>
        <a:xfrm>
          <a:off x="948600" y="515988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114120</xdr:colOff>
      <xdr:row>5</xdr:row>
      <xdr:rowOff>57240</xdr:rowOff>
    </xdr:from>
    <xdr:to>
      <xdr:col>9</xdr:col>
      <xdr:colOff>675360</xdr:colOff>
      <xdr:row>8</xdr:row>
      <xdr:rowOff>285120</xdr:rowOff>
    </xdr:to>
    <xdr:pic>
      <xdr:nvPicPr>
        <xdr:cNvPr id="1331" name="Imagem 15" descr="">
          <a:hlinkClick r:id="rId10"/>
        </xdr:cNvPr>
        <xdr:cNvPicPr/>
      </xdr:nvPicPr>
      <xdr:blipFill>
        <a:blip r:embed="rId11"/>
        <a:stretch/>
      </xdr:blipFill>
      <xdr:spPr>
        <a:xfrm>
          <a:off x="3794040" y="1305000"/>
          <a:ext cx="2091600" cy="116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14</xdr:row>
      <xdr:rowOff>73080</xdr:rowOff>
    </xdr:from>
    <xdr:to>
      <xdr:col>1</xdr:col>
      <xdr:colOff>399240</xdr:colOff>
      <xdr:row>14</xdr:row>
      <xdr:rowOff>229680</xdr:rowOff>
    </xdr:to>
    <xdr:pic>
      <xdr:nvPicPr>
        <xdr:cNvPr id="1332" name="Imagem 12" descr=""/>
        <xdr:cNvPicPr/>
      </xdr:nvPicPr>
      <xdr:blipFill>
        <a:blip r:embed="rId12"/>
        <a:stretch/>
      </xdr:blipFill>
      <xdr:spPr>
        <a:xfrm>
          <a:off x="868680" y="4206960"/>
          <a:ext cx="275400" cy="1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2</xdr:row>
      <xdr:rowOff>47520</xdr:rowOff>
    </xdr:from>
    <xdr:to>
      <xdr:col>11</xdr:col>
      <xdr:colOff>469080</xdr:colOff>
      <xdr:row>2</xdr:row>
      <xdr:rowOff>189720</xdr:rowOff>
    </xdr:to>
    <xdr:pic>
      <xdr:nvPicPr>
        <xdr:cNvPr id="1333" name="Imagem 30" descr=""/>
        <xdr:cNvPicPr/>
      </xdr:nvPicPr>
      <xdr:blipFill>
        <a:blip r:embed="rId13"/>
        <a:stretch/>
      </xdr:blipFill>
      <xdr:spPr>
        <a:xfrm>
          <a:off x="6761520" y="552240"/>
          <a:ext cx="30708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3</xdr:row>
      <xdr:rowOff>19800</xdr:rowOff>
    </xdr:from>
    <xdr:to>
      <xdr:col>11</xdr:col>
      <xdr:colOff>471960</xdr:colOff>
      <xdr:row>3</xdr:row>
      <xdr:rowOff>231840</xdr:rowOff>
    </xdr:to>
    <xdr:pic>
      <xdr:nvPicPr>
        <xdr:cNvPr id="1334" name="Imagem 31" descr=""/>
        <xdr:cNvPicPr/>
      </xdr:nvPicPr>
      <xdr:blipFill>
        <a:blip r:embed="rId14"/>
        <a:stretch/>
      </xdr:blipFill>
      <xdr:spPr>
        <a:xfrm>
          <a:off x="6749640" y="772200"/>
          <a:ext cx="321840" cy="2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4</xdr:row>
      <xdr:rowOff>57960</xdr:rowOff>
    </xdr:from>
    <xdr:to>
      <xdr:col>11</xdr:col>
      <xdr:colOff>500760</xdr:colOff>
      <xdr:row>4</xdr:row>
      <xdr:rowOff>181440</xdr:rowOff>
    </xdr:to>
    <xdr:pic>
      <xdr:nvPicPr>
        <xdr:cNvPr id="1335" name="Imagem 32" descr=""/>
        <xdr:cNvPicPr/>
      </xdr:nvPicPr>
      <xdr:blipFill>
        <a:blip r:embed="rId15"/>
        <a:stretch/>
      </xdr:blipFill>
      <xdr:spPr>
        <a:xfrm>
          <a:off x="6761520" y="1058040"/>
          <a:ext cx="338760" cy="12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200160</xdr:colOff>
      <xdr:row>5</xdr:row>
      <xdr:rowOff>48240</xdr:rowOff>
    </xdr:from>
    <xdr:to>
      <xdr:col>11</xdr:col>
      <xdr:colOff>487440</xdr:colOff>
      <xdr:row>5</xdr:row>
      <xdr:rowOff>184680</xdr:rowOff>
    </xdr:to>
    <xdr:pic>
      <xdr:nvPicPr>
        <xdr:cNvPr id="1336" name="Imagem 33" descr=""/>
        <xdr:cNvPicPr/>
      </xdr:nvPicPr>
      <xdr:blipFill>
        <a:blip r:embed="rId16"/>
        <a:stretch/>
      </xdr:blipFill>
      <xdr:spPr>
        <a:xfrm>
          <a:off x="6799680" y="1296000"/>
          <a:ext cx="287280" cy="13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177120</xdr:colOff>
      <xdr:row>7</xdr:row>
      <xdr:rowOff>86400</xdr:rowOff>
    </xdr:from>
    <xdr:to>
      <xdr:col>11</xdr:col>
      <xdr:colOff>437400</xdr:colOff>
      <xdr:row>7</xdr:row>
      <xdr:rowOff>274680</xdr:rowOff>
    </xdr:to>
    <xdr:pic>
      <xdr:nvPicPr>
        <xdr:cNvPr id="1337" name="Imagem 34" descr=""/>
        <xdr:cNvPicPr/>
      </xdr:nvPicPr>
      <xdr:blipFill>
        <a:blip r:embed="rId17"/>
        <a:stretch/>
      </xdr:blipFill>
      <xdr:spPr>
        <a:xfrm>
          <a:off x="6776640" y="1962720"/>
          <a:ext cx="26028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144000</xdr:colOff>
      <xdr:row>8</xdr:row>
      <xdr:rowOff>84960</xdr:rowOff>
    </xdr:from>
    <xdr:to>
      <xdr:col>11</xdr:col>
      <xdr:colOff>412560</xdr:colOff>
      <xdr:row>8</xdr:row>
      <xdr:rowOff>293760</xdr:rowOff>
    </xdr:to>
    <xdr:pic>
      <xdr:nvPicPr>
        <xdr:cNvPr id="1338" name="Imagem 35" descr=""/>
        <xdr:cNvPicPr/>
      </xdr:nvPicPr>
      <xdr:blipFill>
        <a:blip r:embed="rId18"/>
        <a:stretch/>
      </xdr:blipFill>
      <xdr:spPr>
        <a:xfrm>
          <a:off x="6743520" y="2266200"/>
          <a:ext cx="268560" cy="20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213120</xdr:colOff>
      <xdr:row>9</xdr:row>
      <xdr:rowOff>73440</xdr:rowOff>
    </xdr:from>
    <xdr:to>
      <xdr:col>11</xdr:col>
      <xdr:colOff>442440</xdr:colOff>
      <xdr:row>9</xdr:row>
      <xdr:rowOff>258120</xdr:rowOff>
    </xdr:to>
    <xdr:pic>
      <xdr:nvPicPr>
        <xdr:cNvPr id="1339" name="Imagem 36" descr=""/>
        <xdr:cNvPicPr/>
      </xdr:nvPicPr>
      <xdr:blipFill>
        <a:blip r:embed="rId19"/>
        <a:stretch/>
      </xdr:blipFill>
      <xdr:spPr>
        <a:xfrm>
          <a:off x="6812640" y="2588040"/>
          <a:ext cx="22932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191880</xdr:colOff>
      <xdr:row>10</xdr:row>
      <xdr:rowOff>37440</xdr:rowOff>
    </xdr:from>
    <xdr:to>
      <xdr:col>11</xdr:col>
      <xdr:colOff>468360</xdr:colOff>
      <xdr:row>10</xdr:row>
      <xdr:rowOff>285480</xdr:rowOff>
    </xdr:to>
    <xdr:pic>
      <xdr:nvPicPr>
        <xdr:cNvPr id="1340" name="Imagem 37" descr=""/>
        <xdr:cNvPicPr/>
      </xdr:nvPicPr>
      <xdr:blipFill>
        <a:blip r:embed="rId20"/>
        <a:stretch/>
      </xdr:blipFill>
      <xdr:spPr>
        <a:xfrm>
          <a:off x="6791400" y="28760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142920</xdr:colOff>
      <xdr:row>6</xdr:row>
      <xdr:rowOff>120600</xdr:rowOff>
    </xdr:from>
    <xdr:to>
      <xdr:col>11</xdr:col>
      <xdr:colOff>418320</xdr:colOff>
      <xdr:row>6</xdr:row>
      <xdr:rowOff>277200</xdr:rowOff>
    </xdr:to>
    <xdr:pic>
      <xdr:nvPicPr>
        <xdr:cNvPr id="1341" name="Imagem 38" descr=""/>
        <xdr:cNvPicPr/>
      </xdr:nvPicPr>
      <xdr:blipFill>
        <a:blip r:embed="rId21"/>
        <a:stretch/>
      </xdr:blipFill>
      <xdr:spPr>
        <a:xfrm>
          <a:off x="6742440" y="1654200"/>
          <a:ext cx="275400" cy="156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324000</xdr:colOff>
      <xdr:row>5</xdr:row>
      <xdr:rowOff>57240</xdr:rowOff>
    </xdr:from>
    <xdr:to>
      <xdr:col>9</xdr:col>
      <xdr:colOff>56520</xdr:colOff>
      <xdr:row>8</xdr:row>
      <xdr:rowOff>285120</xdr:rowOff>
    </xdr:to>
    <xdr:pic>
      <xdr:nvPicPr>
        <xdr:cNvPr id="1342" name="Imagem 20" descr="">
          <a:hlinkClick r:id="rId1"/>
        </xdr:cNvPr>
        <xdr:cNvPicPr/>
      </xdr:nvPicPr>
      <xdr:blipFill>
        <a:blip r:embed="rId2"/>
        <a:stretch/>
      </xdr:blipFill>
      <xdr:spPr>
        <a:xfrm>
          <a:off x="4116240" y="1305000"/>
          <a:ext cx="1501560" cy="116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1343" name="Imagem 21" descr=""/>
        <xdr:cNvPicPr/>
      </xdr:nvPicPr>
      <xdr:blipFill>
        <a:blip r:embed="rId3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45000</xdr:colOff>
      <xdr:row>18</xdr:row>
      <xdr:rowOff>25200</xdr:rowOff>
    </xdr:from>
    <xdr:to>
      <xdr:col>1</xdr:col>
      <xdr:colOff>383040</xdr:colOff>
      <xdr:row>18</xdr:row>
      <xdr:rowOff>328680</xdr:rowOff>
    </xdr:to>
    <xdr:pic>
      <xdr:nvPicPr>
        <xdr:cNvPr id="1344" name="Imagem 22" descr=""/>
        <xdr:cNvPicPr/>
      </xdr:nvPicPr>
      <xdr:blipFill>
        <a:blip r:embed="rId4"/>
        <a:stretch/>
      </xdr:blipFill>
      <xdr:spPr>
        <a:xfrm>
          <a:off x="779760" y="54543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1345" name="Imagem 25" descr=""/>
        <xdr:cNvPicPr/>
      </xdr:nvPicPr>
      <xdr:blipFill>
        <a:blip r:embed="rId5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1346" name="Imagem 26" descr=""/>
        <xdr:cNvPicPr/>
      </xdr:nvPicPr>
      <xdr:blipFill>
        <a:blip r:embed="rId6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1347" name="Imagem 27" descr=""/>
        <xdr:cNvPicPr/>
      </xdr:nvPicPr>
      <xdr:blipFill>
        <a:blip r:embed="rId7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1348" name="Imagem 28" descr=""/>
        <xdr:cNvPicPr/>
      </xdr:nvPicPr>
      <xdr:blipFill>
        <a:blip r:embed="rId8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1349" name="Imagem 30" descr=""/>
        <xdr:cNvPicPr/>
      </xdr:nvPicPr>
      <xdr:blipFill>
        <a:blip r:embed="rId9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1350" name="Imagem 31" descr=""/>
        <xdr:cNvPicPr/>
      </xdr:nvPicPr>
      <xdr:blipFill>
        <a:blip r:embed="rId10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1351" name="Imagem 32" descr=""/>
        <xdr:cNvPicPr/>
      </xdr:nvPicPr>
      <xdr:blipFill>
        <a:blip r:embed="rId11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21</xdr:row>
      <xdr:rowOff>37800</xdr:rowOff>
    </xdr:from>
    <xdr:to>
      <xdr:col>1</xdr:col>
      <xdr:colOff>408600</xdr:colOff>
      <xdr:row>21</xdr:row>
      <xdr:rowOff>197280</xdr:rowOff>
    </xdr:to>
    <xdr:pic>
      <xdr:nvPicPr>
        <xdr:cNvPr id="1352" name="Imagem 3" descr=""/>
        <xdr:cNvPicPr/>
      </xdr:nvPicPr>
      <xdr:blipFill>
        <a:blip r:embed="rId12"/>
        <a:stretch/>
      </xdr:blipFill>
      <xdr:spPr>
        <a:xfrm>
          <a:off x="867960" y="6276600"/>
          <a:ext cx="275400" cy="15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22</xdr:row>
      <xdr:rowOff>31320</xdr:rowOff>
    </xdr:from>
    <xdr:to>
      <xdr:col>1</xdr:col>
      <xdr:colOff>361440</xdr:colOff>
      <xdr:row>22</xdr:row>
      <xdr:rowOff>200160</xdr:rowOff>
    </xdr:to>
    <xdr:pic>
      <xdr:nvPicPr>
        <xdr:cNvPr id="1353" name="Imagem 6" descr=""/>
        <xdr:cNvPicPr/>
      </xdr:nvPicPr>
      <xdr:blipFill>
        <a:blip r:embed="rId13"/>
        <a:stretch/>
      </xdr:blipFill>
      <xdr:spPr>
        <a:xfrm>
          <a:off x="884880" y="648936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23</xdr:row>
      <xdr:rowOff>19800</xdr:rowOff>
    </xdr:from>
    <xdr:to>
      <xdr:col>1</xdr:col>
      <xdr:colOff>384840</xdr:colOff>
      <xdr:row>23</xdr:row>
      <xdr:rowOff>180360</xdr:rowOff>
    </xdr:to>
    <xdr:pic>
      <xdr:nvPicPr>
        <xdr:cNvPr id="1354" name="Imagem 8" descr=""/>
        <xdr:cNvPicPr/>
      </xdr:nvPicPr>
      <xdr:blipFill>
        <a:blip r:embed="rId14"/>
        <a:stretch/>
      </xdr:blipFill>
      <xdr:spPr>
        <a:xfrm>
          <a:off x="858600" y="669672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24</xdr:row>
      <xdr:rowOff>57240</xdr:rowOff>
    </xdr:from>
    <xdr:to>
      <xdr:col>1</xdr:col>
      <xdr:colOff>314280</xdr:colOff>
      <xdr:row>24</xdr:row>
      <xdr:rowOff>190080</xdr:rowOff>
    </xdr:to>
    <xdr:pic>
      <xdr:nvPicPr>
        <xdr:cNvPr id="1355" name="Imagem 10" descr=""/>
        <xdr:cNvPicPr/>
      </xdr:nvPicPr>
      <xdr:blipFill>
        <a:blip r:embed="rId15"/>
        <a:stretch/>
      </xdr:blipFill>
      <xdr:spPr>
        <a:xfrm>
          <a:off x="846720" y="695340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24</xdr:row>
      <xdr:rowOff>217080</xdr:rowOff>
    </xdr:from>
    <xdr:to>
      <xdr:col>1</xdr:col>
      <xdr:colOff>288360</xdr:colOff>
      <xdr:row>25</xdr:row>
      <xdr:rowOff>208800</xdr:rowOff>
    </xdr:to>
    <xdr:pic>
      <xdr:nvPicPr>
        <xdr:cNvPr id="1356" name="Imagem 34" descr=""/>
        <xdr:cNvPicPr/>
      </xdr:nvPicPr>
      <xdr:blipFill>
        <a:blip r:embed="rId16"/>
        <a:stretch/>
      </xdr:blipFill>
      <xdr:spPr>
        <a:xfrm>
          <a:off x="830160" y="7113240"/>
          <a:ext cx="192960" cy="21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26</xdr:row>
      <xdr:rowOff>39960</xdr:rowOff>
    </xdr:from>
    <xdr:to>
      <xdr:col>1</xdr:col>
      <xdr:colOff>342000</xdr:colOff>
      <xdr:row>26</xdr:row>
      <xdr:rowOff>161280</xdr:rowOff>
    </xdr:to>
    <xdr:pic>
      <xdr:nvPicPr>
        <xdr:cNvPr id="1357" name="Imagem 36" descr=""/>
        <xdr:cNvPicPr/>
      </xdr:nvPicPr>
      <xdr:blipFill>
        <a:blip r:embed="rId17"/>
        <a:stretch/>
      </xdr:blipFill>
      <xdr:spPr>
        <a:xfrm>
          <a:off x="837000" y="737424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27</xdr:row>
      <xdr:rowOff>47520</xdr:rowOff>
    </xdr:from>
    <xdr:to>
      <xdr:col>1</xdr:col>
      <xdr:colOff>275760</xdr:colOff>
      <xdr:row>27</xdr:row>
      <xdr:rowOff>167040</xdr:rowOff>
    </xdr:to>
    <xdr:pic>
      <xdr:nvPicPr>
        <xdr:cNvPr id="1358" name="Imagem 38" descr=""/>
        <xdr:cNvPicPr/>
      </xdr:nvPicPr>
      <xdr:blipFill>
        <a:blip r:embed="rId18"/>
        <a:stretch/>
      </xdr:blipFill>
      <xdr:spPr>
        <a:xfrm>
          <a:off x="834840" y="760068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182160</xdr:colOff>
      <xdr:row>6</xdr:row>
      <xdr:rowOff>104040</xdr:rowOff>
    </xdr:from>
    <xdr:to>
      <xdr:col>11</xdr:col>
      <xdr:colOff>458640</xdr:colOff>
      <xdr:row>7</xdr:row>
      <xdr:rowOff>9360</xdr:rowOff>
    </xdr:to>
    <xdr:pic>
      <xdr:nvPicPr>
        <xdr:cNvPr id="1359" name="Imagem 47" descr=""/>
        <xdr:cNvPicPr/>
      </xdr:nvPicPr>
      <xdr:blipFill>
        <a:blip r:embed="rId19"/>
        <a:stretch/>
      </xdr:blipFill>
      <xdr:spPr>
        <a:xfrm>
          <a:off x="6730200" y="163764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164880</xdr:colOff>
      <xdr:row>5</xdr:row>
      <xdr:rowOff>113760</xdr:rowOff>
    </xdr:from>
    <xdr:to>
      <xdr:col>11</xdr:col>
      <xdr:colOff>515520</xdr:colOff>
      <xdr:row>6</xdr:row>
      <xdr:rowOff>32400</xdr:rowOff>
    </xdr:to>
    <xdr:pic>
      <xdr:nvPicPr>
        <xdr:cNvPr id="1360" name="Imagem 49" descr=""/>
        <xdr:cNvPicPr/>
      </xdr:nvPicPr>
      <xdr:blipFill>
        <a:blip r:embed="rId20"/>
        <a:stretch/>
      </xdr:blipFill>
      <xdr:spPr>
        <a:xfrm>
          <a:off x="6712920" y="136152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228960</xdr:colOff>
      <xdr:row>4</xdr:row>
      <xdr:rowOff>8640</xdr:rowOff>
    </xdr:from>
    <xdr:to>
      <xdr:col>11</xdr:col>
      <xdr:colOff>438480</xdr:colOff>
      <xdr:row>5</xdr:row>
      <xdr:rowOff>27720</xdr:rowOff>
    </xdr:to>
    <xdr:pic>
      <xdr:nvPicPr>
        <xdr:cNvPr id="1361" name="Imagem 50" descr=""/>
        <xdr:cNvPicPr/>
      </xdr:nvPicPr>
      <xdr:blipFill>
        <a:blip r:embed="rId21"/>
        <a:stretch/>
      </xdr:blipFill>
      <xdr:spPr>
        <a:xfrm>
          <a:off x="6777000" y="100872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248400</xdr:colOff>
      <xdr:row>3</xdr:row>
      <xdr:rowOff>75600</xdr:rowOff>
    </xdr:from>
    <xdr:to>
      <xdr:col>11</xdr:col>
      <xdr:colOff>454680</xdr:colOff>
      <xdr:row>3</xdr:row>
      <xdr:rowOff>238320</xdr:rowOff>
    </xdr:to>
    <xdr:pic>
      <xdr:nvPicPr>
        <xdr:cNvPr id="1362" name="Imagem 51" descr=""/>
        <xdr:cNvPicPr/>
      </xdr:nvPicPr>
      <xdr:blipFill>
        <a:blip r:embed="rId22"/>
        <a:stretch/>
      </xdr:blipFill>
      <xdr:spPr>
        <a:xfrm>
          <a:off x="6796440" y="82800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238680</xdr:colOff>
      <xdr:row>2</xdr:row>
      <xdr:rowOff>28440</xdr:rowOff>
    </xdr:from>
    <xdr:to>
      <xdr:col>11</xdr:col>
      <xdr:colOff>447480</xdr:colOff>
      <xdr:row>3</xdr:row>
      <xdr:rowOff>37080</xdr:rowOff>
    </xdr:to>
    <xdr:pic>
      <xdr:nvPicPr>
        <xdr:cNvPr id="1363" name="Imagem 52" descr=""/>
        <xdr:cNvPicPr/>
      </xdr:nvPicPr>
      <xdr:blipFill>
        <a:blip r:embed="rId23"/>
        <a:stretch/>
      </xdr:blipFill>
      <xdr:spPr>
        <a:xfrm>
          <a:off x="6786720" y="5331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1364" name="Imagem 3" descr=""/>
        <xdr:cNvPicPr/>
      </xdr:nvPicPr>
      <xdr:blipFill>
        <a:blip r:embed="rId1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1365" name="Imagem 5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1366" name="Imagem 6" descr=""/>
        <xdr:cNvPicPr/>
      </xdr:nvPicPr>
      <xdr:blipFill>
        <a:blip r:embed="rId3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1367" name="Imagem 7" descr=""/>
        <xdr:cNvPicPr/>
      </xdr:nvPicPr>
      <xdr:blipFill>
        <a:blip r:embed="rId4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1368" name="Imagem 8" descr=""/>
        <xdr:cNvPicPr/>
      </xdr:nvPicPr>
      <xdr:blipFill>
        <a:blip r:embed="rId5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1369" name="Imagem 9" descr=""/>
        <xdr:cNvPicPr/>
      </xdr:nvPicPr>
      <xdr:blipFill>
        <a:blip r:embed="rId6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1370" name="Imagem 10" descr=""/>
        <xdr:cNvPicPr/>
      </xdr:nvPicPr>
      <xdr:blipFill>
        <a:blip r:embed="rId7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1371" name="Imagem 11" descr=""/>
        <xdr:cNvPicPr/>
      </xdr:nvPicPr>
      <xdr:blipFill>
        <a:blip r:embed="rId8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21</xdr:row>
      <xdr:rowOff>37800</xdr:rowOff>
    </xdr:from>
    <xdr:to>
      <xdr:col>1</xdr:col>
      <xdr:colOff>408600</xdr:colOff>
      <xdr:row>21</xdr:row>
      <xdr:rowOff>197280</xdr:rowOff>
    </xdr:to>
    <xdr:pic>
      <xdr:nvPicPr>
        <xdr:cNvPr id="1372" name="Imagem 12" descr=""/>
        <xdr:cNvPicPr/>
      </xdr:nvPicPr>
      <xdr:blipFill>
        <a:blip r:embed="rId9"/>
        <a:stretch/>
      </xdr:blipFill>
      <xdr:spPr>
        <a:xfrm>
          <a:off x="867960" y="6276600"/>
          <a:ext cx="275400" cy="15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22</xdr:row>
      <xdr:rowOff>31320</xdr:rowOff>
    </xdr:from>
    <xdr:to>
      <xdr:col>1</xdr:col>
      <xdr:colOff>361440</xdr:colOff>
      <xdr:row>22</xdr:row>
      <xdr:rowOff>200160</xdr:rowOff>
    </xdr:to>
    <xdr:pic>
      <xdr:nvPicPr>
        <xdr:cNvPr id="1373" name="Imagem 13" descr=""/>
        <xdr:cNvPicPr/>
      </xdr:nvPicPr>
      <xdr:blipFill>
        <a:blip r:embed="rId10"/>
        <a:stretch/>
      </xdr:blipFill>
      <xdr:spPr>
        <a:xfrm>
          <a:off x="884880" y="648936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23</xdr:row>
      <xdr:rowOff>19800</xdr:rowOff>
    </xdr:from>
    <xdr:to>
      <xdr:col>1</xdr:col>
      <xdr:colOff>384840</xdr:colOff>
      <xdr:row>23</xdr:row>
      <xdr:rowOff>180360</xdr:rowOff>
    </xdr:to>
    <xdr:pic>
      <xdr:nvPicPr>
        <xdr:cNvPr id="1374" name="Imagem 14" descr=""/>
        <xdr:cNvPicPr/>
      </xdr:nvPicPr>
      <xdr:blipFill>
        <a:blip r:embed="rId11"/>
        <a:stretch/>
      </xdr:blipFill>
      <xdr:spPr>
        <a:xfrm>
          <a:off x="858600" y="669672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24</xdr:row>
      <xdr:rowOff>57240</xdr:rowOff>
    </xdr:from>
    <xdr:to>
      <xdr:col>1</xdr:col>
      <xdr:colOff>314280</xdr:colOff>
      <xdr:row>24</xdr:row>
      <xdr:rowOff>190080</xdr:rowOff>
    </xdr:to>
    <xdr:pic>
      <xdr:nvPicPr>
        <xdr:cNvPr id="1375" name="Imagem 15" descr=""/>
        <xdr:cNvPicPr/>
      </xdr:nvPicPr>
      <xdr:blipFill>
        <a:blip r:embed="rId12"/>
        <a:stretch/>
      </xdr:blipFill>
      <xdr:spPr>
        <a:xfrm>
          <a:off x="846720" y="695340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24</xdr:row>
      <xdr:rowOff>217080</xdr:rowOff>
    </xdr:from>
    <xdr:to>
      <xdr:col>1</xdr:col>
      <xdr:colOff>288360</xdr:colOff>
      <xdr:row>25</xdr:row>
      <xdr:rowOff>208800</xdr:rowOff>
    </xdr:to>
    <xdr:pic>
      <xdr:nvPicPr>
        <xdr:cNvPr id="1376" name="Imagem 16" descr=""/>
        <xdr:cNvPicPr/>
      </xdr:nvPicPr>
      <xdr:blipFill>
        <a:blip r:embed="rId13"/>
        <a:stretch/>
      </xdr:blipFill>
      <xdr:spPr>
        <a:xfrm>
          <a:off x="830160" y="7113240"/>
          <a:ext cx="192960" cy="21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26</xdr:row>
      <xdr:rowOff>39960</xdr:rowOff>
    </xdr:from>
    <xdr:to>
      <xdr:col>1</xdr:col>
      <xdr:colOff>342000</xdr:colOff>
      <xdr:row>26</xdr:row>
      <xdr:rowOff>161280</xdr:rowOff>
    </xdr:to>
    <xdr:pic>
      <xdr:nvPicPr>
        <xdr:cNvPr id="1377" name="Imagem 17" descr=""/>
        <xdr:cNvPicPr/>
      </xdr:nvPicPr>
      <xdr:blipFill>
        <a:blip r:embed="rId14"/>
        <a:stretch/>
      </xdr:blipFill>
      <xdr:spPr>
        <a:xfrm>
          <a:off x="837000" y="737424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27</xdr:row>
      <xdr:rowOff>47520</xdr:rowOff>
    </xdr:from>
    <xdr:to>
      <xdr:col>1</xdr:col>
      <xdr:colOff>275760</xdr:colOff>
      <xdr:row>27</xdr:row>
      <xdr:rowOff>167040</xdr:rowOff>
    </xdr:to>
    <xdr:pic>
      <xdr:nvPicPr>
        <xdr:cNvPr id="1378" name="Imagem 18" descr=""/>
        <xdr:cNvPicPr/>
      </xdr:nvPicPr>
      <xdr:blipFill>
        <a:blip r:embed="rId15"/>
        <a:stretch/>
      </xdr:blipFill>
      <xdr:spPr>
        <a:xfrm>
          <a:off x="834840" y="760068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142920</xdr:colOff>
      <xdr:row>5</xdr:row>
      <xdr:rowOff>95400</xdr:rowOff>
    </xdr:from>
    <xdr:to>
      <xdr:col>9</xdr:col>
      <xdr:colOff>485280</xdr:colOff>
      <xdr:row>8</xdr:row>
      <xdr:rowOff>237600</xdr:rowOff>
    </xdr:to>
    <xdr:pic>
      <xdr:nvPicPr>
        <xdr:cNvPr id="1379" name="Imagem 20" descr="">
          <a:hlinkClick r:id="rId16"/>
        </xdr:cNvPr>
        <xdr:cNvPicPr/>
      </xdr:nvPicPr>
      <xdr:blipFill>
        <a:blip r:embed="rId17"/>
        <a:stretch/>
      </xdr:blipFill>
      <xdr:spPr>
        <a:xfrm>
          <a:off x="3935160" y="1343160"/>
          <a:ext cx="2129400" cy="107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124920</xdr:colOff>
      <xdr:row>6</xdr:row>
      <xdr:rowOff>84960</xdr:rowOff>
    </xdr:from>
    <xdr:to>
      <xdr:col>11</xdr:col>
      <xdr:colOff>401400</xdr:colOff>
      <xdr:row>6</xdr:row>
      <xdr:rowOff>333000</xdr:rowOff>
    </xdr:to>
    <xdr:pic>
      <xdr:nvPicPr>
        <xdr:cNvPr id="1380" name="Imagem 19" descr=""/>
        <xdr:cNvPicPr/>
      </xdr:nvPicPr>
      <xdr:blipFill>
        <a:blip r:embed="rId18"/>
        <a:stretch/>
      </xdr:blipFill>
      <xdr:spPr>
        <a:xfrm>
          <a:off x="6927120" y="161856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107640</xdr:colOff>
      <xdr:row>5</xdr:row>
      <xdr:rowOff>94680</xdr:rowOff>
    </xdr:from>
    <xdr:to>
      <xdr:col>11</xdr:col>
      <xdr:colOff>458280</xdr:colOff>
      <xdr:row>6</xdr:row>
      <xdr:rowOff>13320</xdr:rowOff>
    </xdr:to>
    <xdr:pic>
      <xdr:nvPicPr>
        <xdr:cNvPr id="1381" name="Imagem 21" descr=""/>
        <xdr:cNvPicPr/>
      </xdr:nvPicPr>
      <xdr:blipFill>
        <a:blip r:embed="rId19"/>
        <a:stretch/>
      </xdr:blipFill>
      <xdr:spPr>
        <a:xfrm>
          <a:off x="6909840" y="134244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171720</xdr:colOff>
      <xdr:row>3</xdr:row>
      <xdr:rowOff>237240</xdr:rowOff>
    </xdr:from>
    <xdr:to>
      <xdr:col>11</xdr:col>
      <xdr:colOff>381240</xdr:colOff>
      <xdr:row>5</xdr:row>
      <xdr:rowOff>8640</xdr:rowOff>
    </xdr:to>
    <xdr:pic>
      <xdr:nvPicPr>
        <xdr:cNvPr id="1382" name="Imagem 22" descr=""/>
        <xdr:cNvPicPr/>
      </xdr:nvPicPr>
      <xdr:blipFill>
        <a:blip r:embed="rId20"/>
        <a:stretch/>
      </xdr:blipFill>
      <xdr:spPr>
        <a:xfrm>
          <a:off x="6973920" y="98964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191160</xdr:colOff>
      <xdr:row>3</xdr:row>
      <xdr:rowOff>56520</xdr:rowOff>
    </xdr:from>
    <xdr:to>
      <xdr:col>11</xdr:col>
      <xdr:colOff>397440</xdr:colOff>
      <xdr:row>3</xdr:row>
      <xdr:rowOff>219240</xdr:rowOff>
    </xdr:to>
    <xdr:pic>
      <xdr:nvPicPr>
        <xdr:cNvPr id="1383" name="Imagem 23" descr=""/>
        <xdr:cNvPicPr/>
      </xdr:nvPicPr>
      <xdr:blipFill>
        <a:blip r:embed="rId21"/>
        <a:stretch/>
      </xdr:blipFill>
      <xdr:spPr>
        <a:xfrm>
          <a:off x="6993360" y="808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181440</xdr:colOff>
      <xdr:row>2</xdr:row>
      <xdr:rowOff>9360</xdr:rowOff>
    </xdr:from>
    <xdr:to>
      <xdr:col>11</xdr:col>
      <xdr:colOff>390240</xdr:colOff>
      <xdr:row>3</xdr:row>
      <xdr:rowOff>18000</xdr:rowOff>
    </xdr:to>
    <xdr:pic>
      <xdr:nvPicPr>
        <xdr:cNvPr id="1384" name="Imagem 24" descr=""/>
        <xdr:cNvPicPr/>
      </xdr:nvPicPr>
      <xdr:blipFill>
        <a:blip r:embed="rId22"/>
        <a:stretch/>
      </xdr:blipFill>
      <xdr:spPr>
        <a:xfrm>
          <a:off x="6983640" y="51408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18</xdr:row>
      <xdr:rowOff>85680</xdr:rowOff>
    </xdr:from>
    <xdr:to>
      <xdr:col>1</xdr:col>
      <xdr:colOff>428040</xdr:colOff>
      <xdr:row>18</xdr:row>
      <xdr:rowOff>256320</xdr:rowOff>
    </xdr:to>
    <xdr:pic>
      <xdr:nvPicPr>
        <xdr:cNvPr id="1385" name="Imagem 2" descr=""/>
        <xdr:cNvPicPr/>
      </xdr:nvPicPr>
      <xdr:blipFill>
        <a:blip r:embed="rId23"/>
        <a:stretch/>
      </xdr:blipFill>
      <xdr:spPr>
        <a:xfrm>
          <a:off x="820440" y="551484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95400</xdr:colOff>
      <xdr:row>7</xdr:row>
      <xdr:rowOff>38160</xdr:rowOff>
    </xdr:from>
    <xdr:to>
      <xdr:col>11</xdr:col>
      <xdr:colOff>437760</xdr:colOff>
      <xdr:row>7</xdr:row>
      <xdr:rowOff>208800</xdr:rowOff>
    </xdr:to>
    <xdr:pic>
      <xdr:nvPicPr>
        <xdr:cNvPr id="1386" name="Imagem 25" descr=""/>
        <xdr:cNvPicPr/>
      </xdr:nvPicPr>
      <xdr:blipFill>
        <a:blip r:embed="rId24"/>
        <a:stretch/>
      </xdr:blipFill>
      <xdr:spPr>
        <a:xfrm>
          <a:off x="6897600" y="1914480"/>
          <a:ext cx="342360" cy="170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64080</xdr:colOff>
      <xdr:row>16</xdr:row>
      <xdr:rowOff>23040</xdr:rowOff>
    </xdr:from>
    <xdr:to>
      <xdr:col>1</xdr:col>
      <xdr:colOff>402120</xdr:colOff>
      <xdr:row>17</xdr:row>
      <xdr:rowOff>2520</xdr:rowOff>
    </xdr:to>
    <xdr:pic>
      <xdr:nvPicPr>
        <xdr:cNvPr id="1387" name="Imagem 2" descr=""/>
        <xdr:cNvPicPr/>
      </xdr:nvPicPr>
      <xdr:blipFill>
        <a:blip r:embed="rId1"/>
        <a:stretch/>
      </xdr:blipFill>
      <xdr:spPr>
        <a:xfrm>
          <a:off x="798840" y="48045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172080</xdr:colOff>
      <xdr:row>10</xdr:row>
      <xdr:rowOff>38160</xdr:rowOff>
    </xdr:from>
    <xdr:to>
      <xdr:col>1</xdr:col>
      <xdr:colOff>380880</xdr:colOff>
      <xdr:row>10</xdr:row>
      <xdr:rowOff>294480</xdr:rowOff>
    </xdr:to>
    <xdr:pic>
      <xdr:nvPicPr>
        <xdr:cNvPr id="1388" name="Imagem 3" descr=""/>
        <xdr:cNvPicPr/>
      </xdr:nvPicPr>
      <xdr:blipFill>
        <a:blip r:embed="rId2"/>
        <a:stretch/>
      </xdr:blipFill>
      <xdr:spPr>
        <a:xfrm>
          <a:off x="906840" y="2876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152640</xdr:colOff>
      <xdr:row>13</xdr:row>
      <xdr:rowOff>27720</xdr:rowOff>
    </xdr:from>
    <xdr:to>
      <xdr:col>1</xdr:col>
      <xdr:colOff>362160</xdr:colOff>
      <xdr:row>13</xdr:row>
      <xdr:rowOff>294480</xdr:rowOff>
    </xdr:to>
    <xdr:pic>
      <xdr:nvPicPr>
        <xdr:cNvPr id="1389" name="Imagem 4" descr=""/>
        <xdr:cNvPicPr/>
      </xdr:nvPicPr>
      <xdr:blipFill>
        <a:blip r:embed="rId3"/>
        <a:stretch/>
      </xdr:blipFill>
      <xdr:spPr>
        <a:xfrm>
          <a:off x="887400" y="383760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97920</xdr:colOff>
      <xdr:row>15</xdr:row>
      <xdr:rowOff>75600</xdr:rowOff>
    </xdr:from>
    <xdr:to>
      <xdr:col>1</xdr:col>
      <xdr:colOff>448560</xdr:colOff>
      <xdr:row>15</xdr:row>
      <xdr:rowOff>280080</xdr:rowOff>
    </xdr:to>
    <xdr:pic>
      <xdr:nvPicPr>
        <xdr:cNvPr id="1390" name="Imagem 5" descr=""/>
        <xdr:cNvPicPr/>
      </xdr:nvPicPr>
      <xdr:blipFill>
        <a:blip r:embed="rId4"/>
        <a:stretch/>
      </xdr:blipFill>
      <xdr:spPr>
        <a:xfrm>
          <a:off x="832680" y="45334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72720</xdr:colOff>
      <xdr:row>14</xdr:row>
      <xdr:rowOff>70200</xdr:rowOff>
    </xdr:from>
    <xdr:to>
      <xdr:col>1</xdr:col>
      <xdr:colOff>423360</xdr:colOff>
      <xdr:row>14</xdr:row>
      <xdr:rowOff>274680</xdr:rowOff>
    </xdr:to>
    <xdr:pic>
      <xdr:nvPicPr>
        <xdr:cNvPr id="1391" name="Imagem 6" descr=""/>
        <xdr:cNvPicPr/>
      </xdr:nvPicPr>
      <xdr:blipFill>
        <a:blip r:embed="rId5"/>
        <a:stretch/>
      </xdr:blipFill>
      <xdr:spPr>
        <a:xfrm>
          <a:off x="807480" y="420408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143640</xdr:colOff>
      <xdr:row>12</xdr:row>
      <xdr:rowOff>94680</xdr:rowOff>
    </xdr:from>
    <xdr:to>
      <xdr:col>1</xdr:col>
      <xdr:colOff>349920</xdr:colOff>
      <xdr:row>12</xdr:row>
      <xdr:rowOff>257400</xdr:rowOff>
    </xdr:to>
    <xdr:pic>
      <xdr:nvPicPr>
        <xdr:cNvPr id="1392" name="Imagem 7" descr=""/>
        <xdr:cNvPicPr/>
      </xdr:nvPicPr>
      <xdr:blipFill>
        <a:blip r:embed="rId6"/>
        <a:stretch/>
      </xdr:blipFill>
      <xdr:spPr>
        <a:xfrm>
          <a:off x="878400" y="358092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54720</xdr:colOff>
      <xdr:row>17</xdr:row>
      <xdr:rowOff>21240</xdr:rowOff>
    </xdr:from>
    <xdr:to>
      <xdr:col>1</xdr:col>
      <xdr:colOff>392760</xdr:colOff>
      <xdr:row>18</xdr:row>
      <xdr:rowOff>1080</xdr:rowOff>
    </xdr:to>
    <xdr:pic>
      <xdr:nvPicPr>
        <xdr:cNvPr id="1393" name="Imagem 8" descr=""/>
        <xdr:cNvPicPr/>
      </xdr:nvPicPr>
      <xdr:blipFill>
        <a:blip r:embed="rId7"/>
        <a:stretch/>
      </xdr:blipFill>
      <xdr:spPr>
        <a:xfrm>
          <a:off x="789480" y="5126760"/>
          <a:ext cx="33804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162360</xdr:colOff>
      <xdr:row>11</xdr:row>
      <xdr:rowOff>47520</xdr:rowOff>
    </xdr:from>
    <xdr:to>
      <xdr:col>1</xdr:col>
      <xdr:colOff>371160</xdr:colOff>
      <xdr:row>11</xdr:row>
      <xdr:rowOff>303840</xdr:rowOff>
    </xdr:to>
    <xdr:pic>
      <xdr:nvPicPr>
        <xdr:cNvPr id="1394" name="Imagem 9" descr=""/>
        <xdr:cNvPicPr/>
      </xdr:nvPicPr>
      <xdr:blipFill>
        <a:blip r:embed="rId8"/>
        <a:stretch/>
      </xdr:blipFill>
      <xdr:spPr>
        <a:xfrm>
          <a:off x="897120" y="320976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21</xdr:row>
      <xdr:rowOff>37800</xdr:rowOff>
    </xdr:from>
    <xdr:to>
      <xdr:col>1</xdr:col>
      <xdr:colOff>408600</xdr:colOff>
      <xdr:row>21</xdr:row>
      <xdr:rowOff>197280</xdr:rowOff>
    </xdr:to>
    <xdr:pic>
      <xdr:nvPicPr>
        <xdr:cNvPr id="1395" name="Imagem 10" descr=""/>
        <xdr:cNvPicPr/>
      </xdr:nvPicPr>
      <xdr:blipFill>
        <a:blip r:embed="rId9"/>
        <a:stretch/>
      </xdr:blipFill>
      <xdr:spPr>
        <a:xfrm>
          <a:off x="867960" y="6276600"/>
          <a:ext cx="275400" cy="15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150120</xdr:colOff>
      <xdr:row>22</xdr:row>
      <xdr:rowOff>31320</xdr:rowOff>
    </xdr:from>
    <xdr:to>
      <xdr:col>1</xdr:col>
      <xdr:colOff>361440</xdr:colOff>
      <xdr:row>22</xdr:row>
      <xdr:rowOff>200160</xdr:rowOff>
    </xdr:to>
    <xdr:pic>
      <xdr:nvPicPr>
        <xdr:cNvPr id="1396" name="Imagem 11" descr=""/>
        <xdr:cNvPicPr/>
      </xdr:nvPicPr>
      <xdr:blipFill>
        <a:blip r:embed="rId10"/>
        <a:stretch/>
      </xdr:blipFill>
      <xdr:spPr>
        <a:xfrm>
          <a:off x="884880" y="6489360"/>
          <a:ext cx="21132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123840</xdr:colOff>
      <xdr:row>23</xdr:row>
      <xdr:rowOff>19800</xdr:rowOff>
    </xdr:from>
    <xdr:to>
      <xdr:col>1</xdr:col>
      <xdr:colOff>384840</xdr:colOff>
      <xdr:row>23</xdr:row>
      <xdr:rowOff>180360</xdr:rowOff>
    </xdr:to>
    <xdr:pic>
      <xdr:nvPicPr>
        <xdr:cNvPr id="1397" name="Imagem 12" descr=""/>
        <xdr:cNvPicPr/>
      </xdr:nvPicPr>
      <xdr:blipFill>
        <a:blip r:embed="rId11"/>
        <a:stretch/>
      </xdr:blipFill>
      <xdr:spPr>
        <a:xfrm>
          <a:off x="858600" y="6696720"/>
          <a:ext cx="26100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111960</xdr:colOff>
      <xdr:row>24</xdr:row>
      <xdr:rowOff>57240</xdr:rowOff>
    </xdr:from>
    <xdr:to>
      <xdr:col>1</xdr:col>
      <xdr:colOff>314280</xdr:colOff>
      <xdr:row>24</xdr:row>
      <xdr:rowOff>190080</xdr:rowOff>
    </xdr:to>
    <xdr:pic>
      <xdr:nvPicPr>
        <xdr:cNvPr id="1398" name="Imagem 13" descr=""/>
        <xdr:cNvPicPr/>
      </xdr:nvPicPr>
      <xdr:blipFill>
        <a:blip r:embed="rId12"/>
        <a:stretch/>
      </xdr:blipFill>
      <xdr:spPr>
        <a:xfrm>
          <a:off x="846720" y="6953400"/>
          <a:ext cx="2023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24</xdr:row>
      <xdr:rowOff>217080</xdr:rowOff>
    </xdr:from>
    <xdr:to>
      <xdr:col>1</xdr:col>
      <xdr:colOff>288360</xdr:colOff>
      <xdr:row>25</xdr:row>
      <xdr:rowOff>208800</xdr:rowOff>
    </xdr:to>
    <xdr:pic>
      <xdr:nvPicPr>
        <xdr:cNvPr id="1399" name="Imagem 14" descr=""/>
        <xdr:cNvPicPr/>
      </xdr:nvPicPr>
      <xdr:blipFill>
        <a:blip r:embed="rId13"/>
        <a:stretch/>
      </xdr:blipFill>
      <xdr:spPr>
        <a:xfrm>
          <a:off x="830160" y="7113240"/>
          <a:ext cx="192960" cy="21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102240</xdr:colOff>
      <xdr:row>26</xdr:row>
      <xdr:rowOff>39960</xdr:rowOff>
    </xdr:from>
    <xdr:to>
      <xdr:col>1</xdr:col>
      <xdr:colOff>342000</xdr:colOff>
      <xdr:row>26</xdr:row>
      <xdr:rowOff>161280</xdr:rowOff>
    </xdr:to>
    <xdr:pic>
      <xdr:nvPicPr>
        <xdr:cNvPr id="1400" name="Imagem 15" descr=""/>
        <xdr:cNvPicPr/>
      </xdr:nvPicPr>
      <xdr:blipFill>
        <a:blip r:embed="rId14"/>
        <a:stretch/>
      </xdr:blipFill>
      <xdr:spPr>
        <a:xfrm>
          <a:off x="837000" y="7374240"/>
          <a:ext cx="239760" cy="12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27</xdr:row>
      <xdr:rowOff>47520</xdr:rowOff>
    </xdr:from>
    <xdr:to>
      <xdr:col>1</xdr:col>
      <xdr:colOff>275760</xdr:colOff>
      <xdr:row>27</xdr:row>
      <xdr:rowOff>167040</xdr:rowOff>
    </xdr:to>
    <xdr:pic>
      <xdr:nvPicPr>
        <xdr:cNvPr id="1401" name="Imagem 16" descr=""/>
        <xdr:cNvPicPr/>
      </xdr:nvPicPr>
      <xdr:blipFill>
        <a:blip r:embed="rId15"/>
        <a:stretch/>
      </xdr:blipFill>
      <xdr:spPr>
        <a:xfrm>
          <a:off x="834840" y="7600680"/>
          <a:ext cx="175680" cy="11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228600</xdr:colOff>
      <xdr:row>5</xdr:row>
      <xdr:rowOff>85680</xdr:rowOff>
    </xdr:from>
    <xdr:to>
      <xdr:col>8</xdr:col>
      <xdr:colOff>556560</xdr:colOff>
      <xdr:row>8</xdr:row>
      <xdr:rowOff>275400</xdr:rowOff>
    </xdr:to>
    <xdr:pic>
      <xdr:nvPicPr>
        <xdr:cNvPr id="1402" name="Imagem 18" descr="">
          <a:hlinkClick r:id="rId16"/>
        </xdr:cNvPr>
        <xdr:cNvPicPr/>
      </xdr:nvPicPr>
      <xdr:blipFill>
        <a:blip r:embed="rId17"/>
        <a:stretch/>
      </xdr:blipFill>
      <xdr:spPr>
        <a:xfrm>
          <a:off x="4584600" y="1333440"/>
          <a:ext cx="939600" cy="112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77400</xdr:colOff>
      <xdr:row>6</xdr:row>
      <xdr:rowOff>56520</xdr:rowOff>
    </xdr:from>
    <xdr:to>
      <xdr:col>11</xdr:col>
      <xdr:colOff>353880</xdr:colOff>
      <xdr:row>6</xdr:row>
      <xdr:rowOff>304560</xdr:rowOff>
    </xdr:to>
    <xdr:pic>
      <xdr:nvPicPr>
        <xdr:cNvPr id="1403" name="Imagem 19" descr=""/>
        <xdr:cNvPicPr/>
      </xdr:nvPicPr>
      <xdr:blipFill>
        <a:blip r:embed="rId18"/>
        <a:stretch/>
      </xdr:blipFill>
      <xdr:spPr>
        <a:xfrm>
          <a:off x="6852240" y="1590120"/>
          <a:ext cx="276480" cy="24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60120</xdr:colOff>
      <xdr:row>5</xdr:row>
      <xdr:rowOff>104040</xdr:rowOff>
    </xdr:from>
    <xdr:to>
      <xdr:col>11</xdr:col>
      <xdr:colOff>410760</xdr:colOff>
      <xdr:row>6</xdr:row>
      <xdr:rowOff>22680</xdr:rowOff>
    </xdr:to>
    <xdr:pic>
      <xdr:nvPicPr>
        <xdr:cNvPr id="1404" name="Imagem 20" descr=""/>
        <xdr:cNvPicPr/>
      </xdr:nvPicPr>
      <xdr:blipFill>
        <a:blip r:embed="rId19"/>
        <a:stretch/>
      </xdr:blipFill>
      <xdr:spPr>
        <a:xfrm>
          <a:off x="6834960" y="1351800"/>
          <a:ext cx="350640" cy="20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124200</xdr:colOff>
      <xdr:row>4</xdr:row>
      <xdr:rowOff>-720</xdr:rowOff>
    </xdr:from>
    <xdr:to>
      <xdr:col>11</xdr:col>
      <xdr:colOff>333720</xdr:colOff>
      <xdr:row>5</xdr:row>
      <xdr:rowOff>18360</xdr:rowOff>
    </xdr:to>
    <xdr:pic>
      <xdr:nvPicPr>
        <xdr:cNvPr id="1405" name="Imagem 21" descr=""/>
        <xdr:cNvPicPr/>
      </xdr:nvPicPr>
      <xdr:blipFill>
        <a:blip r:embed="rId20"/>
        <a:stretch/>
      </xdr:blipFill>
      <xdr:spPr>
        <a:xfrm>
          <a:off x="6899040" y="999360"/>
          <a:ext cx="209520" cy="2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143640</xdr:colOff>
      <xdr:row>3</xdr:row>
      <xdr:rowOff>65880</xdr:rowOff>
    </xdr:from>
    <xdr:to>
      <xdr:col>11</xdr:col>
      <xdr:colOff>349920</xdr:colOff>
      <xdr:row>3</xdr:row>
      <xdr:rowOff>228600</xdr:rowOff>
    </xdr:to>
    <xdr:pic>
      <xdr:nvPicPr>
        <xdr:cNvPr id="1406" name="Imagem 22" descr=""/>
        <xdr:cNvPicPr/>
      </xdr:nvPicPr>
      <xdr:blipFill>
        <a:blip r:embed="rId21"/>
        <a:stretch/>
      </xdr:blipFill>
      <xdr:spPr>
        <a:xfrm>
          <a:off x="6918480" y="818280"/>
          <a:ext cx="206280" cy="1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133920</xdr:colOff>
      <xdr:row>2</xdr:row>
      <xdr:rowOff>19080</xdr:rowOff>
    </xdr:from>
    <xdr:to>
      <xdr:col>11</xdr:col>
      <xdr:colOff>342720</xdr:colOff>
      <xdr:row>3</xdr:row>
      <xdr:rowOff>27720</xdr:rowOff>
    </xdr:to>
    <xdr:pic>
      <xdr:nvPicPr>
        <xdr:cNvPr id="1407" name="Imagem 23" descr=""/>
        <xdr:cNvPicPr/>
      </xdr:nvPicPr>
      <xdr:blipFill>
        <a:blip r:embed="rId22"/>
        <a:stretch/>
      </xdr:blipFill>
      <xdr:spPr>
        <a:xfrm>
          <a:off x="6908760" y="523800"/>
          <a:ext cx="208800" cy="25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47520</xdr:colOff>
      <xdr:row>7</xdr:row>
      <xdr:rowOff>47520</xdr:rowOff>
    </xdr:from>
    <xdr:to>
      <xdr:col>11</xdr:col>
      <xdr:colOff>389880</xdr:colOff>
      <xdr:row>7</xdr:row>
      <xdr:rowOff>218160</xdr:rowOff>
    </xdr:to>
    <xdr:pic>
      <xdr:nvPicPr>
        <xdr:cNvPr id="1408" name="Imagem 24" descr=""/>
        <xdr:cNvPicPr/>
      </xdr:nvPicPr>
      <xdr:blipFill>
        <a:blip r:embed="rId23"/>
        <a:stretch/>
      </xdr:blipFill>
      <xdr:spPr>
        <a:xfrm>
          <a:off x="6822360" y="1923840"/>
          <a:ext cx="342360" cy="1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18</xdr:row>
      <xdr:rowOff>95400</xdr:rowOff>
    </xdr:from>
    <xdr:to>
      <xdr:col>1</xdr:col>
      <xdr:colOff>408960</xdr:colOff>
      <xdr:row>18</xdr:row>
      <xdr:rowOff>266040</xdr:rowOff>
    </xdr:to>
    <xdr:pic>
      <xdr:nvPicPr>
        <xdr:cNvPr id="1409" name="Imagem 25" descr=""/>
        <xdr:cNvPicPr/>
      </xdr:nvPicPr>
      <xdr:blipFill>
        <a:blip r:embed="rId24"/>
        <a:stretch/>
      </xdr:blipFill>
      <xdr:spPr>
        <a:xfrm>
          <a:off x="801360" y="5524560"/>
          <a:ext cx="342360" cy="170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96120</xdr:colOff>
      <xdr:row>4</xdr:row>
      <xdr:rowOff>123840</xdr:rowOff>
    </xdr:from>
    <xdr:to>
      <xdr:col>9</xdr:col>
      <xdr:colOff>513720</xdr:colOff>
      <xdr:row>8</xdr:row>
      <xdr:rowOff>279720</xdr:rowOff>
    </xdr:to>
    <xdr:pic>
      <xdr:nvPicPr>
        <xdr:cNvPr id="81" name="Imagem 1" descr="">
          <a:hlinkClick r:id="rId1"/>
        </xdr:cNvPr>
        <xdr:cNvPicPr/>
      </xdr:nvPicPr>
      <xdr:blipFill>
        <a:blip r:embed="rId2"/>
        <a:stretch/>
      </xdr:blipFill>
      <xdr:spPr>
        <a:xfrm>
          <a:off x="5063760" y="1123920"/>
          <a:ext cx="1029240" cy="133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9</xdr:row>
      <xdr:rowOff>266760</xdr:rowOff>
    </xdr:from>
    <xdr:to>
      <xdr:col>2</xdr:col>
      <xdr:colOff>151560</xdr:colOff>
      <xdr:row>11</xdr:row>
      <xdr:rowOff>65880</xdr:rowOff>
    </xdr:to>
    <xdr:pic>
      <xdr:nvPicPr>
        <xdr:cNvPr id="82" name="Imagem 2" descr=""/>
        <xdr:cNvPicPr/>
      </xdr:nvPicPr>
      <xdr:blipFill>
        <a:blip r:embed="rId3"/>
        <a:stretch/>
      </xdr:blipFill>
      <xdr:spPr>
        <a:xfrm>
          <a:off x="476280" y="278136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10</xdr:row>
      <xdr:rowOff>257040</xdr:rowOff>
    </xdr:from>
    <xdr:to>
      <xdr:col>2</xdr:col>
      <xdr:colOff>151560</xdr:colOff>
      <xdr:row>12</xdr:row>
      <xdr:rowOff>56160</xdr:rowOff>
    </xdr:to>
    <xdr:pic>
      <xdr:nvPicPr>
        <xdr:cNvPr id="83" name="Imagem 3" descr=""/>
        <xdr:cNvPicPr/>
      </xdr:nvPicPr>
      <xdr:blipFill>
        <a:blip r:embed="rId4"/>
        <a:stretch/>
      </xdr:blipFill>
      <xdr:spPr>
        <a:xfrm>
          <a:off x="476280" y="309564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13</xdr:row>
      <xdr:rowOff>33120</xdr:rowOff>
    </xdr:from>
    <xdr:to>
      <xdr:col>1</xdr:col>
      <xdr:colOff>513360</xdr:colOff>
      <xdr:row>13</xdr:row>
      <xdr:rowOff>263520</xdr:rowOff>
    </xdr:to>
    <xdr:pic>
      <xdr:nvPicPr>
        <xdr:cNvPr id="84" name="Imagem 4" descr=""/>
        <xdr:cNvPicPr/>
      </xdr:nvPicPr>
      <xdr:blipFill>
        <a:blip r:embed="rId5"/>
        <a:stretch/>
      </xdr:blipFill>
      <xdr:spPr>
        <a:xfrm>
          <a:off x="782280" y="384300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14</xdr:row>
      <xdr:rowOff>52200</xdr:rowOff>
    </xdr:from>
    <xdr:to>
      <xdr:col>1</xdr:col>
      <xdr:colOff>513360</xdr:colOff>
      <xdr:row>14</xdr:row>
      <xdr:rowOff>282600</xdr:rowOff>
    </xdr:to>
    <xdr:pic>
      <xdr:nvPicPr>
        <xdr:cNvPr id="85" name="Imagem 5" descr=""/>
        <xdr:cNvPicPr/>
      </xdr:nvPicPr>
      <xdr:blipFill>
        <a:blip r:embed="rId6"/>
        <a:stretch/>
      </xdr:blipFill>
      <xdr:spPr>
        <a:xfrm>
          <a:off x="782280" y="418608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476280</xdr:colOff>
      <xdr:row>11</xdr:row>
      <xdr:rowOff>266760</xdr:rowOff>
    </xdr:from>
    <xdr:to>
      <xdr:col>2</xdr:col>
      <xdr:colOff>151560</xdr:colOff>
      <xdr:row>13</xdr:row>
      <xdr:rowOff>65880</xdr:rowOff>
    </xdr:to>
    <xdr:pic>
      <xdr:nvPicPr>
        <xdr:cNvPr id="86" name="Imagem 6" descr=""/>
        <xdr:cNvPicPr/>
      </xdr:nvPicPr>
      <xdr:blipFill>
        <a:blip r:embed="rId7"/>
        <a:stretch/>
      </xdr:blipFill>
      <xdr:spPr>
        <a:xfrm>
          <a:off x="476280" y="3429000"/>
          <a:ext cx="102132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85680</xdr:colOff>
      <xdr:row>15</xdr:row>
      <xdr:rowOff>38160</xdr:rowOff>
    </xdr:from>
    <xdr:to>
      <xdr:col>1</xdr:col>
      <xdr:colOff>538200</xdr:colOff>
      <xdr:row>15</xdr:row>
      <xdr:rowOff>313920</xdr:rowOff>
    </xdr:to>
    <xdr:pic>
      <xdr:nvPicPr>
        <xdr:cNvPr id="87" name="Imagem 10" descr=""/>
        <xdr:cNvPicPr/>
      </xdr:nvPicPr>
      <xdr:blipFill>
        <a:blip r:embed="rId8"/>
        <a:stretch/>
      </xdr:blipFill>
      <xdr:spPr>
        <a:xfrm>
          <a:off x="820440" y="44960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16</xdr:row>
      <xdr:rowOff>19080</xdr:rowOff>
    </xdr:from>
    <xdr:to>
      <xdr:col>1</xdr:col>
      <xdr:colOff>312480</xdr:colOff>
      <xdr:row>16</xdr:row>
      <xdr:rowOff>256680</xdr:rowOff>
    </xdr:to>
    <xdr:pic>
      <xdr:nvPicPr>
        <xdr:cNvPr id="88" name="Imagem 14" descr=""/>
        <xdr:cNvPicPr/>
      </xdr:nvPicPr>
      <xdr:blipFill>
        <a:blip r:embed="rId9"/>
        <a:stretch/>
      </xdr:blipFill>
      <xdr:spPr>
        <a:xfrm>
          <a:off x="801360" y="4800600"/>
          <a:ext cx="2458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457200</xdr:colOff>
      <xdr:row>1</xdr:row>
      <xdr:rowOff>142920</xdr:rowOff>
    </xdr:from>
    <xdr:to>
      <xdr:col>12</xdr:col>
      <xdr:colOff>218520</xdr:colOff>
      <xdr:row>3</xdr:row>
      <xdr:rowOff>94680</xdr:rowOff>
    </xdr:to>
    <xdr:pic>
      <xdr:nvPicPr>
        <xdr:cNvPr id="89" name="Imagem 16" descr=""/>
        <xdr:cNvPicPr/>
      </xdr:nvPicPr>
      <xdr:blipFill>
        <a:blip r:embed="rId10"/>
        <a:stretch/>
      </xdr:blipFill>
      <xdr:spPr>
        <a:xfrm>
          <a:off x="6647760" y="399960"/>
          <a:ext cx="101736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3</xdr:row>
      <xdr:rowOff>14040</xdr:rowOff>
    </xdr:from>
    <xdr:to>
      <xdr:col>11</xdr:col>
      <xdr:colOff>570600</xdr:colOff>
      <xdr:row>3</xdr:row>
      <xdr:rowOff>244440</xdr:rowOff>
    </xdr:to>
    <xdr:pic>
      <xdr:nvPicPr>
        <xdr:cNvPr id="90" name="Imagem 17" descr=""/>
        <xdr:cNvPicPr/>
      </xdr:nvPicPr>
      <xdr:blipFill>
        <a:blip r:embed="rId11"/>
        <a:stretch/>
      </xdr:blipFill>
      <xdr:spPr>
        <a:xfrm>
          <a:off x="6940080" y="766440"/>
          <a:ext cx="465840" cy="23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4</xdr:row>
      <xdr:rowOff>9360</xdr:rowOff>
    </xdr:from>
    <xdr:to>
      <xdr:col>11</xdr:col>
      <xdr:colOff>585720</xdr:colOff>
      <xdr:row>5</xdr:row>
      <xdr:rowOff>37440</xdr:rowOff>
    </xdr:to>
    <xdr:pic>
      <xdr:nvPicPr>
        <xdr:cNvPr id="91" name="Imagem 19" descr=""/>
        <xdr:cNvPicPr/>
      </xdr:nvPicPr>
      <xdr:blipFill>
        <a:blip r:embed="rId12"/>
        <a:stretch/>
      </xdr:blipFill>
      <xdr:spPr>
        <a:xfrm>
          <a:off x="6968520" y="1009440"/>
          <a:ext cx="4525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295200</xdr:colOff>
      <xdr:row>5</xdr:row>
      <xdr:rowOff>47520</xdr:rowOff>
    </xdr:from>
    <xdr:to>
      <xdr:col>11</xdr:col>
      <xdr:colOff>541080</xdr:colOff>
      <xdr:row>5</xdr:row>
      <xdr:rowOff>285480</xdr:rowOff>
    </xdr:to>
    <xdr:pic>
      <xdr:nvPicPr>
        <xdr:cNvPr id="92" name="Imagem 20" descr=""/>
        <xdr:cNvPicPr/>
      </xdr:nvPicPr>
      <xdr:blipFill>
        <a:blip r:embed="rId13"/>
        <a:stretch/>
      </xdr:blipFill>
      <xdr:spPr>
        <a:xfrm>
          <a:off x="7130520" y="1295280"/>
          <a:ext cx="245880" cy="237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73800</xdr:colOff>
      <xdr:row>11</xdr:row>
      <xdr:rowOff>71280</xdr:rowOff>
    </xdr:from>
    <xdr:to>
      <xdr:col>1</xdr:col>
      <xdr:colOff>323280</xdr:colOff>
      <xdr:row>11</xdr:row>
      <xdr:rowOff>262440</xdr:rowOff>
    </xdr:to>
    <xdr:pic>
      <xdr:nvPicPr>
        <xdr:cNvPr id="93" name="Imagem 1" descr=""/>
        <xdr:cNvPicPr/>
      </xdr:nvPicPr>
      <xdr:blipFill>
        <a:blip r:embed="rId1"/>
        <a:stretch/>
      </xdr:blipFill>
      <xdr:spPr>
        <a:xfrm>
          <a:off x="818640" y="323352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12</xdr:row>
      <xdr:rowOff>95400</xdr:rowOff>
    </xdr:from>
    <xdr:to>
      <xdr:col>1</xdr:col>
      <xdr:colOff>294840</xdr:colOff>
      <xdr:row>12</xdr:row>
      <xdr:rowOff>263520</xdr:rowOff>
    </xdr:to>
    <xdr:pic>
      <xdr:nvPicPr>
        <xdr:cNvPr id="94" name="Imagem 2" descr=""/>
        <xdr:cNvPicPr/>
      </xdr:nvPicPr>
      <xdr:blipFill>
        <a:blip r:embed="rId2"/>
        <a:stretch/>
      </xdr:blipFill>
      <xdr:spPr>
        <a:xfrm>
          <a:off x="844920" y="358164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10</xdr:row>
      <xdr:rowOff>61560</xdr:rowOff>
    </xdr:from>
    <xdr:to>
      <xdr:col>1</xdr:col>
      <xdr:colOff>323280</xdr:colOff>
      <xdr:row>10</xdr:row>
      <xdr:rowOff>252720</xdr:rowOff>
    </xdr:to>
    <xdr:pic>
      <xdr:nvPicPr>
        <xdr:cNvPr id="95" name="Imagem 3" descr=""/>
        <xdr:cNvPicPr/>
      </xdr:nvPicPr>
      <xdr:blipFill>
        <a:blip r:embed="rId3"/>
        <a:stretch/>
      </xdr:blipFill>
      <xdr:spPr>
        <a:xfrm>
          <a:off x="818640" y="290016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19080</xdr:rowOff>
    </xdr:from>
    <xdr:to>
      <xdr:col>1</xdr:col>
      <xdr:colOff>474480</xdr:colOff>
      <xdr:row>14</xdr:row>
      <xdr:rowOff>9000</xdr:rowOff>
    </xdr:to>
    <xdr:pic>
      <xdr:nvPicPr>
        <xdr:cNvPr id="96" name="Imagem 4" descr=""/>
        <xdr:cNvPicPr/>
      </xdr:nvPicPr>
      <xdr:blipFill>
        <a:blip r:embed="rId4"/>
        <a:stretch/>
      </xdr:blipFill>
      <xdr:spPr>
        <a:xfrm>
          <a:off x="811440" y="3828960"/>
          <a:ext cx="40788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166680</xdr:colOff>
      <xdr:row>3</xdr:row>
      <xdr:rowOff>52920</xdr:rowOff>
    </xdr:from>
    <xdr:to>
      <xdr:col>11</xdr:col>
      <xdr:colOff>361440</xdr:colOff>
      <xdr:row>3</xdr:row>
      <xdr:rowOff>221040</xdr:rowOff>
    </xdr:to>
    <xdr:pic>
      <xdr:nvPicPr>
        <xdr:cNvPr id="97" name="Imagem 5" descr=""/>
        <xdr:cNvPicPr/>
      </xdr:nvPicPr>
      <xdr:blipFill>
        <a:blip r:embed="rId5"/>
        <a:stretch/>
      </xdr:blipFill>
      <xdr:spPr>
        <a:xfrm>
          <a:off x="6766200" y="80532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2</xdr:row>
      <xdr:rowOff>47520</xdr:rowOff>
    </xdr:from>
    <xdr:to>
      <xdr:col>11</xdr:col>
      <xdr:colOff>399600</xdr:colOff>
      <xdr:row>2</xdr:row>
      <xdr:rowOff>238680</xdr:rowOff>
    </xdr:to>
    <xdr:pic>
      <xdr:nvPicPr>
        <xdr:cNvPr id="98" name="Imagem 6" descr=""/>
        <xdr:cNvPicPr/>
      </xdr:nvPicPr>
      <xdr:blipFill>
        <a:blip r:embed="rId6"/>
        <a:stretch/>
      </xdr:blipFill>
      <xdr:spPr>
        <a:xfrm>
          <a:off x="6749640" y="55224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195480</xdr:rowOff>
    </xdr:from>
    <xdr:to>
      <xdr:col>11</xdr:col>
      <xdr:colOff>493560</xdr:colOff>
      <xdr:row>5</xdr:row>
      <xdr:rowOff>13680</xdr:rowOff>
    </xdr:to>
    <xdr:pic>
      <xdr:nvPicPr>
        <xdr:cNvPr id="99" name="Imagem 7" descr=""/>
        <xdr:cNvPicPr/>
      </xdr:nvPicPr>
      <xdr:blipFill>
        <a:blip r:embed="rId7"/>
        <a:stretch/>
      </xdr:blipFill>
      <xdr:spPr>
        <a:xfrm>
          <a:off x="6685200" y="947880"/>
          <a:ext cx="40788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28440</xdr:colOff>
      <xdr:row>33</xdr:row>
      <xdr:rowOff>123840</xdr:rowOff>
    </xdr:from>
    <xdr:to>
      <xdr:col>14</xdr:col>
      <xdr:colOff>232200</xdr:colOff>
      <xdr:row>38</xdr:row>
      <xdr:rowOff>9360</xdr:rowOff>
    </xdr:to>
    <xdr:pic>
      <xdr:nvPicPr>
        <xdr:cNvPr id="100" name="Imagem 8" descr=""/>
        <xdr:cNvPicPr/>
      </xdr:nvPicPr>
      <xdr:blipFill>
        <a:blip r:embed="rId8"/>
        <a:stretch/>
      </xdr:blipFill>
      <xdr:spPr>
        <a:xfrm>
          <a:off x="5993640" y="9572760"/>
          <a:ext cx="2599560" cy="119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106560</xdr:rowOff>
    </xdr:from>
    <xdr:to>
      <xdr:col>1</xdr:col>
      <xdr:colOff>542520</xdr:colOff>
      <xdr:row>14</xdr:row>
      <xdr:rowOff>208800</xdr:rowOff>
    </xdr:to>
    <xdr:pic>
      <xdr:nvPicPr>
        <xdr:cNvPr id="101" name="Imagem 9" descr=""/>
        <xdr:cNvPicPr/>
      </xdr:nvPicPr>
      <xdr:blipFill>
        <a:blip r:embed="rId9"/>
        <a:stretch/>
      </xdr:blipFill>
      <xdr:spPr>
        <a:xfrm>
          <a:off x="840240" y="4240440"/>
          <a:ext cx="447120" cy="10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5</xdr:row>
      <xdr:rowOff>68400</xdr:rowOff>
    </xdr:from>
    <xdr:to>
      <xdr:col>11</xdr:col>
      <xdr:colOff>513720</xdr:colOff>
      <xdr:row>5</xdr:row>
      <xdr:rowOff>170640</xdr:rowOff>
    </xdr:to>
    <xdr:pic>
      <xdr:nvPicPr>
        <xdr:cNvPr id="102" name="Imagem 11" descr=""/>
        <xdr:cNvPicPr/>
      </xdr:nvPicPr>
      <xdr:blipFill>
        <a:blip r:embed="rId10"/>
        <a:stretch/>
      </xdr:blipFill>
      <xdr:spPr>
        <a:xfrm>
          <a:off x="6666120" y="1316160"/>
          <a:ext cx="447120" cy="10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228600</xdr:colOff>
      <xdr:row>5</xdr:row>
      <xdr:rowOff>152280</xdr:rowOff>
    </xdr:from>
    <xdr:to>
      <xdr:col>9</xdr:col>
      <xdr:colOff>459720</xdr:colOff>
      <xdr:row>8</xdr:row>
      <xdr:rowOff>170640</xdr:rowOff>
    </xdr:to>
    <xdr:pic>
      <xdr:nvPicPr>
        <xdr:cNvPr id="103" name="Imagem 13" descr="">
          <a:hlinkClick r:id="rId11"/>
        </xdr:cNvPr>
        <xdr:cNvPicPr/>
      </xdr:nvPicPr>
      <xdr:blipFill>
        <a:blip r:embed="rId12"/>
        <a:stretch/>
      </xdr:blipFill>
      <xdr:spPr>
        <a:xfrm>
          <a:off x="3908520" y="1400040"/>
          <a:ext cx="176148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142920</xdr:colOff>
      <xdr:row>44</xdr:row>
      <xdr:rowOff>115920</xdr:rowOff>
    </xdr:from>
    <xdr:to>
      <xdr:col>19</xdr:col>
      <xdr:colOff>504000</xdr:colOff>
      <xdr:row>48</xdr:row>
      <xdr:rowOff>123120</xdr:rowOff>
    </xdr:to>
    <xdr:pic>
      <xdr:nvPicPr>
        <xdr:cNvPr id="104" name="Imagem 14" descr=""/>
        <xdr:cNvPicPr/>
      </xdr:nvPicPr>
      <xdr:blipFill>
        <a:blip r:embed="rId13"/>
        <a:stretch/>
      </xdr:blipFill>
      <xdr:spPr>
        <a:xfrm>
          <a:off x="9548640" y="12526920"/>
          <a:ext cx="2019600" cy="111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121320</xdr:colOff>
      <xdr:row>15</xdr:row>
      <xdr:rowOff>42480</xdr:rowOff>
    </xdr:from>
    <xdr:to>
      <xdr:col>1</xdr:col>
      <xdr:colOff>370800</xdr:colOff>
      <xdr:row>15</xdr:row>
      <xdr:rowOff>233640</xdr:rowOff>
    </xdr:to>
    <xdr:pic>
      <xdr:nvPicPr>
        <xdr:cNvPr id="105" name="Imagem 15" descr=""/>
        <xdr:cNvPicPr/>
      </xdr:nvPicPr>
      <xdr:blipFill>
        <a:blip r:embed="rId14"/>
        <a:stretch/>
      </xdr:blipFill>
      <xdr:spPr>
        <a:xfrm>
          <a:off x="866160" y="450036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304920</xdr:rowOff>
    </xdr:from>
    <xdr:to>
      <xdr:col>1</xdr:col>
      <xdr:colOff>433440</xdr:colOff>
      <xdr:row>16</xdr:row>
      <xdr:rowOff>313560</xdr:rowOff>
    </xdr:to>
    <xdr:pic>
      <xdr:nvPicPr>
        <xdr:cNvPr id="106" name="Imagem 16" descr=""/>
        <xdr:cNvPicPr/>
      </xdr:nvPicPr>
      <xdr:blipFill>
        <a:blip r:embed="rId15"/>
        <a:stretch/>
      </xdr:blipFill>
      <xdr:spPr>
        <a:xfrm>
          <a:off x="744840" y="4762800"/>
          <a:ext cx="433440" cy="33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6</xdr:row>
      <xdr:rowOff>0</xdr:rowOff>
    </xdr:from>
    <xdr:to>
      <xdr:col>11</xdr:col>
      <xdr:colOff>500040</xdr:colOff>
      <xdr:row>6</xdr:row>
      <xdr:rowOff>332640</xdr:rowOff>
    </xdr:to>
    <xdr:pic>
      <xdr:nvPicPr>
        <xdr:cNvPr id="107" name="Imagem 19" descr=""/>
        <xdr:cNvPicPr/>
      </xdr:nvPicPr>
      <xdr:blipFill>
        <a:blip r:embed="rId16"/>
        <a:stretch/>
      </xdr:blipFill>
      <xdr:spPr>
        <a:xfrm>
          <a:off x="6666120" y="1533600"/>
          <a:ext cx="433440" cy="3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73800</xdr:colOff>
      <xdr:row>11</xdr:row>
      <xdr:rowOff>71280</xdr:rowOff>
    </xdr:from>
    <xdr:to>
      <xdr:col>1</xdr:col>
      <xdr:colOff>323280</xdr:colOff>
      <xdr:row>11</xdr:row>
      <xdr:rowOff>262440</xdr:rowOff>
    </xdr:to>
    <xdr:pic>
      <xdr:nvPicPr>
        <xdr:cNvPr id="108" name="Imagem 2" descr=""/>
        <xdr:cNvPicPr/>
      </xdr:nvPicPr>
      <xdr:blipFill>
        <a:blip r:embed="rId1"/>
        <a:stretch/>
      </xdr:blipFill>
      <xdr:spPr>
        <a:xfrm>
          <a:off x="818640" y="323352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100080</xdr:colOff>
      <xdr:row>12</xdr:row>
      <xdr:rowOff>95400</xdr:rowOff>
    </xdr:from>
    <xdr:to>
      <xdr:col>1</xdr:col>
      <xdr:colOff>294840</xdr:colOff>
      <xdr:row>12</xdr:row>
      <xdr:rowOff>263520</xdr:rowOff>
    </xdr:to>
    <xdr:pic>
      <xdr:nvPicPr>
        <xdr:cNvPr id="109" name="Imagem 3" descr=""/>
        <xdr:cNvPicPr/>
      </xdr:nvPicPr>
      <xdr:blipFill>
        <a:blip r:embed="rId2"/>
        <a:stretch/>
      </xdr:blipFill>
      <xdr:spPr>
        <a:xfrm>
          <a:off x="844920" y="358164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73800</xdr:colOff>
      <xdr:row>10</xdr:row>
      <xdr:rowOff>61560</xdr:rowOff>
    </xdr:from>
    <xdr:to>
      <xdr:col>1</xdr:col>
      <xdr:colOff>323280</xdr:colOff>
      <xdr:row>10</xdr:row>
      <xdr:rowOff>252720</xdr:rowOff>
    </xdr:to>
    <xdr:pic>
      <xdr:nvPicPr>
        <xdr:cNvPr id="110" name="Imagem 4" descr=""/>
        <xdr:cNvPicPr/>
      </xdr:nvPicPr>
      <xdr:blipFill>
        <a:blip r:embed="rId3"/>
        <a:stretch/>
      </xdr:blipFill>
      <xdr:spPr>
        <a:xfrm>
          <a:off x="818640" y="290016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66600</xdr:colOff>
      <xdr:row>13</xdr:row>
      <xdr:rowOff>19080</xdr:rowOff>
    </xdr:from>
    <xdr:to>
      <xdr:col>1</xdr:col>
      <xdr:colOff>474480</xdr:colOff>
      <xdr:row>14</xdr:row>
      <xdr:rowOff>9000</xdr:rowOff>
    </xdr:to>
    <xdr:pic>
      <xdr:nvPicPr>
        <xdr:cNvPr id="111" name="Imagem 5" descr=""/>
        <xdr:cNvPicPr/>
      </xdr:nvPicPr>
      <xdr:blipFill>
        <a:blip r:embed="rId4"/>
        <a:stretch/>
      </xdr:blipFill>
      <xdr:spPr>
        <a:xfrm>
          <a:off x="811440" y="3828960"/>
          <a:ext cx="40788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166680</xdr:colOff>
      <xdr:row>3</xdr:row>
      <xdr:rowOff>52920</xdr:rowOff>
    </xdr:from>
    <xdr:to>
      <xdr:col>11</xdr:col>
      <xdr:colOff>361440</xdr:colOff>
      <xdr:row>3</xdr:row>
      <xdr:rowOff>221040</xdr:rowOff>
    </xdr:to>
    <xdr:pic>
      <xdr:nvPicPr>
        <xdr:cNvPr id="112" name="Imagem 7" descr=""/>
        <xdr:cNvPicPr/>
      </xdr:nvPicPr>
      <xdr:blipFill>
        <a:blip r:embed="rId5"/>
        <a:stretch/>
      </xdr:blipFill>
      <xdr:spPr>
        <a:xfrm>
          <a:off x="6766200" y="805320"/>
          <a:ext cx="194760" cy="1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150120</xdr:colOff>
      <xdr:row>2</xdr:row>
      <xdr:rowOff>47520</xdr:rowOff>
    </xdr:from>
    <xdr:to>
      <xdr:col>11</xdr:col>
      <xdr:colOff>399600</xdr:colOff>
      <xdr:row>2</xdr:row>
      <xdr:rowOff>238680</xdr:rowOff>
    </xdr:to>
    <xdr:pic>
      <xdr:nvPicPr>
        <xdr:cNvPr id="113" name="Imagem 8" descr=""/>
        <xdr:cNvPicPr/>
      </xdr:nvPicPr>
      <xdr:blipFill>
        <a:blip r:embed="rId6"/>
        <a:stretch/>
      </xdr:blipFill>
      <xdr:spPr>
        <a:xfrm>
          <a:off x="6749640" y="552240"/>
          <a:ext cx="249480" cy="19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85680</xdr:colOff>
      <xdr:row>3</xdr:row>
      <xdr:rowOff>195480</xdr:rowOff>
    </xdr:from>
    <xdr:to>
      <xdr:col>11</xdr:col>
      <xdr:colOff>493560</xdr:colOff>
      <xdr:row>5</xdr:row>
      <xdr:rowOff>13680</xdr:rowOff>
    </xdr:to>
    <xdr:pic>
      <xdr:nvPicPr>
        <xdr:cNvPr id="114" name="Imagem 9" descr=""/>
        <xdr:cNvPicPr/>
      </xdr:nvPicPr>
      <xdr:blipFill>
        <a:blip r:embed="rId7"/>
        <a:stretch/>
      </xdr:blipFill>
      <xdr:spPr>
        <a:xfrm>
          <a:off x="6685200" y="947880"/>
          <a:ext cx="40788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28440</xdr:colOff>
      <xdr:row>33</xdr:row>
      <xdr:rowOff>123840</xdr:rowOff>
    </xdr:from>
    <xdr:to>
      <xdr:col>14</xdr:col>
      <xdr:colOff>232200</xdr:colOff>
      <xdr:row>38</xdr:row>
      <xdr:rowOff>9360</xdr:rowOff>
    </xdr:to>
    <xdr:pic>
      <xdr:nvPicPr>
        <xdr:cNvPr id="115" name="Imagem 12" descr=""/>
        <xdr:cNvPicPr/>
      </xdr:nvPicPr>
      <xdr:blipFill>
        <a:blip r:embed="rId8"/>
        <a:stretch/>
      </xdr:blipFill>
      <xdr:spPr>
        <a:xfrm>
          <a:off x="5993640" y="9572760"/>
          <a:ext cx="2599560" cy="119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95400</xdr:colOff>
      <xdr:row>14</xdr:row>
      <xdr:rowOff>106560</xdr:rowOff>
    </xdr:from>
    <xdr:to>
      <xdr:col>1</xdr:col>
      <xdr:colOff>542520</xdr:colOff>
      <xdr:row>14</xdr:row>
      <xdr:rowOff>208800</xdr:rowOff>
    </xdr:to>
    <xdr:pic>
      <xdr:nvPicPr>
        <xdr:cNvPr id="116" name="Imagem 15" descr=""/>
        <xdr:cNvPicPr/>
      </xdr:nvPicPr>
      <xdr:blipFill>
        <a:blip r:embed="rId9"/>
        <a:stretch/>
      </xdr:blipFill>
      <xdr:spPr>
        <a:xfrm>
          <a:off x="840240" y="4240440"/>
          <a:ext cx="447120" cy="10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219240</xdr:colOff>
      <xdr:row>5</xdr:row>
      <xdr:rowOff>142920</xdr:rowOff>
    </xdr:from>
    <xdr:to>
      <xdr:col>9</xdr:col>
      <xdr:colOff>450360</xdr:colOff>
      <xdr:row>8</xdr:row>
      <xdr:rowOff>161280</xdr:rowOff>
    </xdr:to>
    <xdr:pic>
      <xdr:nvPicPr>
        <xdr:cNvPr id="117" name="Imagem 16" descr="">
          <a:hlinkClick r:id="rId10"/>
        </xdr:cNvPr>
        <xdr:cNvPicPr/>
      </xdr:nvPicPr>
      <xdr:blipFill>
        <a:blip r:embed="rId11"/>
        <a:stretch/>
      </xdr:blipFill>
      <xdr:spPr>
        <a:xfrm>
          <a:off x="3899160" y="1390680"/>
          <a:ext cx="176148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5</xdr:row>
      <xdr:rowOff>68400</xdr:rowOff>
    </xdr:from>
    <xdr:to>
      <xdr:col>11</xdr:col>
      <xdr:colOff>513720</xdr:colOff>
      <xdr:row>5</xdr:row>
      <xdr:rowOff>170640</xdr:rowOff>
    </xdr:to>
    <xdr:pic>
      <xdr:nvPicPr>
        <xdr:cNvPr id="118" name="Imagem 17" descr=""/>
        <xdr:cNvPicPr/>
      </xdr:nvPicPr>
      <xdr:blipFill>
        <a:blip r:embed="rId12"/>
        <a:stretch/>
      </xdr:blipFill>
      <xdr:spPr>
        <a:xfrm>
          <a:off x="6666120" y="1316160"/>
          <a:ext cx="447120" cy="10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66600</xdr:colOff>
      <xdr:row>44</xdr:row>
      <xdr:rowOff>95400</xdr:rowOff>
    </xdr:from>
    <xdr:to>
      <xdr:col>19</xdr:col>
      <xdr:colOff>582120</xdr:colOff>
      <xdr:row>48</xdr:row>
      <xdr:rowOff>190080</xdr:rowOff>
    </xdr:to>
    <xdr:pic>
      <xdr:nvPicPr>
        <xdr:cNvPr id="119" name="Imagem 18" descr=""/>
        <xdr:cNvPicPr/>
      </xdr:nvPicPr>
      <xdr:blipFill>
        <a:blip r:embed="rId13"/>
        <a:stretch/>
      </xdr:blipFill>
      <xdr:spPr>
        <a:xfrm>
          <a:off x="9472320" y="12506400"/>
          <a:ext cx="2174040" cy="1199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drawings/drawing41.xml" Type="http://schemas.openxmlformats.org/officeDocument/2006/relationships/drawing"/></Relationships>
</file>

<file path=xl/worksheets/_rels/sheet42.xml.rels><?xml version="1.0" encoding="UTF-8" standalone="no"?><Relationships xmlns="http://schemas.openxmlformats.org/package/2006/relationships"><Relationship Id="rId1" Target="../drawings/drawing42.xml" Type="http://schemas.openxmlformats.org/officeDocument/2006/relationships/drawing"/></Relationships>
</file>

<file path=xl/worksheets/_rels/sheet43.xml.rels><?xml version="1.0" encoding="UTF-8" standalone="no"?><Relationships xmlns="http://schemas.openxmlformats.org/package/2006/relationships"><Relationship Id="rId1" Target="../drawings/drawing43.xml" Type="http://schemas.openxmlformats.org/officeDocument/2006/relationships/drawing"/></Relationships>
</file>

<file path=xl/worksheets/_rels/sheet44.xml.rels><?xml version="1.0" encoding="UTF-8" standalone="no"?><Relationships xmlns="http://schemas.openxmlformats.org/package/2006/relationships"><Relationship Id="rId1" Target="../drawings/drawing44.xml" Type="http://schemas.openxmlformats.org/officeDocument/2006/relationships/drawing"/></Relationships>
</file>

<file path=xl/worksheets/_rels/sheet45.xml.rels><?xml version="1.0" encoding="UTF-8" standalone="no"?><Relationships xmlns="http://schemas.openxmlformats.org/package/2006/relationships"><Relationship Id="rId1" Target="../drawings/drawing45.xml" Type="http://schemas.openxmlformats.org/officeDocument/2006/relationships/drawing"/></Relationships>
</file>

<file path=xl/worksheets/_rels/sheet46.xml.rels><?xml version="1.0" encoding="UTF-8" standalone="no"?><Relationships xmlns="http://schemas.openxmlformats.org/package/2006/relationships"><Relationship Id="rId1" Target="../drawings/drawing46.xml" Type="http://schemas.openxmlformats.org/officeDocument/2006/relationships/drawing"/></Relationships>
</file>

<file path=xl/worksheets/_rels/sheet47.xml.rels><?xml version="1.0" encoding="UTF-8" standalone="no"?><Relationships xmlns="http://schemas.openxmlformats.org/package/2006/relationships"><Relationship Id="rId1" Target="../drawings/drawing47.xml" Type="http://schemas.openxmlformats.org/officeDocument/2006/relationships/drawing"/></Relationships>
</file>

<file path=xl/worksheets/_rels/sheet48.xml.rels><?xml version="1.0" encoding="UTF-8" standalone="no"?><Relationships xmlns="http://schemas.openxmlformats.org/package/2006/relationships"><Relationship Id="rId1" Target="../drawings/drawing48.xml" Type="http://schemas.openxmlformats.org/officeDocument/2006/relationships/drawing"/></Relationships>
</file>

<file path=xl/worksheets/_rels/sheet49.xml.rels><?xml version="1.0" encoding="UTF-8" standalone="no"?><Relationships xmlns="http://schemas.openxmlformats.org/package/2006/relationships"><Relationship Id="rId1" Target="../drawings/drawing49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50.xml.rels><?xml version="1.0" encoding="UTF-8" standalone="no"?><Relationships xmlns="http://schemas.openxmlformats.org/package/2006/relationships"><Relationship Id="rId1" Target="../drawings/drawing50.xml" Type="http://schemas.openxmlformats.org/officeDocument/2006/relationships/drawing"/></Relationships>
</file>

<file path=xl/worksheets/_rels/sheet51.xml.rels><?xml version="1.0" encoding="UTF-8" standalone="no"?><Relationships xmlns="http://schemas.openxmlformats.org/package/2006/relationships"><Relationship Id="rId1" Target="../drawings/drawing51.xml" Type="http://schemas.openxmlformats.org/officeDocument/2006/relationships/drawing"/></Relationships>
</file>

<file path=xl/worksheets/_rels/sheet52.xml.rels><?xml version="1.0" encoding="UTF-8" standalone="no"?><Relationships xmlns="http://schemas.openxmlformats.org/package/2006/relationships"><Relationship Id="rId1" Target="../drawings/drawing52.xml" Type="http://schemas.openxmlformats.org/officeDocument/2006/relationships/drawing"/></Relationships>
</file>

<file path=xl/worksheets/_rels/sheet53.xml.rels><?xml version="1.0" encoding="UTF-8" standalone="no"?><Relationships xmlns="http://schemas.openxmlformats.org/package/2006/relationships"><Relationship Id="rId1" Target="../drawings/drawing53.xml" Type="http://schemas.openxmlformats.org/officeDocument/2006/relationships/drawing"/></Relationships>
</file>

<file path=xl/worksheets/_rels/sheet54.xml.rels><?xml version="1.0" encoding="UTF-8" standalone="no"?><Relationships xmlns="http://schemas.openxmlformats.org/package/2006/relationships"><Relationship Id="rId1" Target="../drawings/drawing54.xml" Type="http://schemas.openxmlformats.org/officeDocument/2006/relationships/drawing"/></Relationships>
</file>

<file path=xl/worksheets/_rels/sheet55.xml.rels><?xml version="1.0" encoding="UTF-8" standalone="no"?><Relationships xmlns="http://schemas.openxmlformats.org/package/2006/relationships"><Relationship Id="rId1" Target="../drawings/drawing55.xml" Type="http://schemas.openxmlformats.org/officeDocument/2006/relationships/drawing"/></Relationships>
</file>

<file path=xl/worksheets/_rels/sheet56.xml.rels><?xml version="1.0" encoding="UTF-8" standalone="no"?><Relationships xmlns="http://schemas.openxmlformats.org/package/2006/relationships"><Relationship Id="rId1" Target="../drawings/drawing56.xml" Type="http://schemas.openxmlformats.org/officeDocument/2006/relationships/drawing"/></Relationships>
</file>

<file path=xl/worksheets/_rels/sheet57.xml.rels><?xml version="1.0" encoding="UTF-8" standalone="no"?><Relationships xmlns="http://schemas.openxmlformats.org/package/2006/relationships"><Relationship Id="rId1" Target="../drawings/drawing57.xml" Type="http://schemas.openxmlformats.org/officeDocument/2006/relationships/drawing"/></Relationships>
</file>

<file path=xl/worksheets/_rels/sheet58.xml.rels><?xml version="1.0" encoding="UTF-8" standalone="no"?><Relationships xmlns="http://schemas.openxmlformats.org/package/2006/relationships"><Relationship Id="rId1" Target="../drawings/drawing58.xml" Type="http://schemas.openxmlformats.org/officeDocument/2006/relationships/drawing"/></Relationships>
</file>

<file path=xl/worksheets/_rels/sheet59.xml.rels><?xml version="1.0" encoding="UTF-8" standalone="no"?><Relationships xmlns="http://schemas.openxmlformats.org/package/2006/relationships"><Relationship Id="rId1" Target="../drawings/drawing59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60.xml.rels><?xml version="1.0" encoding="UTF-8" standalone="no"?><Relationships xmlns="http://schemas.openxmlformats.org/package/2006/relationships"><Relationship Id="rId1" Target="../drawings/drawing60.xml" Type="http://schemas.openxmlformats.org/officeDocument/2006/relationships/drawing"/></Relationships>
</file>

<file path=xl/worksheets/_rels/sheet61.xml.rels><?xml version="1.0" encoding="UTF-8" standalone="no"?><Relationships xmlns="http://schemas.openxmlformats.org/package/2006/relationships"><Relationship Id="rId1" Target="../drawings/drawing61.xml" Type="http://schemas.openxmlformats.org/officeDocument/2006/relationships/drawing"/></Relationships>
</file>

<file path=xl/worksheets/_rels/sheet62.xml.rels><?xml version="1.0" encoding="UTF-8" standalone="no"?><Relationships xmlns="http://schemas.openxmlformats.org/package/2006/relationships"><Relationship Id="rId1" Target="../drawings/drawing62.xml" Type="http://schemas.openxmlformats.org/officeDocument/2006/relationships/drawing"/></Relationships>
</file>

<file path=xl/worksheets/_rels/sheet63.xml.rels><?xml version="1.0" encoding="UTF-8" standalone="no"?><Relationships xmlns="http://schemas.openxmlformats.org/package/2006/relationships"><Relationship Id="rId1" Target="../drawings/drawing63.xml" Type="http://schemas.openxmlformats.org/officeDocument/2006/relationships/drawing"/></Relationships>
</file>

<file path=xl/worksheets/_rels/sheet64.xml.rels><?xml version="1.0" encoding="UTF-8" standalone="no"?><Relationships xmlns="http://schemas.openxmlformats.org/package/2006/relationships"><Relationship Id="rId1" Target="../drawings/drawing64.xml" Type="http://schemas.openxmlformats.org/officeDocument/2006/relationships/drawing"/></Relationships>
</file>

<file path=xl/worksheets/_rels/sheet65.xml.rels><?xml version="1.0" encoding="UTF-8" standalone="no"?><Relationships xmlns="http://schemas.openxmlformats.org/package/2006/relationships"><Relationship Id="rId1" Target="../drawings/drawing65.xml" Type="http://schemas.openxmlformats.org/officeDocument/2006/relationships/drawing"/></Relationships>
</file>

<file path=xl/worksheets/_rels/sheet66.xml.rels><?xml version="1.0" encoding="UTF-8" standalone="no"?><Relationships xmlns="http://schemas.openxmlformats.org/package/2006/relationships"><Relationship Id="rId1" Target="../drawings/drawing66.xml" Type="http://schemas.openxmlformats.org/officeDocument/2006/relationships/drawing"/></Relationships>
</file>

<file path=xl/worksheets/_rels/sheet67.xml.rels><?xml version="1.0" encoding="UTF-8" standalone="no"?><Relationships xmlns="http://schemas.openxmlformats.org/package/2006/relationships"><Relationship Id="rId1" Target="../drawings/drawing67.xml" Type="http://schemas.openxmlformats.org/officeDocument/2006/relationships/drawing"/></Relationships>
</file>

<file path=xl/worksheets/_rels/sheet68.xml.rels><?xml version="1.0" encoding="UTF-8" standalone="no"?><Relationships xmlns="http://schemas.openxmlformats.org/package/2006/relationships"><Relationship Id="rId1" Target="../drawings/drawing68.xml" Type="http://schemas.openxmlformats.org/officeDocument/2006/relationships/drawing"/></Relationships>
</file>

<file path=xl/worksheets/_rels/sheet69.xml.rels><?xml version="1.0" encoding="UTF-8" standalone="no"?><Relationships xmlns="http://schemas.openxmlformats.org/package/2006/relationships"><Relationship Id="rId1" Target="../drawings/drawing69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K6" activeCellId="0" sqref="K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tr">
        <f aca="false">A11</f>
        <v>2X1/2</v>
      </c>
      <c r="L3" s="14"/>
      <c r="M3" s="15" t="n">
        <f aca="false">ROUNDUP(P30,0)</f>
        <v>1</v>
      </c>
      <c r="N3" s="16" t="n">
        <v>120</v>
      </c>
      <c r="O3" s="16"/>
      <c r="P3" s="16" t="n">
        <f aca="false">N3*M3</f>
        <v>120</v>
      </c>
      <c r="Q3" s="16"/>
      <c r="R3" s="17" t="str">
        <f aca="false">E5</f>
        <v>BRANCO</v>
      </c>
      <c r="S3" s="18" t="n">
        <v>6000</v>
      </c>
      <c r="T3" s="19" t="n">
        <f aca="false">F11*E11+E12*F12+E13*F13</f>
        <v>6000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A14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E5</f>
        <v>BRANCO</v>
      </c>
      <c r="S4" s="27" t="n">
        <v>6000</v>
      </c>
      <c r="T4" s="28" t="n">
        <f aca="false">E14*F14+E15*F15</f>
        <v>1936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30" t="s">
        <v>8</v>
      </c>
      <c r="E5" s="31" t="s">
        <v>15</v>
      </c>
      <c r="F5" s="32" t="s">
        <v>16</v>
      </c>
      <c r="G5" s="32"/>
      <c r="H5" s="33" t="s">
        <v>5</v>
      </c>
      <c r="I5" s="18"/>
      <c r="J5" s="34"/>
      <c r="K5" s="22" t="str">
        <f aca="false">A16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E5</f>
        <v>BRANCO</v>
      </c>
      <c r="S5" s="27" t="n">
        <v>6000</v>
      </c>
      <c r="T5" s="28" t="n">
        <f aca="false">E16*F16</f>
        <v>203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20" t="s">
        <v>19</v>
      </c>
      <c r="E6" s="36" t="s">
        <v>20</v>
      </c>
      <c r="F6" s="37" t="n">
        <f aca="false">F14-4</f>
        <v>238.5</v>
      </c>
      <c r="G6" s="38" t="n">
        <f aca="false">F15-4</f>
        <v>237.5</v>
      </c>
      <c r="H6" s="39" t="n">
        <f aca="false">A7*2</f>
        <v>2</v>
      </c>
      <c r="I6" s="27"/>
      <c r="J6" s="40"/>
      <c r="K6" s="41" t="s">
        <v>21</v>
      </c>
      <c r="L6" s="23"/>
      <c r="M6" s="24" t="n">
        <f aca="false">ROUNDUP(P33,0)</f>
        <v>1</v>
      </c>
      <c r="N6" s="25" t="n">
        <v>35</v>
      </c>
      <c r="O6" s="25"/>
      <c r="P6" s="25" t="n">
        <f aca="false">N6*M6</f>
        <v>35</v>
      </c>
      <c r="Q6" s="25"/>
      <c r="R6" s="26" t="str">
        <f aca="false">E5</f>
        <v>BRANCO</v>
      </c>
      <c r="S6" s="27" t="n">
        <v>6000</v>
      </c>
      <c r="T6" s="28" t="n">
        <f aca="false">E17*F17</f>
        <v>1952</v>
      </c>
      <c r="U6" s="28"/>
    </row>
    <row r="7" customFormat="false" ht="27" hidden="false" customHeight="true" outlineLevel="0" collapsed="false">
      <c r="A7" s="42" t="n">
        <v>1</v>
      </c>
      <c r="B7" s="42" t="n">
        <v>500</v>
      </c>
      <c r="C7" s="42" t="n">
        <v>500</v>
      </c>
      <c r="D7" s="43" t="n">
        <v>500</v>
      </c>
      <c r="E7" s="36" t="s">
        <v>22</v>
      </c>
      <c r="F7" s="44" t="n">
        <f aca="false">D7-20</f>
        <v>480</v>
      </c>
      <c r="G7" s="38" t="n">
        <f aca="false">(C7-140)/2</f>
        <v>180</v>
      </c>
      <c r="H7" s="39" t="n">
        <f aca="false">A7*4</f>
        <v>4</v>
      </c>
      <c r="I7" s="27"/>
      <c r="J7" s="40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48"/>
      <c r="U7" s="49"/>
    </row>
    <row r="8" customFormat="false" ht="24" hidden="false" customHeight="true" outlineLevel="0" collapsed="false">
      <c r="A8" s="50" t="s">
        <v>23</v>
      </c>
      <c r="B8" s="50"/>
      <c r="C8" s="51"/>
      <c r="D8" s="51"/>
      <c r="E8" s="36" t="s">
        <v>24</v>
      </c>
      <c r="F8" s="44" t="n">
        <f aca="false">B7-55</f>
        <v>445</v>
      </c>
      <c r="G8" s="38" t="n">
        <f aca="false">G7</f>
        <v>180</v>
      </c>
      <c r="H8" s="39" t="n">
        <f aca="false">A7*4</f>
        <v>4</v>
      </c>
      <c r="I8" s="27"/>
      <c r="J8" s="40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48"/>
      <c r="U8" s="49"/>
    </row>
    <row r="9" customFormat="false" ht="26.25" hidden="false" customHeight="true" outlineLevel="0" collapsed="false">
      <c r="A9" s="53"/>
      <c r="B9" s="53"/>
      <c r="C9" s="54"/>
      <c r="D9" s="54"/>
      <c r="E9" s="36" t="s">
        <v>25</v>
      </c>
      <c r="F9" s="44" t="n">
        <f aca="false">B7-55</f>
        <v>445</v>
      </c>
      <c r="G9" s="38" t="n">
        <f aca="false">D7-12</f>
        <v>488</v>
      </c>
      <c r="H9" s="55" t="n">
        <f aca="false">A7*2</f>
        <v>2</v>
      </c>
      <c r="I9" s="56"/>
      <c r="J9" s="57"/>
      <c r="K9" s="52"/>
      <c r="L9" s="45"/>
      <c r="M9" s="46"/>
      <c r="N9" s="25"/>
      <c r="O9" s="25"/>
      <c r="P9" s="25"/>
      <c r="Q9" s="25"/>
      <c r="R9" s="47"/>
      <c r="S9" s="27"/>
      <c r="T9" s="48"/>
      <c r="U9" s="49"/>
    </row>
    <row r="10" customFormat="false" ht="25.5" hidden="false" customHeight="true" outlineLevel="0" collapsed="false">
      <c r="A10" s="58" t="s">
        <v>4</v>
      </c>
      <c r="B10" s="59" t="s">
        <v>26</v>
      </c>
      <c r="C10" s="59"/>
      <c r="D10" s="59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65"/>
      <c r="U10" s="66"/>
    </row>
    <row r="11" customFormat="false" ht="25.5" hidden="false" customHeight="true" outlineLevel="0" collapsed="false">
      <c r="A11" s="67" t="s">
        <v>31</v>
      </c>
      <c r="B11" s="68" t="s">
        <v>32</v>
      </c>
      <c r="C11" s="68"/>
      <c r="D11" s="68"/>
      <c r="E11" s="69" t="n">
        <f aca="false">A7*4</f>
        <v>4</v>
      </c>
      <c r="F11" s="70" t="n">
        <f aca="false">B7</f>
        <v>500</v>
      </c>
      <c r="G11" s="70"/>
      <c r="H11" s="71" t="s">
        <v>17</v>
      </c>
      <c r="I11" s="71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80" t="s">
        <v>39</v>
      </c>
      <c r="C12" s="80"/>
      <c r="D12" s="80"/>
      <c r="E12" s="46" t="n">
        <f aca="false">A7*4</f>
        <v>4</v>
      </c>
      <c r="F12" s="81" t="n">
        <f aca="false">C7</f>
        <v>500</v>
      </c>
      <c r="G12" s="81"/>
      <c r="H12" s="82" t="s">
        <v>18</v>
      </c>
      <c r="I12" s="82"/>
      <c r="J12" s="83" t="s">
        <v>33</v>
      </c>
      <c r="K12" s="84" t="n">
        <f aca="false">P3+P4+P5+P6+P7+P8+P9+P10</f>
        <v>387</v>
      </c>
      <c r="L12" s="84"/>
      <c r="M12" s="84" t="n">
        <f aca="false">I35</f>
        <v>167.4</v>
      </c>
      <c r="N12" s="84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854.4</v>
      </c>
      <c r="U12" s="84"/>
    </row>
    <row r="13" customFormat="false" ht="25.5" hidden="false" customHeight="true" outlineLevel="0" collapsed="false">
      <c r="A13" s="79" t="s">
        <v>31</v>
      </c>
      <c r="B13" s="80" t="s">
        <v>40</v>
      </c>
      <c r="C13" s="80"/>
      <c r="D13" s="80"/>
      <c r="E13" s="46" t="n">
        <f aca="false">A7*4</f>
        <v>4</v>
      </c>
      <c r="F13" s="81" t="n">
        <f aca="false">D7</f>
        <v>500</v>
      </c>
      <c r="G13" s="81"/>
      <c r="H13" s="82" t="s">
        <v>41</v>
      </c>
      <c r="I13" s="82"/>
      <c r="J13" s="83" t="s">
        <v>42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80" t="s">
        <v>44</v>
      </c>
      <c r="C14" s="80"/>
      <c r="D14" s="80"/>
      <c r="E14" s="46" t="n">
        <f aca="false">A7*4</f>
        <v>4</v>
      </c>
      <c r="F14" s="91" t="n">
        <f aca="false">(B7-15)/2</f>
        <v>242.5</v>
      </c>
      <c r="G14" s="91"/>
      <c r="H14" s="82" t="s">
        <v>17</v>
      </c>
      <c r="I14" s="82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43</v>
      </c>
      <c r="B15" s="80" t="s">
        <v>45</v>
      </c>
      <c r="C15" s="80"/>
      <c r="D15" s="80"/>
      <c r="E15" s="46" t="n">
        <f aca="false">A7*4</f>
        <v>4</v>
      </c>
      <c r="F15" s="91" t="n">
        <f aca="false">(C7-17)/2</f>
        <v>241.5</v>
      </c>
      <c r="G15" s="91"/>
      <c r="H15" s="82" t="s">
        <v>18</v>
      </c>
      <c r="I15" s="82"/>
      <c r="J15" s="83" t="s">
        <v>33</v>
      </c>
    </row>
    <row r="16" customFormat="false" ht="25.5" hidden="false" customHeight="true" outlineLevel="0" collapsed="false">
      <c r="A16" s="79" t="s">
        <v>46</v>
      </c>
      <c r="B16" s="80" t="s">
        <v>47</v>
      </c>
      <c r="C16" s="80"/>
      <c r="D16" s="80"/>
      <c r="E16" s="46" t="n">
        <f aca="false">A7*2</f>
        <v>2</v>
      </c>
      <c r="F16" s="91" t="n">
        <f aca="false">F14-141</f>
        <v>101.5</v>
      </c>
      <c r="G16" s="91"/>
      <c r="H16" s="82" t="s">
        <v>17</v>
      </c>
      <c r="I16" s="82"/>
      <c r="J16" s="83" t="s">
        <v>42</v>
      </c>
      <c r="K16" s="93"/>
      <c r="L16" s="93"/>
      <c r="M16" s="93"/>
    </row>
    <row r="17" customFormat="false" ht="25.5" hidden="false" customHeight="true" outlineLevel="0" collapsed="false">
      <c r="A17" s="79" t="s">
        <v>21</v>
      </c>
      <c r="B17" s="80" t="s">
        <v>48</v>
      </c>
      <c r="C17" s="80"/>
      <c r="D17" s="80"/>
      <c r="E17" s="46" t="n">
        <f aca="false">A7*4</f>
        <v>4</v>
      </c>
      <c r="F17" s="91" t="n">
        <f aca="false">G9</f>
        <v>488</v>
      </c>
      <c r="G17" s="91"/>
      <c r="H17" s="82" t="s">
        <v>41</v>
      </c>
      <c r="I17" s="82"/>
      <c r="J17" s="83" t="s">
        <v>42</v>
      </c>
      <c r="M17" s="94"/>
      <c r="N17" s="95"/>
      <c r="O17" s="95"/>
    </row>
    <row r="18" customFormat="false" ht="25.5" hidden="false" customHeight="true" outlineLevel="0" collapsed="false">
      <c r="A18" s="79" t="s">
        <v>49</v>
      </c>
      <c r="B18" s="80" t="s">
        <v>50</v>
      </c>
      <c r="C18" s="80"/>
      <c r="D18" s="80"/>
      <c r="E18" s="96" t="n">
        <f aca="false">A7*2</f>
        <v>2</v>
      </c>
      <c r="F18" s="97" t="n">
        <f aca="false">F12-25</f>
        <v>475</v>
      </c>
      <c r="G18" s="97"/>
      <c r="H18" s="82" t="s">
        <v>18</v>
      </c>
      <c r="I18" s="82"/>
      <c r="J18" s="83" t="s">
        <v>42</v>
      </c>
      <c r="N18" s="98"/>
      <c r="O18" s="98"/>
    </row>
    <row r="19" customFormat="false" ht="22.5" hidden="false" customHeight="true" outlineLevel="0" collapsed="false">
      <c r="A19" s="79"/>
      <c r="B19" s="80"/>
      <c r="C19" s="80"/>
      <c r="D19" s="80"/>
      <c r="E19" s="46"/>
      <c r="F19" s="91"/>
      <c r="G19" s="91"/>
      <c r="H19" s="82"/>
      <c r="I19" s="82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101"/>
      <c r="G20" s="101"/>
      <c r="H20" s="102"/>
      <c r="I20" s="102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20" t="s">
        <v>38</v>
      </c>
      <c r="K21" s="93"/>
      <c r="L21" s="93"/>
      <c r="M21" s="94"/>
      <c r="N21" s="108"/>
      <c r="O21" s="109"/>
      <c r="P21" s="109"/>
      <c r="Q21" s="109"/>
      <c r="R21" s="109"/>
      <c r="S21" s="109"/>
      <c r="T21" s="109"/>
      <c r="U21" s="109"/>
    </row>
    <row r="22" customFormat="false" ht="17.25" hidden="false" customHeight="true" outlineLevel="0" collapsed="false">
      <c r="A22" s="50" t="n">
        <v>1234</v>
      </c>
      <c r="B22" s="110" t="s">
        <v>54</v>
      </c>
      <c r="C22" s="111"/>
      <c r="D22" s="111"/>
      <c r="E22" s="112"/>
      <c r="F22" s="19" t="s">
        <v>55</v>
      </c>
      <c r="G22" s="19"/>
      <c r="H22" s="113" t="n">
        <f aca="false">A7*2</f>
        <v>2</v>
      </c>
      <c r="I22" s="114" t="n">
        <v>30</v>
      </c>
      <c r="J22" s="115" t="n">
        <f aca="false">H22*I22</f>
        <v>60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116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121" t="n">
        <f aca="false">A7*2</f>
        <v>2</v>
      </c>
      <c r="I23" s="122" t="n">
        <v>8</v>
      </c>
      <c r="J23" s="123" t="n">
        <f aca="false">H23*I23</f>
        <v>16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116" t="n">
        <v>123456</v>
      </c>
      <c r="B24" s="117" t="s">
        <v>58</v>
      </c>
      <c r="C24" s="118"/>
      <c r="D24" s="118"/>
      <c r="E24" s="119"/>
      <c r="F24" s="120" t="s">
        <v>59</v>
      </c>
      <c r="G24" s="120"/>
      <c r="H24" s="121" t="n">
        <f aca="false">A7*1</f>
        <v>1</v>
      </c>
      <c r="I24" s="122" t="n">
        <v>49</v>
      </c>
      <c r="J24" s="123" t="n">
        <f aca="false">H24*I24</f>
        <v>49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116" t="n">
        <v>1234567</v>
      </c>
      <c r="B25" s="117" t="s">
        <v>60</v>
      </c>
      <c r="C25" s="118"/>
      <c r="D25" s="118"/>
      <c r="E25" s="119"/>
      <c r="F25" s="120" t="s">
        <v>59</v>
      </c>
      <c r="G25" s="120"/>
      <c r="H25" s="121" t="n">
        <f aca="false">A7*48</f>
        <v>48</v>
      </c>
      <c r="I25" s="125" t="n">
        <v>0.1</v>
      </c>
      <c r="J25" s="123" t="n">
        <f aca="false">H25*I25</f>
        <v>4.8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16" t="s">
        <v>61</v>
      </c>
      <c r="B26" s="127" t="s">
        <v>62</v>
      </c>
      <c r="C26" s="127"/>
      <c r="D26" s="127"/>
      <c r="E26" s="119"/>
      <c r="F26" s="120" t="s">
        <v>55</v>
      </c>
      <c r="G26" s="120"/>
      <c r="H26" s="121" t="n">
        <f aca="false">E16</f>
        <v>2</v>
      </c>
      <c r="I26" s="122" t="n">
        <v>18</v>
      </c>
      <c r="J26" s="123" t="n">
        <f aca="false">H26*I26</f>
        <v>36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116" t="s">
        <v>55</v>
      </c>
      <c r="B27" s="128" t="s">
        <v>63</v>
      </c>
      <c r="C27" s="128"/>
      <c r="D27" s="128"/>
      <c r="E27" s="128"/>
      <c r="F27" s="120" t="s">
        <v>64</v>
      </c>
      <c r="G27" s="120"/>
      <c r="H27" s="121" t="n">
        <v>32</v>
      </c>
      <c r="I27" s="122" t="n">
        <v>0.05</v>
      </c>
      <c r="J27" s="123" t="n">
        <f aca="false">H27*I27</f>
        <v>1.6</v>
      </c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116"/>
      <c r="B28" s="117"/>
      <c r="C28" s="118"/>
      <c r="D28" s="118"/>
      <c r="E28" s="119"/>
      <c r="F28" s="52"/>
      <c r="G28" s="23"/>
      <c r="H28" s="52"/>
      <c r="I28" s="122"/>
      <c r="J28" s="123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116"/>
      <c r="B29" s="117"/>
      <c r="C29" s="118"/>
      <c r="D29" s="118"/>
      <c r="E29" s="119"/>
      <c r="F29" s="52"/>
      <c r="G29" s="23"/>
      <c r="H29" s="52"/>
      <c r="I29" s="122"/>
      <c r="J29" s="123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116"/>
      <c r="B30" s="131"/>
      <c r="C30" s="132"/>
      <c r="D30" s="132"/>
      <c r="E30" s="119"/>
      <c r="F30" s="52"/>
      <c r="G30" s="23"/>
      <c r="H30" s="52"/>
      <c r="I30" s="122"/>
      <c r="J30" s="123"/>
      <c r="K30" s="93"/>
      <c r="L30" s="93"/>
      <c r="M30" s="93"/>
      <c r="P30" s="133" t="n">
        <f aca="false">IF(T3&gt;6000,T3/6000,1)</f>
        <v>1</v>
      </c>
      <c r="S30" s="93"/>
      <c r="T30" s="93"/>
      <c r="U30" s="93"/>
    </row>
    <row r="31" customFormat="false" ht="17.25" hidden="false" customHeight="true" outlineLevel="0" collapsed="false">
      <c r="A31" s="116"/>
      <c r="B31" s="131"/>
      <c r="C31" s="132"/>
      <c r="D31" s="132"/>
      <c r="E31" s="119"/>
      <c r="F31" s="52"/>
      <c r="G31" s="23"/>
      <c r="H31" s="52"/>
      <c r="I31" s="122"/>
      <c r="J31" s="123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116"/>
      <c r="B32" s="131"/>
      <c r="C32" s="132"/>
      <c r="D32" s="132"/>
      <c r="E32" s="119"/>
      <c r="F32" s="52"/>
      <c r="G32" s="23"/>
      <c r="H32" s="52"/>
      <c r="I32" s="122"/>
      <c r="J32" s="123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116"/>
      <c r="B33" s="131"/>
      <c r="C33" s="132"/>
      <c r="D33" s="132"/>
      <c r="E33" s="119"/>
      <c r="F33" s="52"/>
      <c r="G33" s="23"/>
      <c r="H33" s="52"/>
      <c r="I33" s="122"/>
      <c r="J33" s="123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116"/>
      <c r="B34" s="131"/>
      <c r="C34" s="132"/>
      <c r="D34" s="132"/>
      <c r="E34" s="119"/>
      <c r="F34" s="52"/>
      <c r="G34" s="23"/>
      <c r="H34" s="52"/>
      <c r="I34" s="134" t="s">
        <v>38</v>
      </c>
      <c r="J34" s="134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35"/>
      <c r="B35" s="136"/>
      <c r="C35" s="137"/>
      <c r="D35" s="137"/>
      <c r="E35" s="138"/>
      <c r="F35" s="139"/>
      <c r="G35" s="140"/>
      <c r="H35" s="139"/>
      <c r="I35" s="141" t="n">
        <f aca="false">SUM(J22:J33)</f>
        <v>167.4</v>
      </c>
      <c r="J35" s="141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100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F5:G5"/>
    <mergeCell ref="N5:O5"/>
    <mergeCell ref="P5:Q5"/>
    <mergeCell ref="T5:U5"/>
    <mergeCell ref="N6:O6"/>
    <mergeCell ref="P6:Q6"/>
    <mergeCell ref="T6:U6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B16:D16"/>
    <mergeCell ref="F16:G16"/>
    <mergeCell ref="H16:I16"/>
    <mergeCell ref="B17:D17"/>
    <mergeCell ref="F17:G17"/>
    <mergeCell ref="H17:I17"/>
    <mergeCell ref="N17:O17"/>
    <mergeCell ref="B18:D18"/>
    <mergeCell ref="F18:G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F22:G22"/>
    <mergeCell ref="F23:G23"/>
    <mergeCell ref="F24:G24"/>
    <mergeCell ref="F25:G25"/>
    <mergeCell ref="B26:D26"/>
    <mergeCell ref="F26:G26"/>
    <mergeCell ref="B27:E27"/>
    <mergeCell ref="F27:G27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4" min="14" style="1" width="9.14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0" t="s">
        <v>177</v>
      </c>
      <c r="B1" s="20"/>
      <c r="C1" s="20"/>
      <c r="D1" s="20"/>
      <c r="E1" s="20"/>
      <c r="F1" s="20"/>
      <c r="G1" s="20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  <c r="V1" s="387" t="s">
        <v>106</v>
      </c>
      <c r="W1" s="388" t="n">
        <f aca="false">F11*E11+E12*F12</f>
        <v>13070</v>
      </c>
    </row>
    <row r="2" customFormat="false" ht="19.5" hidden="false" customHeight="true" outlineLevel="0" collapsed="false">
      <c r="A2" s="5" t="s">
        <v>3</v>
      </c>
      <c r="B2" s="251" t="s">
        <v>107</v>
      </c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  <c r="V2" s="387" t="s">
        <v>110</v>
      </c>
      <c r="W2" s="388" t="n">
        <f aca="false">F13*E13</f>
        <v>9100</v>
      </c>
    </row>
    <row r="3" customFormat="false" ht="19.5" hidden="false" customHeight="true" outlineLevel="0" collapsed="false">
      <c r="A3" s="254" t="s">
        <v>11</v>
      </c>
      <c r="B3" s="255" t="s">
        <v>111</v>
      </c>
      <c r="C3" s="255"/>
      <c r="D3" s="255"/>
      <c r="E3" s="255"/>
      <c r="F3" s="255"/>
      <c r="G3" s="255"/>
      <c r="H3" s="248"/>
      <c r="I3" s="248"/>
      <c r="J3" s="248"/>
      <c r="K3" s="256" t="s">
        <v>106</v>
      </c>
      <c r="L3" s="257" t="n">
        <f aca="false">IF(W1&gt;6000,W1/6000,1)</f>
        <v>2.17833333333333</v>
      </c>
      <c r="M3" s="258" t="n">
        <f aca="false">ROUNDUP(L3,0)</f>
        <v>3</v>
      </c>
      <c r="N3" s="259" t="n">
        <f aca="false">0.8*6*K33</f>
        <v>168</v>
      </c>
      <c r="O3" s="259"/>
      <c r="P3" s="260" t="n">
        <f aca="false">N3*M3</f>
        <v>504</v>
      </c>
      <c r="Q3" s="260"/>
      <c r="R3" s="261" t="str">
        <f aca="false">F5</f>
        <v>BRANCO</v>
      </c>
      <c r="S3" s="96" t="n">
        <v>6000</v>
      </c>
      <c r="T3" s="262" t="n">
        <f aca="false">0.8*W1/1000</f>
        <v>10.456</v>
      </c>
      <c r="U3" s="263" t="n">
        <f aca="false">M3*4.8</f>
        <v>14.4</v>
      </c>
      <c r="V3" s="387" t="s">
        <v>112</v>
      </c>
      <c r="W3" s="388" t="n">
        <f aca="false">F14*E14</f>
        <v>2045</v>
      </c>
    </row>
    <row r="4" customFormat="false" ht="19.5" hidden="false" customHeight="true" outlineLevel="0" collapsed="false">
      <c r="A4" s="254" t="s">
        <v>12</v>
      </c>
      <c r="B4" s="255" t="s">
        <v>113</v>
      </c>
      <c r="C4" s="255"/>
      <c r="D4" s="264" t="s">
        <v>13</v>
      </c>
      <c r="E4" s="264"/>
      <c r="F4" s="255" t="s">
        <v>175</v>
      </c>
      <c r="G4" s="255"/>
      <c r="H4" s="248"/>
      <c r="I4" s="248"/>
      <c r="J4" s="248"/>
      <c r="K4" s="256" t="s">
        <v>110</v>
      </c>
      <c r="L4" s="265" t="n">
        <f aca="false">IF(W2&gt;6000,W2/6000,1)</f>
        <v>1.51666666666667</v>
      </c>
      <c r="M4" s="154" t="n">
        <f aca="false">ROUNDUP(L4,0)</f>
        <v>2</v>
      </c>
      <c r="N4" s="266" t="n">
        <f aca="false">0.266*6*K33</f>
        <v>55.86</v>
      </c>
      <c r="O4" s="266"/>
      <c r="P4" s="267" t="n">
        <f aca="false">N4*M4</f>
        <v>111.72</v>
      </c>
      <c r="Q4" s="267"/>
      <c r="R4" s="268" t="str">
        <f aca="false">F5</f>
        <v>BRANCO</v>
      </c>
      <c r="S4" s="96" t="n">
        <v>6000</v>
      </c>
      <c r="T4" s="262" t="n">
        <f aca="false">0.266*W2/1000</f>
        <v>2.4206</v>
      </c>
      <c r="U4" s="262" t="n">
        <f aca="false">M4*1.596</f>
        <v>3.192</v>
      </c>
      <c r="V4" s="387" t="s">
        <v>115</v>
      </c>
      <c r="W4" s="388" t="n">
        <f aca="false">F15*E15</f>
        <v>56879.4533333333</v>
      </c>
    </row>
    <row r="5" customFormat="false" ht="19.5" hidden="false" customHeight="true" outlineLevel="0" collapsed="false">
      <c r="A5" s="254" t="s">
        <v>14</v>
      </c>
      <c r="B5" s="269" t="n">
        <v>44580</v>
      </c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256" t="s">
        <v>112</v>
      </c>
      <c r="L5" s="265" t="n">
        <f aca="false">IF(W3&gt;6000,W3/6000,1)</f>
        <v>1</v>
      </c>
      <c r="M5" s="154" t="n">
        <f aca="false">ROUNDUP(L5,0)</f>
        <v>1</v>
      </c>
      <c r="N5" s="266" t="n">
        <f aca="false">0.577*6*K33</f>
        <v>121.17</v>
      </c>
      <c r="O5" s="266"/>
      <c r="P5" s="267" t="n">
        <f aca="false">N5*M5</f>
        <v>121.17</v>
      </c>
      <c r="Q5" s="267"/>
      <c r="R5" s="268" t="str">
        <f aca="false">F5</f>
        <v>BRANCO</v>
      </c>
      <c r="S5" s="96" t="n">
        <v>6000</v>
      </c>
      <c r="T5" s="262" t="n">
        <f aca="false">0.577*W3/1000</f>
        <v>1.179965</v>
      </c>
      <c r="U5" s="262" t="n">
        <f aca="false">M5*3.462</f>
        <v>3.462</v>
      </c>
      <c r="V5" s="387" t="s">
        <v>176</v>
      </c>
      <c r="W5" s="388" t="n">
        <f aca="false">F16*E16</f>
        <v>14317.5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256" t="s">
        <v>178</v>
      </c>
      <c r="L6" s="265" t="n">
        <f aca="false">IF(W4&gt;6000,W4/6000,1)</f>
        <v>9.47990888888889</v>
      </c>
      <c r="M6" s="154" t="n">
        <f aca="false">ROUNDUP(L6,0)</f>
        <v>10</v>
      </c>
      <c r="N6" s="266" t="n">
        <f aca="false">0.587*6*K33</f>
        <v>123.27</v>
      </c>
      <c r="O6" s="266"/>
      <c r="P6" s="267" t="n">
        <f aca="false">N6*M6</f>
        <v>1232.7</v>
      </c>
      <c r="Q6" s="267"/>
      <c r="R6" s="268" t="str">
        <f aca="false">F5</f>
        <v>BRANCO</v>
      </c>
      <c r="S6" s="96" t="n">
        <v>6000</v>
      </c>
      <c r="T6" s="262" t="n">
        <f aca="false">0.587*W4/1000</f>
        <v>33.3882391066667</v>
      </c>
      <c r="U6" s="262" t="n">
        <f aca="false">M6*3.522</f>
        <v>35.22</v>
      </c>
    </row>
    <row r="7" customFormat="false" ht="27" hidden="false" customHeight="true" outlineLevel="0" collapsed="false">
      <c r="A7" s="271" t="n">
        <v>500</v>
      </c>
      <c r="B7" s="272" t="n">
        <v>4500</v>
      </c>
      <c r="C7" s="272" t="n">
        <v>2000</v>
      </c>
      <c r="D7" s="272" t="n">
        <v>1</v>
      </c>
      <c r="E7" s="276" t="n">
        <f aca="false">(B7*C7)/10^6</f>
        <v>9</v>
      </c>
      <c r="F7" s="276"/>
      <c r="G7" s="270"/>
      <c r="H7" s="270"/>
      <c r="I7" s="270"/>
      <c r="J7" s="270"/>
      <c r="K7" s="256" t="s">
        <v>176</v>
      </c>
      <c r="L7" s="265" t="n">
        <f aca="false">IF(W5&gt;6000,W5/6000,1)</f>
        <v>2.38625</v>
      </c>
      <c r="M7" s="154" t="n">
        <f aca="false">ROUNDUP(L7,0)</f>
        <v>3</v>
      </c>
      <c r="N7" s="266" t="n">
        <f aca="false">0.362*6*K33</f>
        <v>76.02</v>
      </c>
      <c r="O7" s="266"/>
      <c r="P7" s="267" t="n">
        <f aca="false">N7*M7</f>
        <v>228.06</v>
      </c>
      <c r="Q7" s="267"/>
      <c r="R7" s="268" t="str">
        <f aca="false">F5</f>
        <v>BRANCO</v>
      </c>
      <c r="S7" s="96" t="n">
        <v>6000</v>
      </c>
      <c r="T7" s="262" t="n">
        <f aca="false">0.362*W5/1000</f>
        <v>5.182935</v>
      </c>
      <c r="U7" s="262" t="n">
        <f aca="false">M7*2.172</f>
        <v>6.516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4500</v>
      </c>
      <c r="D8" s="274"/>
      <c r="E8" s="20" t="s">
        <v>16</v>
      </c>
      <c r="F8" s="39"/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4500</v>
      </c>
      <c r="D9" s="275"/>
      <c r="E9" s="389"/>
      <c r="F9" s="390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106</v>
      </c>
      <c r="B11" s="278" t="s">
        <v>123</v>
      </c>
      <c r="C11" s="278"/>
      <c r="D11" s="278"/>
      <c r="E11" s="15" t="n">
        <f aca="false">D7*2</f>
        <v>2</v>
      </c>
      <c r="F11" s="69" t="n">
        <f aca="false">B7+50</f>
        <v>4550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106</v>
      </c>
      <c r="B12" s="279" t="s">
        <v>124</v>
      </c>
      <c r="C12" s="279"/>
      <c r="D12" s="279"/>
      <c r="E12" s="24" t="n">
        <f aca="false">D7*2</f>
        <v>2</v>
      </c>
      <c r="F12" s="97" t="n">
        <f aca="false">C7-15</f>
        <v>1985</v>
      </c>
      <c r="G12" s="97"/>
      <c r="H12" s="83" t="s">
        <v>18</v>
      </c>
      <c r="I12" s="83"/>
      <c r="J12" s="83" t="s">
        <v>33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110</v>
      </c>
      <c r="B13" s="279" t="s">
        <v>125</v>
      </c>
      <c r="C13" s="279"/>
      <c r="D13" s="279"/>
      <c r="E13" s="24" t="n">
        <f aca="false">D7*1</f>
        <v>1</v>
      </c>
      <c r="F13" s="97" t="n">
        <f aca="false">F11*2</f>
        <v>9100</v>
      </c>
      <c r="G13" s="97"/>
      <c r="H13" s="83" t="s">
        <v>17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112</v>
      </c>
      <c r="B14" s="279" t="s">
        <v>126</v>
      </c>
      <c r="C14" s="279"/>
      <c r="D14" s="279"/>
      <c r="E14" s="24" t="n">
        <f aca="false">D7*1</f>
        <v>1</v>
      </c>
      <c r="F14" s="24" t="n">
        <f aca="false">F12+60</f>
        <v>2045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178</v>
      </c>
      <c r="B15" s="279" t="s">
        <v>127</v>
      </c>
      <c r="C15" s="279"/>
      <c r="D15" s="279"/>
      <c r="E15" s="24" t="n">
        <f aca="false">(C7-93)/150*D7</f>
        <v>12.7133333333333</v>
      </c>
      <c r="F15" s="24" t="n">
        <f aca="false">F11-76</f>
        <v>4474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176</v>
      </c>
      <c r="B16" s="279" t="s">
        <v>179</v>
      </c>
      <c r="C16" s="279"/>
      <c r="D16" s="279"/>
      <c r="E16" s="24" t="n">
        <f aca="false">(B7/600)</f>
        <v>7.5</v>
      </c>
      <c r="F16" s="24" t="n">
        <f aca="false">F12-76</f>
        <v>1909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Q25" s="84" t="n">
        <f aca="false">U25*K33</f>
        <v>1841.97086873333</v>
      </c>
      <c r="R25" s="84"/>
      <c r="S25" s="73" t="s">
        <v>130</v>
      </c>
      <c r="T25" s="73"/>
      <c r="U25" s="292" t="n">
        <f aca="false">SUM(T3:T24)</f>
        <v>52.6277391066667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Q26" s="266" t="n">
        <f aca="false">U26*K33</f>
        <v>2197.65</v>
      </c>
      <c r="R26" s="266"/>
      <c r="S26" s="73" t="s">
        <v>131</v>
      </c>
      <c r="T26" s="73"/>
      <c r="U26" s="294" t="n">
        <f aca="false">SUM(U3:U24)</f>
        <v>62.79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Q27" s="84" t="n">
        <f aca="false">U27*K33</f>
        <v>355.679131266667</v>
      </c>
      <c r="R27" s="84"/>
      <c r="S27" s="73" t="s">
        <v>132</v>
      </c>
      <c r="T27" s="73"/>
      <c r="U27" s="292" t="n">
        <f aca="false">U26-U25</f>
        <v>10.1622608933333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297" t="s">
        <v>133</v>
      </c>
      <c r="L32" s="298" t="s">
        <v>134</v>
      </c>
      <c r="M32" s="299" t="s">
        <v>135</v>
      </c>
      <c r="N32" s="299"/>
      <c r="O32" s="4" t="s">
        <v>136</v>
      </c>
      <c r="P32" s="4"/>
      <c r="Q32" s="4"/>
      <c r="R32" s="4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301" t="n">
        <v>35</v>
      </c>
      <c r="L33" s="301" t="n">
        <v>60</v>
      </c>
      <c r="M33" s="302" t="n">
        <f aca="false">U25*L33+J55</f>
        <v>3277.94201306667</v>
      </c>
      <c r="N33" s="302"/>
      <c r="O33" s="303" t="n">
        <v>0</v>
      </c>
      <c r="P33" s="85" t="n">
        <f aca="false">Q25*O33+Q25+J55</f>
        <v>1962.2485354</v>
      </c>
      <c r="Q33" s="85"/>
      <c r="R33" s="85"/>
    </row>
    <row r="34" customFormat="false" ht="22.5" hidden="false" customHeight="true" outlineLevel="0" collapsed="false">
      <c r="A34" s="304" t="s">
        <v>35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5"/>
      <c r="L34" s="305"/>
      <c r="M34" s="305"/>
      <c r="N34" s="305"/>
      <c r="O34" s="306" t="s">
        <v>137</v>
      </c>
      <c r="P34" s="306"/>
      <c r="Q34" s="306"/>
      <c r="R34" s="306"/>
      <c r="S34" s="306"/>
      <c r="T34" s="306"/>
      <c r="U34" s="306"/>
    </row>
    <row r="35" customFormat="false" ht="15" hidden="false" customHeight="true" outlineLevel="0" collapsed="false">
      <c r="A35" s="307" t="s">
        <v>51</v>
      </c>
      <c r="B35" s="308" t="s">
        <v>26</v>
      </c>
      <c r="C35" s="308"/>
      <c r="D35" s="308"/>
      <c r="E35" s="308"/>
      <c r="F35" s="304" t="s">
        <v>138</v>
      </c>
      <c r="G35" s="304"/>
      <c r="H35" s="309" t="s">
        <v>5</v>
      </c>
      <c r="I35" s="310" t="s">
        <v>139</v>
      </c>
      <c r="J35" s="311" t="s">
        <v>140</v>
      </c>
      <c r="K35" s="305"/>
      <c r="L35" s="305"/>
      <c r="M35" s="305"/>
      <c r="N35" s="305"/>
      <c r="O35" s="312" t="s">
        <v>141</v>
      </c>
      <c r="P35" s="312"/>
      <c r="Q35" s="312"/>
      <c r="R35" s="312"/>
      <c r="S35" s="312"/>
      <c r="T35" s="312"/>
      <c r="U35" s="312"/>
    </row>
    <row r="36" customFormat="false" ht="21.75" hidden="false" customHeight="true" outlineLevel="0" collapsed="false">
      <c r="A36" s="313" t="s">
        <v>142</v>
      </c>
      <c r="B36" s="314" t="s">
        <v>143</v>
      </c>
      <c r="C36" s="314"/>
      <c r="D36" s="314"/>
      <c r="E36" s="314"/>
      <c r="F36" s="315" t="s">
        <v>64</v>
      </c>
      <c r="G36" s="315"/>
      <c r="H36" s="316" t="n">
        <f aca="false">D7*2</f>
        <v>2</v>
      </c>
      <c r="I36" s="317" t="n">
        <v>18</v>
      </c>
      <c r="J36" s="318" t="n">
        <f aca="false">I36*H36</f>
        <v>36</v>
      </c>
      <c r="K36" s="305"/>
      <c r="L36" s="305"/>
      <c r="M36" s="305"/>
      <c r="N36" s="305"/>
      <c r="O36" s="312" t="s">
        <v>144</v>
      </c>
      <c r="P36" s="312"/>
      <c r="Q36" s="312"/>
      <c r="R36" s="312"/>
      <c r="S36" s="312"/>
      <c r="T36" s="312"/>
      <c r="U36" s="312"/>
    </row>
    <row r="37" customFormat="false" ht="21.75" hidden="false" customHeight="true" outlineLevel="0" collapsed="false">
      <c r="A37" s="319" t="s">
        <v>145</v>
      </c>
      <c r="B37" s="320" t="s">
        <v>146</v>
      </c>
      <c r="C37" s="320"/>
      <c r="D37" s="320"/>
      <c r="E37" s="320"/>
      <c r="F37" s="321" t="s">
        <v>64</v>
      </c>
      <c r="G37" s="321"/>
      <c r="H37" s="82" t="n">
        <f aca="false">D7*2</f>
        <v>2</v>
      </c>
      <c r="I37" s="322" t="n">
        <v>5</v>
      </c>
      <c r="J37" s="323" t="n">
        <f aca="false">I37*H37</f>
        <v>10</v>
      </c>
      <c r="K37" s="305"/>
      <c r="L37" s="305"/>
      <c r="M37" s="305"/>
      <c r="N37" s="305"/>
      <c r="O37" s="324"/>
      <c r="P37" s="324"/>
      <c r="Q37" s="324"/>
      <c r="R37" s="324"/>
      <c r="S37" s="324"/>
      <c r="T37" s="325"/>
      <c r="U37" s="326" t="s">
        <v>147</v>
      </c>
    </row>
    <row r="38" customFormat="false" ht="21.75" hidden="false" customHeight="true" outlineLevel="0" collapsed="false">
      <c r="A38" s="319" t="s">
        <v>148</v>
      </c>
      <c r="B38" s="320" t="s">
        <v>149</v>
      </c>
      <c r="C38" s="320"/>
      <c r="D38" s="320"/>
      <c r="E38" s="320"/>
      <c r="F38" s="321" t="s">
        <v>64</v>
      </c>
      <c r="G38" s="321"/>
      <c r="H38" s="327" t="n">
        <f aca="false">D7*1</f>
        <v>1</v>
      </c>
      <c r="I38" s="322" t="n">
        <v>50</v>
      </c>
      <c r="J38" s="323" t="n">
        <f aca="false">I38*H38</f>
        <v>50</v>
      </c>
      <c r="K38" s="89"/>
      <c r="L38" s="89"/>
      <c r="O38" s="328"/>
      <c r="P38" s="328"/>
      <c r="Q38" s="328"/>
      <c r="R38" s="328"/>
      <c r="S38" s="328"/>
      <c r="T38" s="329"/>
      <c r="U38" s="330" t="s">
        <v>150</v>
      </c>
    </row>
    <row r="39" customFormat="false" ht="21.75" hidden="false" customHeight="true" outlineLevel="0" collapsed="false">
      <c r="A39" s="319" t="s">
        <v>151</v>
      </c>
      <c r="B39" s="320" t="s">
        <v>152</v>
      </c>
      <c r="C39" s="320"/>
      <c r="D39" s="320"/>
      <c r="E39" s="320"/>
      <c r="F39" s="321" t="s">
        <v>64</v>
      </c>
      <c r="G39" s="321"/>
      <c r="H39" s="327" t="n">
        <f aca="false">(((D7*50)+(E15*2)+(E16*E15)))</f>
        <v>170.776666666667</v>
      </c>
      <c r="I39" s="322" t="n">
        <v>0.1</v>
      </c>
      <c r="J39" s="323" t="n">
        <f aca="false">I39*H39</f>
        <v>17.0776666666667</v>
      </c>
      <c r="K39" s="331"/>
      <c r="L39" s="331"/>
      <c r="U39" s="328" t="s">
        <v>153</v>
      </c>
    </row>
    <row r="40" customFormat="false" ht="21.75" hidden="false" customHeight="true" outlineLevel="0" collapsed="false">
      <c r="A40" s="319" t="s">
        <v>180</v>
      </c>
      <c r="B40" s="320" t="s">
        <v>181</v>
      </c>
      <c r="C40" s="320"/>
      <c r="D40" s="320"/>
      <c r="E40" s="320"/>
      <c r="F40" s="321" t="s">
        <v>64</v>
      </c>
      <c r="G40" s="321"/>
      <c r="H40" s="332" t="n">
        <f aca="false">E16*2+1</f>
        <v>16</v>
      </c>
      <c r="I40" s="322" t="n">
        <v>0.45</v>
      </c>
      <c r="J40" s="323" t="n">
        <f aca="false">I40*H40</f>
        <v>7.2</v>
      </c>
      <c r="K40" s="333"/>
      <c r="L40" s="333"/>
      <c r="M40" s="109"/>
      <c r="N40" s="109"/>
      <c r="S40" s="93"/>
      <c r="T40" s="93"/>
      <c r="U40" s="334" t="s">
        <v>154</v>
      </c>
    </row>
    <row r="41" customFormat="false" ht="21.75" hidden="false" customHeight="true" outlineLevel="0" collapsed="false">
      <c r="A41" s="319"/>
      <c r="B41" s="335"/>
      <c r="C41" s="336"/>
      <c r="D41" s="336"/>
      <c r="E41" s="336"/>
      <c r="F41" s="335"/>
      <c r="G41" s="337"/>
      <c r="H41" s="268"/>
      <c r="I41" s="338"/>
      <c r="J41" s="338"/>
      <c r="K41" s="339" t="str">
        <f aca="false">A1</f>
        <v>PORTÃO DE CORRER/LAMBRI CORRUGADO/VÃO LIVRE SEM SOCIAL</v>
      </c>
      <c r="L41" s="339"/>
      <c r="M41" s="339"/>
      <c r="N41" s="339"/>
      <c r="O41" s="339"/>
      <c r="P41" s="339"/>
      <c r="Q41" s="339"/>
      <c r="R41" s="339"/>
      <c r="S41" s="339"/>
      <c r="T41" s="339"/>
      <c r="U41" s="339"/>
    </row>
    <row r="42" customFormat="false" ht="21.75" hidden="false" customHeight="true" outlineLevel="0" collapsed="false">
      <c r="A42" s="319"/>
      <c r="B42" s="335"/>
      <c r="C42" s="336"/>
      <c r="D42" s="336"/>
      <c r="E42" s="336"/>
      <c r="F42" s="335"/>
      <c r="G42" s="337"/>
      <c r="H42" s="268"/>
      <c r="I42" s="338"/>
      <c r="J42" s="338"/>
      <c r="K42" s="340" t="s">
        <v>155</v>
      </c>
      <c r="L42" s="341" t="str">
        <f aca="false">B2</f>
        <v>Francisco Gleison</v>
      </c>
      <c r="M42" s="341"/>
      <c r="N42" s="341"/>
      <c r="O42" s="341"/>
      <c r="P42" s="341"/>
      <c r="Q42" s="342" t="s">
        <v>156</v>
      </c>
      <c r="R42" s="343"/>
      <c r="S42" s="343"/>
      <c r="T42" s="343"/>
      <c r="U42" s="343"/>
    </row>
    <row r="43" customFormat="false" ht="21.75" hidden="false" customHeight="true" outlineLevel="0" collapsed="false">
      <c r="A43" s="319"/>
      <c r="B43" s="335"/>
      <c r="C43" s="336"/>
      <c r="D43" s="336"/>
      <c r="E43" s="336"/>
      <c r="F43" s="335"/>
      <c r="G43" s="337"/>
      <c r="H43" s="268"/>
      <c r="I43" s="344"/>
      <c r="J43" s="344"/>
      <c r="K43" s="345" t="s">
        <v>157</v>
      </c>
      <c r="L43" s="346"/>
      <c r="M43" s="346"/>
      <c r="N43" s="347" t="s">
        <v>158</v>
      </c>
      <c r="O43" s="348"/>
      <c r="P43" s="348"/>
      <c r="Q43" s="345" t="s">
        <v>159</v>
      </c>
      <c r="R43" s="349"/>
      <c r="S43" s="349"/>
      <c r="T43" s="349"/>
      <c r="U43" s="349"/>
    </row>
    <row r="44" customFormat="false" ht="21.75" hidden="false" customHeight="true" outlineLevel="0" collapsed="false">
      <c r="A44" s="319"/>
      <c r="B44" s="335"/>
      <c r="C44" s="336"/>
      <c r="D44" s="336"/>
      <c r="E44" s="336"/>
      <c r="F44" s="335"/>
      <c r="G44" s="337"/>
      <c r="H44" s="268"/>
      <c r="I44" s="344"/>
      <c r="J44" s="344"/>
      <c r="K44" s="350" t="s">
        <v>160</v>
      </c>
      <c r="L44" s="351" t="str">
        <f aca="false">F5</f>
        <v>BRANCO</v>
      </c>
      <c r="M44" s="351"/>
      <c r="N44" s="351"/>
      <c r="O44" s="351"/>
      <c r="P44" s="352" t="s">
        <v>161</v>
      </c>
      <c r="Q44" s="353"/>
      <c r="R44" s="353"/>
      <c r="S44" s="353"/>
      <c r="T44" s="353"/>
      <c r="U44" s="353"/>
    </row>
    <row r="45" customFormat="false" ht="21.75" hidden="false" customHeight="true" outlineLevel="0" collapsed="false">
      <c r="A45" s="319"/>
      <c r="B45" s="335"/>
      <c r="C45" s="336"/>
      <c r="D45" s="336"/>
      <c r="E45" s="336"/>
      <c r="F45" s="335"/>
      <c r="G45" s="337"/>
      <c r="H45" s="268"/>
      <c r="I45" s="344"/>
      <c r="J45" s="344"/>
      <c r="K45" s="350" t="s">
        <v>162</v>
      </c>
      <c r="L45" s="354"/>
      <c r="M45" s="354"/>
      <c r="N45" s="354"/>
      <c r="O45" s="354"/>
      <c r="P45" s="355"/>
      <c r="Q45" s="124"/>
      <c r="R45" s="124"/>
      <c r="S45" s="124"/>
      <c r="T45" s="124"/>
      <c r="U45" s="356"/>
    </row>
    <row r="46" customFormat="false" ht="21.75" hidden="false" customHeight="true" outlineLevel="0" collapsed="false">
      <c r="A46" s="319"/>
      <c r="B46" s="208"/>
      <c r="C46" s="296"/>
      <c r="D46" s="296"/>
      <c r="E46" s="296"/>
      <c r="F46" s="208"/>
      <c r="G46" s="357"/>
      <c r="H46" s="268"/>
      <c r="I46" s="344"/>
      <c r="J46" s="344"/>
      <c r="K46" s="358"/>
      <c r="L46" s="93"/>
      <c r="M46" s="93"/>
      <c r="N46" s="93"/>
      <c r="O46" s="93"/>
      <c r="P46" s="355"/>
      <c r="Q46" s="124"/>
      <c r="R46" s="124"/>
      <c r="S46" s="124"/>
      <c r="T46" s="124"/>
      <c r="U46" s="356"/>
    </row>
    <row r="47" customFormat="false" ht="21.75" hidden="false" customHeight="true" outlineLevel="0" collapsed="false">
      <c r="A47" s="319"/>
      <c r="B47" s="208"/>
      <c r="C47" s="296"/>
      <c r="D47" s="296"/>
      <c r="E47" s="296"/>
      <c r="F47" s="208"/>
      <c r="G47" s="357"/>
      <c r="H47" s="268"/>
      <c r="I47" s="338"/>
      <c r="J47" s="338"/>
      <c r="K47" s="359" t="s">
        <v>6</v>
      </c>
      <c r="L47" s="360"/>
      <c r="M47" s="361" t="s">
        <v>163</v>
      </c>
      <c r="N47" s="362"/>
      <c r="O47" s="362"/>
      <c r="P47" s="355"/>
      <c r="Q47" s="124"/>
      <c r="R47" s="124"/>
      <c r="S47" s="124"/>
      <c r="T47" s="124"/>
      <c r="U47" s="356"/>
    </row>
    <row r="48" customFormat="false" ht="21.75" hidden="false" customHeight="true" outlineLevel="0" collapsed="false">
      <c r="A48" s="128"/>
      <c r="B48" s="52"/>
      <c r="F48" s="52"/>
      <c r="G48" s="23"/>
      <c r="H48" s="27"/>
      <c r="I48" s="363"/>
      <c r="J48" s="363"/>
      <c r="K48" s="359" t="s">
        <v>7</v>
      </c>
      <c r="L48" s="360"/>
      <c r="M48" s="361" t="s">
        <v>163</v>
      </c>
      <c r="N48" s="362"/>
      <c r="O48" s="362"/>
      <c r="P48" s="355"/>
      <c r="Q48" s="124"/>
      <c r="R48" s="124"/>
      <c r="S48" s="124"/>
      <c r="T48" s="124"/>
      <c r="U48" s="356"/>
    </row>
    <row r="49" customFormat="false" ht="21.75" hidden="false" customHeight="true" outlineLevel="0" collapsed="false">
      <c r="A49" s="128"/>
      <c r="B49" s="208"/>
      <c r="C49" s="296"/>
      <c r="D49" s="296"/>
      <c r="E49" s="296"/>
      <c r="F49" s="208"/>
      <c r="G49" s="357"/>
      <c r="H49" s="268"/>
      <c r="I49" s="344"/>
      <c r="J49" s="344"/>
      <c r="K49" s="364"/>
      <c r="L49" s="365"/>
      <c r="M49" s="365"/>
      <c r="N49" s="365"/>
      <c r="O49" s="365"/>
      <c r="P49" s="366"/>
      <c r="Q49" s="367"/>
      <c r="R49" s="367"/>
      <c r="S49" s="367"/>
      <c r="T49" s="367"/>
      <c r="U49" s="368"/>
    </row>
    <row r="50" customFormat="false" ht="21.75" hidden="false" customHeight="true" outlineLevel="0" collapsed="false">
      <c r="A50" s="128"/>
      <c r="B50" s="208"/>
      <c r="C50" s="296"/>
      <c r="D50" s="296"/>
      <c r="E50" s="296"/>
      <c r="F50" s="208"/>
      <c r="G50" s="357"/>
      <c r="H50" s="268"/>
      <c r="I50" s="369"/>
      <c r="J50" s="369"/>
      <c r="K50" s="370" t="s">
        <v>164</v>
      </c>
      <c r="L50" s="371"/>
      <c r="M50" s="371"/>
      <c r="N50" s="372" t="s">
        <v>165</v>
      </c>
      <c r="O50" s="372"/>
      <c r="P50" s="372"/>
      <c r="Q50" s="372"/>
      <c r="R50" s="372"/>
      <c r="S50" s="372"/>
      <c r="T50" s="372"/>
      <c r="U50" s="372"/>
    </row>
    <row r="51" customFormat="false" ht="21.75" hidden="false" customHeight="true" outlineLevel="0" collapsed="false">
      <c r="A51" s="128"/>
      <c r="B51" s="208"/>
      <c r="C51" s="296"/>
      <c r="D51" s="296"/>
      <c r="E51" s="296"/>
      <c r="F51" s="208"/>
      <c r="G51" s="357"/>
      <c r="H51" s="268"/>
      <c r="I51" s="47"/>
      <c r="J51" s="47"/>
      <c r="K51" s="370" t="s">
        <v>166</v>
      </c>
      <c r="L51" s="371"/>
      <c r="M51" s="373" t="s">
        <v>167</v>
      </c>
      <c r="N51" s="373"/>
      <c r="O51" s="374" t="s">
        <v>168</v>
      </c>
      <c r="P51" s="374"/>
      <c r="Q51" s="373" t="s">
        <v>169</v>
      </c>
      <c r="R51" s="373"/>
      <c r="S51" s="375" t="s">
        <v>170</v>
      </c>
      <c r="T51" s="376" t="n">
        <f aca="false">SUM(N47:O48)</f>
        <v>0</v>
      </c>
      <c r="U51" s="376"/>
    </row>
    <row r="52" customFormat="false" ht="21.75" hidden="false" customHeight="true" outlineLevel="0" collapsed="false">
      <c r="A52" s="128"/>
      <c r="B52" s="208"/>
      <c r="C52" s="296"/>
      <c r="D52" s="296"/>
      <c r="E52" s="296"/>
      <c r="F52" s="208"/>
      <c r="G52" s="357"/>
      <c r="H52" s="268"/>
      <c r="I52" s="47"/>
      <c r="J52" s="47"/>
      <c r="K52" s="377"/>
      <c r="L52" s="377"/>
      <c r="M52" s="377"/>
      <c r="N52" s="377"/>
      <c r="O52" s="377"/>
      <c r="P52" s="377"/>
      <c r="Q52" s="377"/>
      <c r="R52" s="377"/>
      <c r="S52" s="377"/>
      <c r="T52" s="377"/>
      <c r="U52" s="377"/>
    </row>
    <row r="53" customFormat="false" ht="21.75" hidden="false" customHeight="true" outlineLevel="0" collapsed="false">
      <c r="A53" s="128"/>
      <c r="B53" s="208"/>
      <c r="C53" s="296"/>
      <c r="D53" s="296"/>
      <c r="E53" s="296"/>
      <c r="F53" s="208"/>
      <c r="G53" s="357"/>
      <c r="H53" s="268"/>
      <c r="I53" s="369"/>
      <c r="J53" s="369"/>
      <c r="K53" s="377"/>
      <c r="L53" s="377"/>
      <c r="M53" s="377"/>
      <c r="N53" s="377"/>
      <c r="O53" s="377"/>
      <c r="P53" s="377"/>
      <c r="Q53" s="378" t="s">
        <v>171</v>
      </c>
      <c r="R53" s="378"/>
      <c r="S53" s="378"/>
      <c r="T53" s="378"/>
      <c r="U53" s="378"/>
    </row>
    <row r="54" customFormat="false" ht="21.75" hidden="false" customHeight="true" outlineLevel="0" collapsed="false">
      <c r="A54" s="379"/>
      <c r="B54" s="380"/>
      <c r="C54" s="381"/>
      <c r="D54" s="381"/>
      <c r="E54" s="381"/>
      <c r="F54" s="380"/>
      <c r="G54" s="382"/>
      <c r="H54" s="289"/>
      <c r="I54" s="383"/>
      <c r="J54" s="383"/>
      <c r="K54" s="377"/>
      <c r="L54" s="377"/>
      <c r="M54" s="377"/>
      <c r="N54" s="377"/>
      <c r="O54" s="377"/>
      <c r="P54" s="377"/>
      <c r="Q54" s="333" t="s">
        <v>172</v>
      </c>
      <c r="R54" s="333"/>
      <c r="S54" s="333"/>
      <c r="T54" s="333"/>
      <c r="U54" s="333"/>
    </row>
    <row r="55" customFormat="false" ht="21.75" hidden="false" customHeight="true" outlineLevel="0" collapsed="false">
      <c r="I55" s="384" t="s">
        <v>173</v>
      </c>
      <c r="J55" s="385" t="n">
        <f aca="false">SUM(J36:J54)</f>
        <v>120.277666666667</v>
      </c>
    </row>
    <row r="56" customFormat="false" ht="15" hidden="false" customHeight="false" outlineLevel="0" collapsed="false">
      <c r="K56" s="386" t="str">
        <f aca="false">O34</f>
        <v>NOME DE SUA EMPRESA</v>
      </c>
      <c r="L56" s="386"/>
      <c r="M56" s="386"/>
      <c r="N56" s="386"/>
      <c r="O56" s="386"/>
      <c r="P56" s="386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Q25:R25"/>
    <mergeCell ref="S25:T25"/>
    <mergeCell ref="B26:D26"/>
    <mergeCell ref="F26:G26"/>
    <mergeCell ref="H26:I26"/>
    <mergeCell ref="Q26:R26"/>
    <mergeCell ref="S26:T26"/>
    <mergeCell ref="Q27:R27"/>
    <mergeCell ref="S27:T27"/>
    <mergeCell ref="M32:N32"/>
    <mergeCell ref="O32:R32"/>
    <mergeCell ref="M33:N33"/>
    <mergeCell ref="P33:R33"/>
    <mergeCell ref="A34:J34"/>
    <mergeCell ref="K34:N37"/>
    <mergeCell ref="O34:U34"/>
    <mergeCell ref="B35:E35"/>
    <mergeCell ref="F35:G35"/>
    <mergeCell ref="O35:U35"/>
    <mergeCell ref="B36:E36"/>
    <mergeCell ref="F36:G36"/>
    <mergeCell ref="O36:U36"/>
    <mergeCell ref="B37:E37"/>
    <mergeCell ref="F37:G37"/>
    <mergeCell ref="B38:E38"/>
    <mergeCell ref="F38:G38"/>
    <mergeCell ref="K38:L38"/>
    <mergeCell ref="B39:E39"/>
    <mergeCell ref="F39:G39"/>
    <mergeCell ref="K39:L39"/>
    <mergeCell ref="B40:E40"/>
    <mergeCell ref="F40:G40"/>
    <mergeCell ref="K40:L40"/>
    <mergeCell ref="K41:U41"/>
    <mergeCell ref="L42:P42"/>
    <mergeCell ref="R42:U42"/>
    <mergeCell ref="L43:M43"/>
    <mergeCell ref="O43:P43"/>
    <mergeCell ref="R43:U43"/>
    <mergeCell ref="L44:O44"/>
    <mergeCell ref="Q44:U44"/>
    <mergeCell ref="L45:O45"/>
    <mergeCell ref="N47:O47"/>
    <mergeCell ref="N48:O48"/>
    <mergeCell ref="N50:U50"/>
    <mergeCell ref="M51:N51"/>
    <mergeCell ref="O51:P51"/>
    <mergeCell ref="Q51:R51"/>
    <mergeCell ref="T51:U51"/>
    <mergeCell ref="Q53:U53"/>
    <mergeCell ref="Q54:U54"/>
    <mergeCell ref="K56:P5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4" min="14" style="1" width="9.14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0" t="s">
        <v>182</v>
      </c>
      <c r="B1" s="20"/>
      <c r="C1" s="20"/>
      <c r="D1" s="20"/>
      <c r="E1" s="20"/>
      <c r="F1" s="20"/>
      <c r="G1" s="20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  <c r="V1" s="387" t="s">
        <v>106</v>
      </c>
      <c r="W1" s="388" t="n">
        <f aca="false">F11*E11+E12*F12</f>
        <v>13070</v>
      </c>
    </row>
    <row r="2" customFormat="false" ht="19.5" hidden="false" customHeight="true" outlineLevel="0" collapsed="false">
      <c r="A2" s="5" t="s">
        <v>3</v>
      </c>
      <c r="B2" s="251" t="s">
        <v>107</v>
      </c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  <c r="V2" s="387" t="s">
        <v>110</v>
      </c>
      <c r="W2" s="388" t="n">
        <f aca="false">F13*E13</f>
        <v>9100</v>
      </c>
    </row>
    <row r="3" customFormat="false" ht="19.5" hidden="false" customHeight="true" outlineLevel="0" collapsed="false">
      <c r="A3" s="254" t="s">
        <v>11</v>
      </c>
      <c r="B3" s="255" t="s">
        <v>111</v>
      </c>
      <c r="C3" s="255"/>
      <c r="D3" s="255"/>
      <c r="E3" s="255"/>
      <c r="F3" s="255"/>
      <c r="G3" s="255"/>
      <c r="H3" s="248"/>
      <c r="I3" s="248"/>
      <c r="J3" s="248"/>
      <c r="K3" s="256" t="s">
        <v>106</v>
      </c>
      <c r="L3" s="257" t="n">
        <f aca="false">IF(W1&gt;6000,W1/6000,1)</f>
        <v>2.17833333333333</v>
      </c>
      <c r="M3" s="258" t="n">
        <f aca="false">ROUNDUP(L3,0)</f>
        <v>3</v>
      </c>
      <c r="N3" s="259" t="n">
        <f aca="false">0.8*6*K33</f>
        <v>288</v>
      </c>
      <c r="O3" s="259"/>
      <c r="P3" s="260" t="n">
        <f aca="false">N3*M3</f>
        <v>864</v>
      </c>
      <c r="Q3" s="260"/>
      <c r="R3" s="261" t="str">
        <f aca="false">F5</f>
        <v>BRANCO</v>
      </c>
      <c r="S3" s="96" t="n">
        <v>6000</v>
      </c>
      <c r="T3" s="262" t="n">
        <f aca="false">0.8*W1/1000</f>
        <v>10.456</v>
      </c>
      <c r="U3" s="263" t="n">
        <f aca="false">M3*4.8</f>
        <v>14.4</v>
      </c>
      <c r="V3" s="387" t="s">
        <v>112</v>
      </c>
      <c r="W3" s="388" t="n">
        <f aca="false">F14*E14</f>
        <v>2045</v>
      </c>
    </row>
    <row r="4" customFormat="false" ht="19.5" hidden="false" customHeight="true" outlineLevel="0" collapsed="false">
      <c r="A4" s="254" t="s">
        <v>12</v>
      </c>
      <c r="B4" s="255" t="s">
        <v>113</v>
      </c>
      <c r="C4" s="255"/>
      <c r="D4" s="264" t="s">
        <v>13</v>
      </c>
      <c r="E4" s="264"/>
      <c r="F4" s="255" t="s">
        <v>175</v>
      </c>
      <c r="G4" s="255"/>
      <c r="H4" s="248"/>
      <c r="I4" s="248"/>
      <c r="J4" s="248"/>
      <c r="K4" s="256" t="s">
        <v>110</v>
      </c>
      <c r="L4" s="265" t="n">
        <f aca="false">IF(W2&gt;6000,W2/6000,1)</f>
        <v>1.51666666666667</v>
      </c>
      <c r="M4" s="154" t="n">
        <f aca="false">ROUNDUP(L4,0)</f>
        <v>2</v>
      </c>
      <c r="N4" s="266" t="n">
        <f aca="false">0.266*6*K33</f>
        <v>95.76</v>
      </c>
      <c r="O4" s="266"/>
      <c r="P4" s="267" t="n">
        <f aca="false">N4*M4</f>
        <v>191.52</v>
      </c>
      <c r="Q4" s="267"/>
      <c r="R4" s="268" t="str">
        <f aca="false">F5</f>
        <v>BRANCO</v>
      </c>
      <c r="S4" s="96" t="n">
        <v>6000</v>
      </c>
      <c r="T4" s="262" t="n">
        <f aca="false">0.266*W2/1000</f>
        <v>2.4206</v>
      </c>
      <c r="U4" s="262" t="n">
        <f aca="false">M4*1.596</f>
        <v>3.192</v>
      </c>
      <c r="V4" s="387" t="s">
        <v>115</v>
      </c>
      <c r="W4" s="388" t="n">
        <f aca="false">F15*E15</f>
        <v>85319.18</v>
      </c>
    </row>
    <row r="5" customFormat="false" ht="19.5" hidden="false" customHeight="true" outlineLevel="0" collapsed="false">
      <c r="A5" s="254" t="s">
        <v>14</v>
      </c>
      <c r="B5" s="269" t="n">
        <v>44580</v>
      </c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256" t="s">
        <v>112</v>
      </c>
      <c r="L5" s="265" t="n">
        <f aca="false">IF(W3&gt;6000,W3/6000,1)</f>
        <v>1</v>
      </c>
      <c r="M5" s="154" t="n">
        <f aca="false">ROUNDUP(L5,0)</f>
        <v>1</v>
      </c>
      <c r="N5" s="266" t="n">
        <f aca="false">0.577*6*K33</f>
        <v>207.72</v>
      </c>
      <c r="O5" s="266"/>
      <c r="P5" s="267" t="n">
        <f aca="false">N5*M5</f>
        <v>207.72</v>
      </c>
      <c r="Q5" s="267"/>
      <c r="R5" s="268" t="str">
        <f aca="false">F5</f>
        <v>BRANCO</v>
      </c>
      <c r="S5" s="96" t="n">
        <v>6000</v>
      </c>
      <c r="T5" s="262" t="n">
        <f aca="false">0.577*W3/1000</f>
        <v>1.179965</v>
      </c>
      <c r="U5" s="262" t="n">
        <f aca="false">M5*3.462</f>
        <v>3.462</v>
      </c>
      <c r="V5" s="387" t="s">
        <v>176</v>
      </c>
      <c r="W5" s="388" t="n">
        <f aca="false">F16*E16</f>
        <v>14317.5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256" t="s">
        <v>115</v>
      </c>
      <c r="L6" s="265" t="n">
        <f aca="false">IF(W4&gt;6000,W4/6000,1)</f>
        <v>14.2198633333333</v>
      </c>
      <c r="M6" s="154" t="n">
        <f aca="false">ROUNDUP(L6,0)</f>
        <v>15</v>
      </c>
      <c r="N6" s="266" t="n">
        <f aca="false">0.706*6*K33</f>
        <v>254.16</v>
      </c>
      <c r="O6" s="266"/>
      <c r="P6" s="267" t="n">
        <f aca="false">N6*M6</f>
        <v>3812.4</v>
      </c>
      <c r="Q6" s="267"/>
      <c r="R6" s="268" t="str">
        <f aca="false">F5</f>
        <v>BRANCO</v>
      </c>
      <c r="S6" s="96" t="n">
        <v>6000</v>
      </c>
      <c r="T6" s="262" t="n">
        <f aca="false">0.706*W4/1000</f>
        <v>60.23534108</v>
      </c>
      <c r="U6" s="262" t="n">
        <f aca="false">M6*4.236</f>
        <v>63.54</v>
      </c>
    </row>
    <row r="7" customFormat="false" ht="27" hidden="false" customHeight="true" outlineLevel="0" collapsed="false">
      <c r="A7" s="271" t="n">
        <v>500</v>
      </c>
      <c r="B7" s="272" t="n">
        <v>4500</v>
      </c>
      <c r="C7" s="272" t="n">
        <v>2000</v>
      </c>
      <c r="D7" s="272" t="n">
        <v>1</v>
      </c>
      <c r="E7" s="276" t="n">
        <f aca="false">(B7*C7)/10^6</f>
        <v>9</v>
      </c>
      <c r="F7" s="276"/>
      <c r="G7" s="270"/>
      <c r="H7" s="270"/>
      <c r="I7" s="270"/>
      <c r="J7" s="270"/>
      <c r="K7" s="256" t="s">
        <v>176</v>
      </c>
      <c r="L7" s="265" t="n">
        <f aca="false">IF(W5&gt;6000,W5/6000,1)</f>
        <v>2.38625</v>
      </c>
      <c r="M7" s="154" t="n">
        <f aca="false">ROUNDUP(L7,0)</f>
        <v>3</v>
      </c>
      <c r="N7" s="266" t="n">
        <f aca="false">0.362*6*K33</f>
        <v>130.32</v>
      </c>
      <c r="O7" s="266"/>
      <c r="P7" s="267" t="n">
        <f aca="false">N7*M7</f>
        <v>390.96</v>
      </c>
      <c r="Q7" s="267"/>
      <c r="R7" s="268" t="str">
        <f aca="false">F5</f>
        <v>BRANCO</v>
      </c>
      <c r="S7" s="96" t="n">
        <v>6000</v>
      </c>
      <c r="T7" s="262" t="n">
        <f aca="false">0.362*W5/1000</f>
        <v>5.182935</v>
      </c>
      <c r="U7" s="262" t="n">
        <f aca="false">M7*2.172</f>
        <v>6.516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4500</v>
      </c>
      <c r="D8" s="274"/>
      <c r="E8" s="20" t="s">
        <v>16</v>
      </c>
      <c r="F8" s="39"/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4500</v>
      </c>
      <c r="D9" s="275"/>
      <c r="E9" s="389"/>
      <c r="F9" s="390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106</v>
      </c>
      <c r="B11" s="278" t="s">
        <v>123</v>
      </c>
      <c r="C11" s="278"/>
      <c r="D11" s="278"/>
      <c r="E11" s="15" t="n">
        <f aca="false">D7*2</f>
        <v>2</v>
      </c>
      <c r="F11" s="69" t="n">
        <f aca="false">B7+50</f>
        <v>4550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106</v>
      </c>
      <c r="B12" s="279" t="s">
        <v>124</v>
      </c>
      <c r="C12" s="279"/>
      <c r="D12" s="279"/>
      <c r="E12" s="24" t="n">
        <f aca="false">D7*2</f>
        <v>2</v>
      </c>
      <c r="F12" s="97" t="n">
        <f aca="false">C7-15</f>
        <v>1985</v>
      </c>
      <c r="G12" s="97"/>
      <c r="H12" s="83" t="s">
        <v>18</v>
      </c>
      <c r="I12" s="83"/>
      <c r="J12" s="83" t="s">
        <v>33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110</v>
      </c>
      <c r="B13" s="279" t="s">
        <v>125</v>
      </c>
      <c r="C13" s="279"/>
      <c r="D13" s="279"/>
      <c r="E13" s="24" t="n">
        <f aca="false">D7*1</f>
        <v>1</v>
      </c>
      <c r="F13" s="97" t="n">
        <f aca="false">F11*2</f>
        <v>9100</v>
      </c>
      <c r="G13" s="97"/>
      <c r="H13" s="83" t="s">
        <v>17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112</v>
      </c>
      <c r="B14" s="279" t="s">
        <v>126</v>
      </c>
      <c r="C14" s="279"/>
      <c r="D14" s="279"/>
      <c r="E14" s="24" t="n">
        <f aca="false">D7*1</f>
        <v>1</v>
      </c>
      <c r="F14" s="24" t="n">
        <f aca="false">F12+60</f>
        <v>2045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115</v>
      </c>
      <c r="B15" s="279" t="s">
        <v>183</v>
      </c>
      <c r="C15" s="279"/>
      <c r="D15" s="279"/>
      <c r="E15" s="24" t="n">
        <f aca="false">(C7-93)/100*D7</f>
        <v>19.07</v>
      </c>
      <c r="F15" s="24" t="n">
        <f aca="false">F11-76</f>
        <v>4474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176</v>
      </c>
      <c r="B16" s="279" t="s">
        <v>179</v>
      </c>
      <c r="C16" s="279"/>
      <c r="D16" s="279"/>
      <c r="E16" s="24" t="n">
        <f aca="false">(B7/600)</f>
        <v>7.5</v>
      </c>
      <c r="F16" s="24" t="n">
        <f aca="false">F12-76</f>
        <v>1909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Q25" s="84" t="n">
        <f aca="false">U25*K33</f>
        <v>4768.4904648</v>
      </c>
      <c r="R25" s="84"/>
      <c r="S25" s="73" t="s">
        <v>130</v>
      </c>
      <c r="T25" s="73"/>
      <c r="U25" s="292" t="n">
        <f aca="false">SUM(T3:T24)</f>
        <v>79.47484108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Q26" s="266" t="n">
        <f aca="false">U26*K33</f>
        <v>5466.6</v>
      </c>
      <c r="R26" s="266"/>
      <c r="S26" s="73" t="s">
        <v>131</v>
      </c>
      <c r="T26" s="73"/>
      <c r="U26" s="294" t="n">
        <f aca="false">SUM(U3:U24)</f>
        <v>91.11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Q27" s="84" t="n">
        <f aca="false">U27*K33</f>
        <v>698.1095352</v>
      </c>
      <c r="R27" s="84"/>
      <c r="S27" s="73" t="s">
        <v>132</v>
      </c>
      <c r="T27" s="73"/>
      <c r="U27" s="292" t="n">
        <f aca="false">U26-U25</f>
        <v>11.63515892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297" t="s">
        <v>133</v>
      </c>
      <c r="L32" s="298" t="s">
        <v>134</v>
      </c>
      <c r="M32" s="299" t="s">
        <v>135</v>
      </c>
      <c r="N32" s="299"/>
      <c r="O32" s="4" t="s">
        <v>136</v>
      </c>
      <c r="P32" s="4"/>
      <c r="Q32" s="4"/>
      <c r="R32" s="4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301" t="n">
        <v>60</v>
      </c>
      <c r="L33" s="301" t="n">
        <v>60</v>
      </c>
      <c r="M33" s="302" t="n">
        <f aca="false">U25*L33+J55</f>
        <v>4891.9034648</v>
      </c>
      <c r="N33" s="302"/>
      <c r="O33" s="303" t="n">
        <v>0</v>
      </c>
      <c r="P33" s="85" t="n">
        <f aca="false">Q25*O33+Q25+J55</f>
        <v>4891.9034648</v>
      </c>
      <c r="Q33" s="85"/>
      <c r="R33" s="85"/>
    </row>
    <row r="34" customFormat="false" ht="22.5" hidden="false" customHeight="true" outlineLevel="0" collapsed="false">
      <c r="A34" s="304" t="s">
        <v>35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5"/>
      <c r="L34" s="305"/>
      <c r="M34" s="305"/>
      <c r="N34" s="305"/>
      <c r="O34" s="306" t="s">
        <v>137</v>
      </c>
      <c r="P34" s="306"/>
      <c r="Q34" s="306"/>
      <c r="R34" s="306"/>
      <c r="S34" s="306"/>
      <c r="T34" s="306"/>
      <c r="U34" s="306"/>
    </row>
    <row r="35" customFormat="false" ht="15" hidden="false" customHeight="true" outlineLevel="0" collapsed="false">
      <c r="A35" s="307" t="s">
        <v>51</v>
      </c>
      <c r="B35" s="308" t="s">
        <v>26</v>
      </c>
      <c r="C35" s="308"/>
      <c r="D35" s="308"/>
      <c r="E35" s="308"/>
      <c r="F35" s="304" t="s">
        <v>138</v>
      </c>
      <c r="G35" s="304"/>
      <c r="H35" s="309" t="s">
        <v>5</v>
      </c>
      <c r="I35" s="310" t="s">
        <v>139</v>
      </c>
      <c r="J35" s="311" t="s">
        <v>140</v>
      </c>
      <c r="K35" s="305"/>
      <c r="L35" s="305"/>
      <c r="M35" s="305"/>
      <c r="N35" s="305"/>
      <c r="O35" s="312" t="s">
        <v>141</v>
      </c>
      <c r="P35" s="312"/>
      <c r="Q35" s="312"/>
      <c r="R35" s="312"/>
      <c r="S35" s="312"/>
      <c r="T35" s="312"/>
      <c r="U35" s="312"/>
    </row>
    <row r="36" customFormat="false" ht="21.75" hidden="false" customHeight="true" outlineLevel="0" collapsed="false">
      <c r="A36" s="313" t="s">
        <v>142</v>
      </c>
      <c r="B36" s="314" t="s">
        <v>143</v>
      </c>
      <c r="C36" s="314"/>
      <c r="D36" s="314"/>
      <c r="E36" s="314"/>
      <c r="F36" s="315" t="s">
        <v>64</v>
      </c>
      <c r="G36" s="315"/>
      <c r="H36" s="316" t="n">
        <f aca="false">D7*2</f>
        <v>2</v>
      </c>
      <c r="I36" s="317" t="n">
        <v>18</v>
      </c>
      <c r="J36" s="318" t="n">
        <f aca="false">I36*H36</f>
        <v>36</v>
      </c>
      <c r="K36" s="305"/>
      <c r="L36" s="305"/>
      <c r="M36" s="305"/>
      <c r="N36" s="305"/>
      <c r="O36" s="312" t="s">
        <v>144</v>
      </c>
      <c r="P36" s="312"/>
      <c r="Q36" s="312"/>
      <c r="R36" s="312"/>
      <c r="S36" s="312"/>
      <c r="T36" s="312"/>
      <c r="U36" s="312"/>
    </row>
    <row r="37" customFormat="false" ht="21.75" hidden="false" customHeight="true" outlineLevel="0" collapsed="false">
      <c r="A37" s="319" t="s">
        <v>145</v>
      </c>
      <c r="B37" s="320" t="s">
        <v>146</v>
      </c>
      <c r="C37" s="320"/>
      <c r="D37" s="320"/>
      <c r="E37" s="320"/>
      <c r="F37" s="321" t="s">
        <v>64</v>
      </c>
      <c r="G37" s="321"/>
      <c r="H37" s="82" t="n">
        <f aca="false">D7*2</f>
        <v>2</v>
      </c>
      <c r="I37" s="322" t="n">
        <v>5</v>
      </c>
      <c r="J37" s="323" t="n">
        <f aca="false">I37*H37</f>
        <v>10</v>
      </c>
      <c r="K37" s="305"/>
      <c r="L37" s="305"/>
      <c r="M37" s="305"/>
      <c r="N37" s="305"/>
      <c r="O37" s="324"/>
      <c r="P37" s="324"/>
      <c r="Q37" s="324"/>
      <c r="R37" s="324"/>
      <c r="S37" s="324"/>
      <c r="T37" s="325"/>
      <c r="U37" s="326" t="s">
        <v>147</v>
      </c>
    </row>
    <row r="38" customFormat="false" ht="21.75" hidden="false" customHeight="true" outlineLevel="0" collapsed="false">
      <c r="A38" s="319" t="s">
        <v>148</v>
      </c>
      <c r="B38" s="320" t="s">
        <v>149</v>
      </c>
      <c r="C38" s="320"/>
      <c r="D38" s="320"/>
      <c r="E38" s="320"/>
      <c r="F38" s="321" t="s">
        <v>64</v>
      </c>
      <c r="G38" s="321"/>
      <c r="H38" s="327" t="n">
        <f aca="false">D7*1</f>
        <v>1</v>
      </c>
      <c r="I38" s="322" t="n">
        <v>50</v>
      </c>
      <c r="J38" s="323" t="n">
        <f aca="false">I38*H38</f>
        <v>50</v>
      </c>
      <c r="K38" s="89"/>
      <c r="L38" s="89"/>
      <c r="O38" s="328"/>
      <c r="P38" s="328"/>
      <c r="Q38" s="328"/>
      <c r="R38" s="328"/>
      <c r="S38" s="328"/>
      <c r="T38" s="329"/>
      <c r="U38" s="330" t="s">
        <v>150</v>
      </c>
    </row>
    <row r="39" customFormat="false" ht="21.75" hidden="false" customHeight="true" outlineLevel="0" collapsed="false">
      <c r="A39" s="319" t="s">
        <v>151</v>
      </c>
      <c r="B39" s="320" t="s">
        <v>152</v>
      </c>
      <c r="C39" s="320"/>
      <c r="D39" s="320"/>
      <c r="E39" s="320"/>
      <c r="F39" s="321" t="s">
        <v>64</v>
      </c>
      <c r="G39" s="321"/>
      <c r="H39" s="327" t="n">
        <f aca="false">D7*50</f>
        <v>50</v>
      </c>
      <c r="I39" s="322" t="n">
        <v>0.07</v>
      </c>
      <c r="J39" s="323" t="n">
        <f aca="false">I39*H39</f>
        <v>3.5</v>
      </c>
      <c r="K39" s="331"/>
      <c r="L39" s="331"/>
      <c r="U39" s="328" t="s">
        <v>153</v>
      </c>
    </row>
    <row r="40" customFormat="false" ht="21.75" hidden="false" customHeight="true" outlineLevel="0" collapsed="false">
      <c r="A40" s="319" t="s">
        <v>180</v>
      </c>
      <c r="B40" s="320" t="s">
        <v>181</v>
      </c>
      <c r="C40" s="320"/>
      <c r="D40" s="320"/>
      <c r="E40" s="320"/>
      <c r="F40" s="321" t="s">
        <v>64</v>
      </c>
      <c r="G40" s="321"/>
      <c r="H40" s="332" t="n">
        <f aca="false">(E15*2)+E16*2</f>
        <v>53.14</v>
      </c>
      <c r="I40" s="322" t="n">
        <v>0.45</v>
      </c>
      <c r="J40" s="323" t="n">
        <f aca="false">I40*H40</f>
        <v>23.913</v>
      </c>
      <c r="K40" s="333"/>
      <c r="L40" s="333"/>
      <c r="M40" s="109"/>
      <c r="N40" s="109"/>
      <c r="S40" s="93"/>
      <c r="T40" s="93"/>
      <c r="U40" s="334" t="s">
        <v>154</v>
      </c>
    </row>
    <row r="41" customFormat="false" ht="21.75" hidden="false" customHeight="true" outlineLevel="0" collapsed="false">
      <c r="A41" s="319"/>
      <c r="B41" s="335"/>
      <c r="C41" s="336"/>
      <c r="D41" s="336"/>
      <c r="E41" s="336"/>
      <c r="F41" s="335"/>
      <c r="G41" s="337"/>
      <c r="H41" s="268"/>
      <c r="I41" s="338"/>
      <c r="J41" s="338"/>
      <c r="K41" s="339" t="str">
        <f aca="false">A1</f>
        <v>PORTÃO DE CORRER/LAMBRI DUPLO/VÃO LIVRE SEM SOCIAL</v>
      </c>
      <c r="L41" s="339"/>
      <c r="M41" s="339"/>
      <c r="N41" s="339"/>
      <c r="O41" s="339"/>
      <c r="P41" s="339"/>
      <c r="Q41" s="339"/>
      <c r="R41" s="339"/>
      <c r="S41" s="339"/>
      <c r="T41" s="339"/>
      <c r="U41" s="339"/>
    </row>
    <row r="42" customFormat="false" ht="21.75" hidden="false" customHeight="true" outlineLevel="0" collapsed="false">
      <c r="A42" s="319"/>
      <c r="B42" s="335"/>
      <c r="C42" s="336"/>
      <c r="D42" s="336"/>
      <c r="E42" s="336"/>
      <c r="F42" s="335"/>
      <c r="G42" s="337"/>
      <c r="H42" s="268"/>
      <c r="I42" s="338"/>
      <c r="J42" s="338"/>
      <c r="K42" s="340" t="s">
        <v>155</v>
      </c>
      <c r="L42" s="341" t="str">
        <f aca="false">B2</f>
        <v>Francisco Gleison</v>
      </c>
      <c r="M42" s="341"/>
      <c r="N42" s="341"/>
      <c r="O42" s="341"/>
      <c r="P42" s="341"/>
      <c r="Q42" s="342" t="s">
        <v>156</v>
      </c>
      <c r="R42" s="343"/>
      <c r="S42" s="343"/>
      <c r="T42" s="343"/>
      <c r="U42" s="343"/>
    </row>
    <row r="43" customFormat="false" ht="21.75" hidden="false" customHeight="true" outlineLevel="0" collapsed="false">
      <c r="A43" s="319"/>
      <c r="B43" s="335"/>
      <c r="C43" s="336"/>
      <c r="D43" s="336"/>
      <c r="E43" s="336"/>
      <c r="F43" s="335"/>
      <c r="G43" s="337"/>
      <c r="H43" s="268"/>
      <c r="I43" s="344"/>
      <c r="J43" s="344"/>
      <c r="K43" s="345" t="s">
        <v>157</v>
      </c>
      <c r="L43" s="346"/>
      <c r="M43" s="346"/>
      <c r="N43" s="347" t="s">
        <v>158</v>
      </c>
      <c r="O43" s="348"/>
      <c r="P43" s="348"/>
      <c r="Q43" s="345" t="s">
        <v>159</v>
      </c>
      <c r="R43" s="349"/>
      <c r="S43" s="349"/>
      <c r="T43" s="349"/>
      <c r="U43" s="349"/>
    </row>
    <row r="44" customFormat="false" ht="21.75" hidden="false" customHeight="true" outlineLevel="0" collapsed="false">
      <c r="A44" s="319"/>
      <c r="B44" s="335"/>
      <c r="C44" s="336"/>
      <c r="D44" s="336"/>
      <c r="E44" s="336"/>
      <c r="F44" s="335"/>
      <c r="G44" s="337"/>
      <c r="H44" s="268"/>
      <c r="I44" s="344"/>
      <c r="J44" s="344"/>
      <c r="K44" s="350" t="s">
        <v>160</v>
      </c>
      <c r="L44" s="351" t="str">
        <f aca="false">F5</f>
        <v>BRANCO</v>
      </c>
      <c r="M44" s="351"/>
      <c r="N44" s="351"/>
      <c r="O44" s="351"/>
      <c r="P44" s="352" t="s">
        <v>161</v>
      </c>
      <c r="Q44" s="353"/>
      <c r="R44" s="353"/>
      <c r="S44" s="353"/>
      <c r="T44" s="353"/>
      <c r="U44" s="353"/>
    </row>
    <row r="45" customFormat="false" ht="21.75" hidden="false" customHeight="true" outlineLevel="0" collapsed="false">
      <c r="A45" s="319"/>
      <c r="B45" s="335"/>
      <c r="C45" s="336"/>
      <c r="D45" s="336"/>
      <c r="E45" s="336"/>
      <c r="F45" s="335"/>
      <c r="G45" s="337"/>
      <c r="H45" s="268"/>
      <c r="I45" s="344"/>
      <c r="J45" s="344"/>
      <c r="K45" s="350" t="s">
        <v>162</v>
      </c>
      <c r="L45" s="354"/>
      <c r="M45" s="354"/>
      <c r="N45" s="354"/>
      <c r="O45" s="354"/>
      <c r="P45" s="355"/>
      <c r="Q45" s="124"/>
      <c r="R45" s="124"/>
      <c r="S45" s="124"/>
      <c r="T45" s="124"/>
      <c r="U45" s="356"/>
    </row>
    <row r="46" customFormat="false" ht="21.75" hidden="false" customHeight="true" outlineLevel="0" collapsed="false">
      <c r="A46" s="319"/>
      <c r="B46" s="208"/>
      <c r="C46" s="296"/>
      <c r="D46" s="296"/>
      <c r="E46" s="296"/>
      <c r="F46" s="208"/>
      <c r="G46" s="357"/>
      <c r="H46" s="268"/>
      <c r="I46" s="344"/>
      <c r="J46" s="344"/>
      <c r="K46" s="358"/>
      <c r="L46" s="93"/>
      <c r="M46" s="93"/>
      <c r="N46" s="93"/>
      <c r="O46" s="93"/>
      <c r="P46" s="355"/>
      <c r="Q46" s="124"/>
      <c r="R46" s="124"/>
      <c r="S46" s="124"/>
      <c r="T46" s="124"/>
      <c r="U46" s="356"/>
    </row>
    <row r="47" customFormat="false" ht="21.75" hidden="false" customHeight="true" outlineLevel="0" collapsed="false">
      <c r="A47" s="319"/>
      <c r="B47" s="208"/>
      <c r="C47" s="296"/>
      <c r="D47" s="296"/>
      <c r="E47" s="296"/>
      <c r="F47" s="208"/>
      <c r="G47" s="357"/>
      <c r="H47" s="268"/>
      <c r="I47" s="338"/>
      <c r="J47" s="338"/>
      <c r="K47" s="359" t="s">
        <v>6</v>
      </c>
      <c r="L47" s="360"/>
      <c r="M47" s="361" t="s">
        <v>163</v>
      </c>
      <c r="N47" s="362"/>
      <c r="O47" s="362"/>
      <c r="P47" s="355"/>
      <c r="Q47" s="124"/>
      <c r="R47" s="124"/>
      <c r="S47" s="124"/>
      <c r="T47" s="124"/>
      <c r="U47" s="356"/>
    </row>
    <row r="48" customFormat="false" ht="21.75" hidden="false" customHeight="true" outlineLevel="0" collapsed="false">
      <c r="A48" s="128"/>
      <c r="B48" s="52"/>
      <c r="F48" s="52"/>
      <c r="G48" s="23"/>
      <c r="H48" s="27"/>
      <c r="I48" s="363"/>
      <c r="J48" s="363"/>
      <c r="K48" s="359" t="s">
        <v>7</v>
      </c>
      <c r="L48" s="360"/>
      <c r="M48" s="361" t="s">
        <v>163</v>
      </c>
      <c r="N48" s="362"/>
      <c r="O48" s="362"/>
      <c r="P48" s="355"/>
      <c r="Q48" s="124"/>
      <c r="R48" s="124"/>
      <c r="S48" s="124"/>
      <c r="T48" s="124"/>
      <c r="U48" s="356"/>
    </row>
    <row r="49" customFormat="false" ht="21.75" hidden="false" customHeight="true" outlineLevel="0" collapsed="false">
      <c r="A49" s="128"/>
      <c r="B49" s="208"/>
      <c r="C49" s="296"/>
      <c r="D49" s="296"/>
      <c r="E49" s="296"/>
      <c r="F49" s="208"/>
      <c r="G49" s="357"/>
      <c r="H49" s="268"/>
      <c r="I49" s="344"/>
      <c r="J49" s="344"/>
      <c r="K49" s="364"/>
      <c r="L49" s="365"/>
      <c r="M49" s="365"/>
      <c r="N49" s="365"/>
      <c r="O49" s="365"/>
      <c r="P49" s="366"/>
      <c r="Q49" s="367"/>
      <c r="R49" s="367"/>
      <c r="S49" s="367"/>
      <c r="T49" s="367"/>
      <c r="U49" s="368"/>
    </row>
    <row r="50" customFormat="false" ht="21.75" hidden="false" customHeight="true" outlineLevel="0" collapsed="false">
      <c r="A50" s="128"/>
      <c r="B50" s="208"/>
      <c r="C50" s="296"/>
      <c r="D50" s="296"/>
      <c r="E50" s="296"/>
      <c r="F50" s="208"/>
      <c r="G50" s="357"/>
      <c r="H50" s="268"/>
      <c r="I50" s="369"/>
      <c r="J50" s="369"/>
      <c r="K50" s="370" t="s">
        <v>164</v>
      </c>
      <c r="L50" s="371"/>
      <c r="M50" s="371"/>
      <c r="N50" s="372" t="s">
        <v>165</v>
      </c>
      <c r="O50" s="372"/>
      <c r="P50" s="372"/>
      <c r="Q50" s="372"/>
      <c r="R50" s="372"/>
      <c r="S50" s="372"/>
      <c r="T50" s="372"/>
      <c r="U50" s="372"/>
    </row>
    <row r="51" customFormat="false" ht="21.75" hidden="false" customHeight="true" outlineLevel="0" collapsed="false">
      <c r="A51" s="128"/>
      <c r="B51" s="208"/>
      <c r="C51" s="296"/>
      <c r="D51" s="296"/>
      <c r="E51" s="296"/>
      <c r="F51" s="208"/>
      <c r="G51" s="357"/>
      <c r="H51" s="268"/>
      <c r="I51" s="47"/>
      <c r="J51" s="47"/>
      <c r="K51" s="370" t="s">
        <v>166</v>
      </c>
      <c r="L51" s="371"/>
      <c r="M51" s="373" t="s">
        <v>167</v>
      </c>
      <c r="N51" s="373"/>
      <c r="O51" s="374" t="s">
        <v>168</v>
      </c>
      <c r="P51" s="374"/>
      <c r="Q51" s="373" t="s">
        <v>169</v>
      </c>
      <c r="R51" s="373"/>
      <c r="S51" s="375" t="s">
        <v>170</v>
      </c>
      <c r="T51" s="376" t="n">
        <f aca="false">SUM(N47:O48)</f>
        <v>0</v>
      </c>
      <c r="U51" s="376"/>
    </row>
    <row r="52" customFormat="false" ht="21.75" hidden="false" customHeight="true" outlineLevel="0" collapsed="false">
      <c r="A52" s="128"/>
      <c r="B52" s="208"/>
      <c r="C52" s="296"/>
      <c r="D52" s="296"/>
      <c r="E52" s="296"/>
      <c r="F52" s="208"/>
      <c r="G52" s="357"/>
      <c r="H52" s="268"/>
      <c r="I52" s="47"/>
      <c r="J52" s="47"/>
      <c r="K52" s="377"/>
      <c r="L52" s="377"/>
      <c r="M52" s="377"/>
      <c r="N52" s="377"/>
      <c r="O52" s="377"/>
      <c r="P52" s="377"/>
      <c r="Q52" s="377"/>
      <c r="R52" s="377"/>
      <c r="S52" s="377"/>
      <c r="T52" s="377"/>
      <c r="U52" s="377"/>
    </row>
    <row r="53" customFormat="false" ht="21.75" hidden="false" customHeight="true" outlineLevel="0" collapsed="false">
      <c r="A53" s="128"/>
      <c r="B53" s="208"/>
      <c r="C53" s="296"/>
      <c r="D53" s="296"/>
      <c r="E53" s="296"/>
      <c r="F53" s="208"/>
      <c r="G53" s="357"/>
      <c r="H53" s="268"/>
      <c r="I53" s="369"/>
      <c r="J53" s="369"/>
      <c r="K53" s="377"/>
      <c r="L53" s="377"/>
      <c r="M53" s="377"/>
      <c r="N53" s="377"/>
      <c r="O53" s="377"/>
      <c r="P53" s="377"/>
      <c r="Q53" s="378" t="s">
        <v>171</v>
      </c>
      <c r="R53" s="378"/>
      <c r="S53" s="378"/>
      <c r="T53" s="378"/>
      <c r="U53" s="378"/>
    </row>
    <row r="54" customFormat="false" ht="21.75" hidden="false" customHeight="true" outlineLevel="0" collapsed="false">
      <c r="A54" s="379"/>
      <c r="B54" s="380"/>
      <c r="C54" s="381"/>
      <c r="D54" s="381"/>
      <c r="E54" s="381"/>
      <c r="F54" s="380"/>
      <c r="G54" s="382"/>
      <c r="H54" s="289"/>
      <c r="I54" s="383"/>
      <c r="J54" s="383"/>
      <c r="K54" s="377"/>
      <c r="L54" s="377"/>
      <c r="M54" s="377"/>
      <c r="N54" s="377"/>
      <c r="O54" s="377"/>
      <c r="P54" s="377"/>
      <c r="Q54" s="333" t="s">
        <v>172</v>
      </c>
      <c r="R54" s="333"/>
      <c r="S54" s="333"/>
      <c r="T54" s="333"/>
      <c r="U54" s="333"/>
    </row>
    <row r="55" customFormat="false" ht="21.75" hidden="false" customHeight="true" outlineLevel="0" collapsed="false">
      <c r="I55" s="384" t="s">
        <v>173</v>
      </c>
      <c r="J55" s="385" t="n">
        <f aca="false">SUM(J36:J54)</f>
        <v>123.413</v>
      </c>
    </row>
    <row r="56" customFormat="false" ht="15" hidden="false" customHeight="false" outlineLevel="0" collapsed="false">
      <c r="K56" s="386" t="str">
        <f aca="false">O34</f>
        <v>NOME DE SUA EMPRESA</v>
      </c>
      <c r="L56" s="386"/>
      <c r="M56" s="386"/>
      <c r="N56" s="386"/>
      <c r="O56" s="386"/>
      <c r="P56" s="386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Q25:R25"/>
    <mergeCell ref="S25:T25"/>
    <mergeCell ref="B26:D26"/>
    <mergeCell ref="F26:G26"/>
    <mergeCell ref="H26:I26"/>
    <mergeCell ref="Q26:R26"/>
    <mergeCell ref="S26:T26"/>
    <mergeCell ref="Q27:R27"/>
    <mergeCell ref="S27:T27"/>
    <mergeCell ref="M32:N32"/>
    <mergeCell ref="O32:R32"/>
    <mergeCell ref="M33:N33"/>
    <mergeCell ref="P33:R33"/>
    <mergeCell ref="A34:J34"/>
    <mergeCell ref="K34:N37"/>
    <mergeCell ref="O34:U34"/>
    <mergeCell ref="B35:E35"/>
    <mergeCell ref="F35:G35"/>
    <mergeCell ref="O35:U35"/>
    <mergeCell ref="B36:E36"/>
    <mergeCell ref="F36:G36"/>
    <mergeCell ref="O36:U36"/>
    <mergeCell ref="B37:E37"/>
    <mergeCell ref="F37:G37"/>
    <mergeCell ref="B38:E38"/>
    <mergeCell ref="F38:G38"/>
    <mergeCell ref="K38:L38"/>
    <mergeCell ref="B39:E39"/>
    <mergeCell ref="F39:G39"/>
    <mergeCell ref="K39:L39"/>
    <mergeCell ref="B40:E40"/>
    <mergeCell ref="F40:G40"/>
    <mergeCell ref="K40:L40"/>
    <mergeCell ref="K41:U41"/>
    <mergeCell ref="L42:P42"/>
    <mergeCell ref="R42:U42"/>
    <mergeCell ref="L43:M43"/>
    <mergeCell ref="O43:P43"/>
    <mergeCell ref="R43:U43"/>
    <mergeCell ref="L44:O44"/>
    <mergeCell ref="Q44:U44"/>
    <mergeCell ref="L45:O45"/>
    <mergeCell ref="N47:O47"/>
    <mergeCell ref="N48:O48"/>
    <mergeCell ref="N50:U50"/>
    <mergeCell ref="M51:N51"/>
    <mergeCell ref="O51:P51"/>
    <mergeCell ref="Q51:R51"/>
    <mergeCell ref="T51:U51"/>
    <mergeCell ref="Q53:U53"/>
    <mergeCell ref="Q54:U54"/>
    <mergeCell ref="K56:P5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0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184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393" t="str">
        <f aca="false">A11</f>
        <v>SU-001</v>
      </c>
      <c r="L3" s="394" t="n">
        <f aca="false">IF(L28&gt;6000,L28/6000,1)</f>
        <v>1</v>
      </c>
      <c r="M3" s="395" t="n">
        <f aca="false">ROUNDUP(L3,0)</f>
        <v>1</v>
      </c>
      <c r="N3" s="260" t="n">
        <f aca="false">0.762*6*K13</f>
        <v>228.6</v>
      </c>
      <c r="O3" s="260"/>
      <c r="P3" s="259" t="n">
        <f aca="false">N3*M3</f>
        <v>228.6</v>
      </c>
      <c r="Q3" s="259"/>
      <c r="R3" s="396" t="str">
        <f aca="false">F5</f>
        <v>BRANCO</v>
      </c>
      <c r="S3" s="397" t="n">
        <v>6000</v>
      </c>
      <c r="T3" s="398" t="n">
        <f aca="false">(((F11*E11)*0.762/1000))</f>
        <v>1.111758</v>
      </c>
      <c r="U3" s="399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207" t="str">
        <f aca="false">A12</f>
        <v>SU-002</v>
      </c>
      <c r="L4" s="400" t="n">
        <f aca="false">IF(L29&gt;6000,L29/6000,1)</f>
        <v>1</v>
      </c>
      <c r="M4" s="91" t="n">
        <f aca="false">ROUNDUP(L4,0)</f>
        <v>1</v>
      </c>
      <c r="N4" s="267" t="n">
        <f aca="false">0.707*6*K13</f>
        <v>212.1</v>
      </c>
      <c r="O4" s="267"/>
      <c r="P4" s="266" t="n">
        <f aca="false">N4*M4</f>
        <v>212.1</v>
      </c>
      <c r="Q4" s="266"/>
      <c r="R4" s="357" t="str">
        <f aca="false">F5</f>
        <v>BRANCO</v>
      </c>
      <c r="S4" s="96" t="n">
        <v>6000</v>
      </c>
      <c r="T4" s="399" t="n">
        <f aca="false">(((F12*E12)*0.707/1000))</f>
        <v>1.031513</v>
      </c>
      <c r="U4" s="399" t="n">
        <f aca="false">M4*4.242</f>
        <v>4.242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207" t="str">
        <f aca="false">A13</f>
        <v>SU-003</v>
      </c>
      <c r="L5" s="400" t="n">
        <f aca="false">IF(L30&gt;6000,L30/6000,1)</f>
        <v>1</v>
      </c>
      <c r="M5" s="91" t="n">
        <f aca="false">ROUNDUP(L5,0)</f>
        <v>1</v>
      </c>
      <c r="N5" s="267" t="n">
        <f aca="false">3.138*K13</f>
        <v>156.9</v>
      </c>
      <c r="O5" s="267"/>
      <c r="P5" s="266" t="n">
        <f aca="false">N5*M5</f>
        <v>156.9</v>
      </c>
      <c r="Q5" s="266"/>
      <c r="R5" s="357" t="str">
        <f aca="false">F5</f>
        <v>BRANCO</v>
      </c>
      <c r="S5" s="96" t="n">
        <v>6000</v>
      </c>
      <c r="T5" s="399" t="n">
        <f aca="false">(((F13*E13)*0.523/1000))</f>
        <v>0.728016</v>
      </c>
      <c r="U5" s="39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207" t="str">
        <f aca="false">A14</f>
        <v>SU-039</v>
      </c>
      <c r="L6" s="400" t="n">
        <f aca="false">IF(L31&gt;6000,L31/6000,1)</f>
        <v>1</v>
      </c>
      <c r="M6" s="91" t="n">
        <f aca="false">ROUNDUP(L6,0)</f>
        <v>1</v>
      </c>
      <c r="N6" s="267" t="n">
        <f aca="false">3.12*K13</f>
        <v>156</v>
      </c>
      <c r="O6" s="267"/>
      <c r="P6" s="266" t="n">
        <f aca="false">N6*M6</f>
        <v>156</v>
      </c>
      <c r="Q6" s="266"/>
      <c r="R6" s="357" t="str">
        <f aca="false">F5</f>
        <v>BRANCO</v>
      </c>
      <c r="S6" s="96" t="n">
        <v>6000</v>
      </c>
      <c r="T6" s="399" t="n">
        <f aca="false">(((F14*E14)*0.52/1000))</f>
        <v>1.00776</v>
      </c>
      <c r="U6" s="399" t="n">
        <f aca="false">M6*3.12</f>
        <v>3.12</v>
      </c>
    </row>
    <row r="7" customFormat="false" ht="27" hidden="false" customHeight="true" outlineLevel="0" collapsed="false">
      <c r="A7" s="271" t="n">
        <v>500</v>
      </c>
      <c r="B7" s="272" t="n">
        <v>1485</v>
      </c>
      <c r="C7" s="272" t="n">
        <v>696</v>
      </c>
      <c r="D7" s="272" t="n">
        <v>1</v>
      </c>
      <c r="E7" s="276" t="n">
        <f aca="false">(B7*C7)/10^6</f>
        <v>1.03356</v>
      </c>
      <c r="F7" s="276"/>
      <c r="G7" s="270"/>
      <c r="H7" s="270"/>
      <c r="I7" s="270"/>
      <c r="J7" s="270"/>
      <c r="K7" s="207" t="s">
        <v>185</v>
      </c>
      <c r="L7" s="400" t="n">
        <f aca="false">IF(L32&gt;6000,L32/6000,1)</f>
        <v>1</v>
      </c>
      <c r="M7" s="91" t="n">
        <f aca="false">ROUNDUP(L7,0)</f>
        <v>1</v>
      </c>
      <c r="N7" s="266" t="n">
        <f aca="false">3.12*K13</f>
        <v>156</v>
      </c>
      <c r="O7" s="266"/>
      <c r="P7" s="266" t="n">
        <f aca="false">N7*M7</f>
        <v>156</v>
      </c>
      <c r="Q7" s="266"/>
      <c r="R7" s="357" t="str">
        <f aca="false">F5</f>
        <v>BRANCO</v>
      </c>
      <c r="S7" s="96" t="n">
        <v>6000</v>
      </c>
      <c r="T7" s="399" t="n">
        <f aca="false">(((F15*E15)*0.52/1000))</f>
        <v>0.33592</v>
      </c>
      <c r="U7" s="399" t="n">
        <f aca="false">M7*3.12</f>
        <v>3.12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516.78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207" t="str">
        <f aca="false">A16</f>
        <v>SU-040</v>
      </c>
      <c r="L8" s="400" t="n">
        <f aca="false">IF(L33&gt;6000,L33/6000,1)</f>
        <v>1</v>
      </c>
      <c r="M8" s="91" t="n">
        <f aca="false">ROUNDUP(L8,0)</f>
        <v>1</v>
      </c>
      <c r="N8" s="267" t="n">
        <f aca="false">2.88*K13</f>
        <v>144</v>
      </c>
      <c r="O8" s="267"/>
      <c r="P8" s="266" t="n">
        <f aca="false">N8*M8</f>
        <v>144</v>
      </c>
      <c r="Q8" s="266"/>
      <c r="R8" s="357" t="str">
        <f aca="false">F5</f>
        <v>BRANCO</v>
      </c>
      <c r="S8" s="96" t="n">
        <v>6000</v>
      </c>
      <c r="T8" s="399" t="n">
        <f aca="false">(((F16*E16)*0.48/1000))</f>
        <v>0.62016</v>
      </c>
      <c r="U8" s="399" t="n">
        <f aca="false">M8*2.88</f>
        <v>2.88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516.78</v>
      </c>
      <c r="D9" s="275"/>
      <c r="E9" s="389" t="n">
        <f aca="false">K34/4</f>
        <v>307</v>
      </c>
      <c r="F9" s="401" t="n">
        <f aca="false">C7-134</f>
        <v>562</v>
      </c>
      <c r="G9" s="270"/>
      <c r="H9" s="270"/>
      <c r="I9" s="270"/>
      <c r="J9" s="270"/>
      <c r="K9" s="207" t="str">
        <f aca="false">A17</f>
        <v>SU-041</v>
      </c>
      <c r="L9" s="400" t="n">
        <f aca="false">IF(L34&gt;6000,L34/6000,1)</f>
        <v>1</v>
      </c>
      <c r="M9" s="91" t="n">
        <f aca="false">ROUNDUP(L9,0)</f>
        <v>1</v>
      </c>
      <c r="N9" s="267" t="n">
        <f aca="false">3.042*K13</f>
        <v>152.1</v>
      </c>
      <c r="O9" s="267"/>
      <c r="P9" s="266" t="n">
        <f aca="false">N9*M9</f>
        <v>152.1</v>
      </c>
      <c r="Q9" s="266"/>
      <c r="R9" s="357" t="str">
        <f aca="false">F5</f>
        <v>BRANCO</v>
      </c>
      <c r="S9" s="96" t="n">
        <v>6000</v>
      </c>
      <c r="T9" s="399" t="n">
        <f aca="false">(((F17*E17)*0.507/1000))</f>
        <v>0.655044</v>
      </c>
      <c r="U9" s="399" t="n">
        <f aca="false">M9*3.042</f>
        <v>3.042</v>
      </c>
    </row>
    <row r="10" customFormat="false" ht="25.5" hidden="false" customHeight="true" outlineLevel="0" collapsed="false">
      <c r="A10" s="5" t="s">
        <v>4</v>
      </c>
      <c r="B10" s="155" t="s">
        <v>26</v>
      </c>
      <c r="C10" s="155"/>
      <c r="D10" s="155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207" t="str">
        <f aca="false">A18</f>
        <v>SU-053</v>
      </c>
      <c r="L10" s="400" t="n">
        <f aca="false">IF(L35&gt;6000,L35/6000,1)</f>
        <v>1</v>
      </c>
      <c r="M10" s="91" t="n">
        <f aca="false">ROUNDUP(L10,0)</f>
        <v>1</v>
      </c>
      <c r="N10" s="267" t="n">
        <f aca="false">3.042*K13</f>
        <v>152.1</v>
      </c>
      <c r="O10" s="267"/>
      <c r="P10" s="266" t="n">
        <f aca="false">N10*M10</f>
        <v>152.1</v>
      </c>
      <c r="Q10" s="266"/>
      <c r="R10" s="382" t="str">
        <f aca="false">F5</f>
        <v>BRANCO</v>
      </c>
      <c r="S10" s="290" t="n">
        <v>6000</v>
      </c>
      <c r="T10" s="402" t="n">
        <f aca="false">(((F18*E18)*0.507/1000))</f>
        <v>1.273584</v>
      </c>
      <c r="U10" s="402" t="n">
        <f aca="false">M10*3.042</f>
        <v>3.042</v>
      </c>
    </row>
    <row r="11" customFormat="false" ht="25.5" hidden="false" customHeight="true" outlineLevel="0" collapsed="false">
      <c r="A11" s="67" t="s">
        <v>186</v>
      </c>
      <c r="B11" s="68" t="s">
        <v>187</v>
      </c>
      <c r="C11" s="68"/>
      <c r="D11" s="68"/>
      <c r="E11" s="69" t="n">
        <f aca="false">D7*1</f>
        <v>1</v>
      </c>
      <c r="F11" s="69" t="n">
        <f aca="false">B7-26</f>
        <v>1459</v>
      </c>
      <c r="G11" s="69"/>
      <c r="H11" s="72" t="s">
        <v>17</v>
      </c>
      <c r="I11" s="72"/>
      <c r="J11" s="72" t="s">
        <v>42</v>
      </c>
      <c r="K11" s="53" t="s">
        <v>188</v>
      </c>
      <c r="L11" s="403" t="n">
        <f aca="false">IF(L36&gt;6000,L36/6000,1)</f>
        <v>1.144</v>
      </c>
      <c r="M11" s="404" t="n">
        <f aca="false">ROUNDUP(L11,0)</f>
        <v>2</v>
      </c>
      <c r="N11" s="405" t="n">
        <f aca="false">0.666*K13</f>
        <v>33.3</v>
      </c>
      <c r="O11" s="405"/>
      <c r="P11" s="406" t="n">
        <f aca="false">N11*M11</f>
        <v>66.6</v>
      </c>
      <c r="Q11" s="406"/>
      <c r="R11" s="407" t="str">
        <f aca="false">F5</f>
        <v>BRANCO</v>
      </c>
      <c r="S11" s="408" t="n">
        <v>6000</v>
      </c>
      <c r="T11" s="409" t="n">
        <f aca="false">(((F19*E19+E20*F20)*0.111/1000))</f>
        <v>0.761904</v>
      </c>
      <c r="U11" s="409" t="n">
        <f aca="false">M11*0.606</f>
        <v>1.212</v>
      </c>
    </row>
    <row r="12" customFormat="false" ht="25.5" hidden="false" customHeight="true" outlineLevel="0" collapsed="false">
      <c r="A12" s="79" t="s">
        <v>189</v>
      </c>
      <c r="B12" s="80" t="s">
        <v>190</v>
      </c>
      <c r="C12" s="80"/>
      <c r="D12" s="80"/>
      <c r="E12" s="46" t="n">
        <f aca="false">D7*1</f>
        <v>1</v>
      </c>
      <c r="F12" s="97" t="n">
        <f aca="false">B7-26</f>
        <v>1459</v>
      </c>
      <c r="G12" s="97"/>
      <c r="H12" s="83" t="s">
        <v>17</v>
      </c>
      <c r="I12" s="83"/>
      <c r="J12" s="83" t="s">
        <v>42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 t="s">
        <v>130</v>
      </c>
      <c r="S12" s="73"/>
      <c r="T12" s="73"/>
      <c r="U12" s="409" t="n">
        <f aca="false">T3+T4+T5+T6+T7+T8+T9+T10+T11</f>
        <v>7.525659</v>
      </c>
    </row>
    <row r="13" customFormat="false" ht="25.5" hidden="false" customHeight="true" outlineLevel="0" collapsed="false">
      <c r="A13" s="79" t="s">
        <v>191</v>
      </c>
      <c r="B13" s="80" t="s">
        <v>192</v>
      </c>
      <c r="C13" s="80"/>
      <c r="D13" s="80"/>
      <c r="E13" s="46" t="n">
        <f aca="false">D7*2</f>
        <v>2</v>
      </c>
      <c r="F13" s="97" t="n">
        <f aca="false">C7</f>
        <v>696</v>
      </c>
      <c r="G13" s="97"/>
      <c r="H13" s="83" t="s">
        <v>18</v>
      </c>
      <c r="I13" s="83"/>
      <c r="J13" s="83" t="s">
        <v>42</v>
      </c>
      <c r="K13" s="410" t="n">
        <v>50</v>
      </c>
      <c r="L13" s="410" t="n">
        <v>100</v>
      </c>
      <c r="M13" s="411" t="n">
        <f aca="false">U12*L13</f>
        <v>752.5659</v>
      </c>
      <c r="N13" s="411"/>
      <c r="O13" s="412" t="n">
        <v>0.5</v>
      </c>
      <c r="P13" s="411" t="n">
        <f aca="false">K17*O13+K17</f>
        <v>564.424425</v>
      </c>
      <c r="Q13" s="411"/>
      <c r="R13" s="73" t="s">
        <v>131</v>
      </c>
      <c r="S13" s="73"/>
      <c r="T13" s="73"/>
      <c r="U13" s="409" t="n">
        <f aca="false">U3+U4+U5+U6+U7+U8+U9+U10+U11</f>
        <v>28.368</v>
      </c>
    </row>
    <row r="14" customFormat="false" ht="25.5" hidden="false" customHeight="true" outlineLevel="0" collapsed="false">
      <c r="A14" s="79" t="s">
        <v>193</v>
      </c>
      <c r="B14" s="80" t="s">
        <v>194</v>
      </c>
      <c r="C14" s="80"/>
      <c r="D14" s="80"/>
      <c r="E14" s="46" t="n">
        <f aca="false">D7*3</f>
        <v>3</v>
      </c>
      <c r="F14" s="97" t="n">
        <f aca="false">C7-50</f>
        <v>646</v>
      </c>
      <c r="G14" s="97"/>
      <c r="H14" s="83" t="s">
        <v>18</v>
      </c>
      <c r="I14" s="83"/>
      <c r="J14" s="83" t="s">
        <v>42</v>
      </c>
      <c r="K14" s="73" t="s">
        <v>195</v>
      </c>
      <c r="L14" s="73"/>
      <c r="M14" s="296"/>
      <c r="N14" s="296"/>
      <c r="O14" s="296"/>
      <c r="P14" s="296"/>
      <c r="Q14" s="296"/>
      <c r="R14" s="73" t="s">
        <v>132</v>
      </c>
      <c r="S14" s="73"/>
      <c r="T14" s="73"/>
      <c r="U14" s="402" t="n">
        <f aca="false">U13-U12</f>
        <v>20.842341</v>
      </c>
    </row>
    <row r="15" customFormat="false" ht="25.5" hidden="false" customHeight="true" outlineLevel="0" collapsed="false">
      <c r="A15" s="79" t="s">
        <v>185</v>
      </c>
      <c r="B15" s="80" t="s">
        <v>196</v>
      </c>
      <c r="C15" s="80"/>
      <c r="D15" s="80"/>
      <c r="E15" s="46" t="n">
        <f aca="false">D7*1</f>
        <v>1</v>
      </c>
      <c r="F15" s="97" t="n">
        <f aca="false">F16</f>
        <v>646</v>
      </c>
      <c r="G15" s="97"/>
      <c r="H15" s="83" t="s">
        <v>18</v>
      </c>
      <c r="I15" s="83"/>
      <c r="J15" s="83" t="s">
        <v>42</v>
      </c>
      <c r="K15" s="84" t="n">
        <f aca="false">U13*K13</f>
        <v>1418.4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197</v>
      </c>
      <c r="B16" s="80" t="s">
        <v>198</v>
      </c>
      <c r="C16" s="80"/>
      <c r="D16" s="80"/>
      <c r="E16" s="46" t="n">
        <f aca="false">D7*2</f>
        <v>2</v>
      </c>
      <c r="F16" s="97" t="n">
        <f aca="false">C7-50</f>
        <v>646</v>
      </c>
      <c r="G16" s="97"/>
      <c r="H16" s="83" t="s">
        <v>18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79" t="s">
        <v>200</v>
      </c>
      <c r="B17" s="80" t="s">
        <v>198</v>
      </c>
      <c r="C17" s="80"/>
      <c r="D17" s="80"/>
      <c r="E17" s="46" t="n">
        <f aca="false">D7*2</f>
        <v>2</v>
      </c>
      <c r="F17" s="97" t="n">
        <f aca="false">C7-50</f>
        <v>646</v>
      </c>
      <c r="G17" s="97"/>
      <c r="H17" s="83" t="s">
        <v>18</v>
      </c>
      <c r="I17" s="83"/>
      <c r="J17" s="83" t="s">
        <v>42</v>
      </c>
      <c r="K17" s="413" t="n">
        <f aca="false">U12*K13</f>
        <v>376.28295</v>
      </c>
      <c r="L17" s="413"/>
    </row>
    <row r="18" customFormat="false" ht="25.5" hidden="false" customHeight="true" outlineLevel="0" collapsed="false">
      <c r="A18" s="79" t="s">
        <v>201</v>
      </c>
      <c r="B18" s="80" t="s">
        <v>202</v>
      </c>
      <c r="C18" s="80"/>
      <c r="D18" s="80"/>
      <c r="E18" s="46" t="n">
        <f aca="false">D7*8</f>
        <v>8</v>
      </c>
      <c r="F18" s="24" t="n">
        <f aca="false">K35/4</f>
        <v>314</v>
      </c>
      <c r="G18" s="24"/>
      <c r="H18" s="83" t="s">
        <v>17</v>
      </c>
      <c r="I18" s="83"/>
      <c r="J18" s="83" t="s">
        <v>42</v>
      </c>
      <c r="K18" s="93"/>
      <c r="L18" s="93"/>
      <c r="M18" s="93"/>
      <c r="N18" s="93"/>
      <c r="O18" s="93"/>
    </row>
    <row r="19" customFormat="false" ht="22.5" hidden="false" customHeight="true" outlineLevel="0" collapsed="false">
      <c r="A19" s="79" t="s">
        <v>188</v>
      </c>
      <c r="B19" s="80" t="s">
        <v>203</v>
      </c>
      <c r="C19" s="80"/>
      <c r="D19" s="80"/>
      <c r="E19" s="46" t="n">
        <f aca="false">D7*8</f>
        <v>8</v>
      </c>
      <c r="F19" s="24" t="n">
        <f aca="false">K35/4</f>
        <v>314</v>
      </c>
      <c r="G19" s="24"/>
      <c r="H19" s="83" t="s">
        <v>17</v>
      </c>
      <c r="I19" s="83"/>
      <c r="J19" s="83" t="s">
        <v>42</v>
      </c>
      <c r="K19" s="93"/>
      <c r="L19" s="93"/>
      <c r="M19" s="93"/>
      <c r="N19" s="93"/>
      <c r="O19" s="93"/>
    </row>
    <row r="20" customFormat="false" ht="22.5" hidden="false" customHeight="true" outlineLevel="0" collapsed="false">
      <c r="A20" s="79" t="s">
        <v>188</v>
      </c>
      <c r="B20" s="80" t="s">
        <v>204</v>
      </c>
      <c r="C20" s="80"/>
      <c r="D20" s="80"/>
      <c r="E20" s="46" t="n">
        <f aca="false">D7*8</f>
        <v>8</v>
      </c>
      <c r="F20" s="97" t="n">
        <f aca="false">C7-152</f>
        <v>544</v>
      </c>
      <c r="G20" s="97"/>
      <c r="H20" s="83" t="s">
        <v>18</v>
      </c>
      <c r="I20" s="83"/>
      <c r="J20" s="83" t="s">
        <v>42</v>
      </c>
      <c r="K20" s="93"/>
      <c r="L20" s="93"/>
      <c r="M20" s="93"/>
      <c r="N20" s="93"/>
      <c r="O20" s="93"/>
    </row>
    <row r="21" customFormat="false" ht="21" hidden="false" customHeight="true" outlineLevel="0" collapsed="false">
      <c r="A21" s="79"/>
      <c r="B21" s="80"/>
      <c r="C21" s="80"/>
      <c r="D21" s="80"/>
      <c r="E21" s="83"/>
      <c r="F21" s="83"/>
      <c r="G21" s="83"/>
      <c r="H21" s="83"/>
      <c r="I21" s="83"/>
      <c r="J21" s="83"/>
      <c r="K21" s="93"/>
      <c r="L21" s="93"/>
      <c r="M21" s="93"/>
      <c r="N21" s="93"/>
      <c r="O21" s="93"/>
    </row>
    <row r="22" customFormat="false" ht="17.25" hidden="false" customHeight="true" outlineLevel="0" collapsed="false">
      <c r="A22" s="47"/>
      <c r="B22" s="52"/>
      <c r="D22" s="23"/>
      <c r="E22" s="47"/>
      <c r="F22" s="52"/>
      <c r="G22" s="23"/>
      <c r="H22" s="52"/>
      <c r="I22" s="23"/>
      <c r="J22" s="47"/>
      <c r="K22" s="93"/>
      <c r="L22" s="93"/>
      <c r="M22" s="93"/>
      <c r="N22" s="93"/>
      <c r="O22" s="93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93"/>
      <c r="L23" s="93"/>
      <c r="M23" s="93"/>
      <c r="N23" s="93"/>
      <c r="O23" s="93"/>
    </row>
    <row r="24" customFormat="false" ht="17.25" hidden="false" customHeight="true" outlineLevel="0" collapsed="false">
      <c r="A24" s="64"/>
      <c r="B24" s="139"/>
      <c r="C24" s="203"/>
      <c r="D24" s="140"/>
      <c r="E24" s="64"/>
      <c r="F24" s="139"/>
      <c r="G24" s="140"/>
      <c r="H24" s="139"/>
      <c r="I24" s="140"/>
      <c r="J24" s="64"/>
      <c r="K24" s="93"/>
      <c r="L24" s="124"/>
      <c r="M24" s="93"/>
      <c r="N24" s="93"/>
      <c r="O24" s="93"/>
    </row>
    <row r="25" customFormat="false" ht="17.25" hidden="false" customHeight="true" outlineLevel="0" collapsed="false">
      <c r="K25" s="93"/>
      <c r="L25" s="124"/>
      <c r="M25" s="93"/>
      <c r="N25" s="93"/>
      <c r="O25" s="93"/>
    </row>
    <row r="26" customFormat="false" ht="17.25" hidden="false" customHeight="true" outlineLevel="0" collapsed="false">
      <c r="K26" s="93"/>
      <c r="L26" s="124"/>
      <c r="M26" s="93"/>
      <c r="N26" s="93"/>
      <c r="O26" s="93"/>
    </row>
    <row r="27" customFormat="false" ht="17.25" hidden="false" customHeight="true" outlineLevel="0" collapsed="false">
      <c r="K27" s="93"/>
      <c r="L27" s="124"/>
      <c r="M27" s="93"/>
      <c r="N27" s="93"/>
      <c r="O27" s="93"/>
    </row>
    <row r="28" customFormat="false" ht="17.25" hidden="false" customHeight="true" outlineLevel="0" collapsed="false">
      <c r="K28" s="108" t="n">
        <f aca="false">F18*4*D7</f>
        <v>1256</v>
      </c>
      <c r="L28" s="414" t="n">
        <f aca="false">F11*E11</f>
        <v>1459</v>
      </c>
      <c r="M28" s="109"/>
      <c r="N28" s="93"/>
      <c r="O28" s="93"/>
    </row>
    <row r="29" customFormat="false" ht="17.25" hidden="false" customHeight="true" outlineLevel="0" collapsed="false">
      <c r="K29" s="108" t="n">
        <f aca="false">C7*4*D7</f>
        <v>2784</v>
      </c>
      <c r="L29" s="414" t="n">
        <f aca="false">F12*E12</f>
        <v>1459</v>
      </c>
      <c r="M29" s="109"/>
      <c r="N29" s="93"/>
      <c r="O29" s="93"/>
    </row>
    <row r="30" customFormat="false" ht="17.25" hidden="false" customHeight="true" outlineLevel="0" collapsed="false">
      <c r="K30" s="108" t="n">
        <f aca="false">K29</f>
        <v>2784</v>
      </c>
      <c r="L30" s="414" t="n">
        <f aca="false">F13*E13</f>
        <v>1392</v>
      </c>
      <c r="M30" s="109"/>
      <c r="N30" s="93"/>
      <c r="O30" s="93"/>
    </row>
    <row r="31" customFormat="false" ht="17.25" hidden="false" customHeight="true" outlineLevel="0" collapsed="false">
      <c r="K31" s="108" t="n">
        <f aca="false">K30+K28*D7</f>
        <v>4040</v>
      </c>
      <c r="L31" s="414" t="n">
        <f aca="false">F14*E14</f>
        <v>1938</v>
      </c>
      <c r="M31" s="109"/>
      <c r="N31" s="93"/>
      <c r="O31" s="93"/>
    </row>
    <row r="32" customFormat="false" ht="17.25" hidden="false" customHeight="true" outlineLevel="0" collapsed="false">
      <c r="K32" s="108" t="n">
        <f aca="false">C7*2*D7</f>
        <v>1392</v>
      </c>
      <c r="L32" s="414" t="n">
        <f aca="false">F15*E15</f>
        <v>646</v>
      </c>
      <c r="M32" s="109" t="s">
        <v>205</v>
      </c>
      <c r="N32" s="93"/>
      <c r="O32" s="93"/>
    </row>
    <row r="33" customFormat="false" ht="17.25" hidden="false" customHeight="true" outlineLevel="0" collapsed="false">
      <c r="K33" s="108" t="n">
        <f aca="false">K30</f>
        <v>2784</v>
      </c>
      <c r="L33" s="414" t="n">
        <f aca="false">F16*E16</f>
        <v>1292</v>
      </c>
      <c r="M33" s="109"/>
      <c r="N33" s="93"/>
      <c r="O33" s="93"/>
    </row>
    <row r="34" customFormat="false" ht="17.25" hidden="false" customHeight="true" outlineLevel="0" collapsed="false">
      <c r="K34" s="109" t="n">
        <f aca="false">B7-257</f>
        <v>1228</v>
      </c>
      <c r="L34" s="414" t="n">
        <f aca="false">F17*E17</f>
        <v>1292</v>
      </c>
      <c r="M34" s="109"/>
      <c r="N34" s="93"/>
      <c r="O34" s="93"/>
    </row>
    <row r="35" customFormat="false" ht="17.25" hidden="false" customHeight="true" outlineLevel="0" collapsed="false">
      <c r="K35" s="415" t="n">
        <f aca="false">B7-229</f>
        <v>1256</v>
      </c>
      <c r="L35" s="414" t="n">
        <f aca="false">F18*E18</f>
        <v>2512</v>
      </c>
      <c r="M35" s="109"/>
      <c r="N35" s="93"/>
      <c r="O35" s="93"/>
    </row>
    <row r="36" customFormat="false" ht="17.25" hidden="false" customHeight="true" outlineLevel="0" collapsed="false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109"/>
      <c r="L36" s="414" t="n">
        <f aca="false">E19*F19+E20*F20</f>
        <v>6864</v>
      </c>
      <c r="M36" s="109"/>
      <c r="N36" s="93"/>
      <c r="O36" s="93"/>
    </row>
    <row r="37" customFormat="false" ht="15.75" hidden="false" customHeight="false" outlineLevel="0" collapsed="false">
      <c r="A37" s="104" t="s">
        <v>51</v>
      </c>
      <c r="B37" s="160" t="s">
        <v>26</v>
      </c>
      <c r="C37" s="160"/>
      <c r="D37" s="160"/>
      <c r="E37" s="160"/>
      <c r="F37" s="160"/>
      <c r="G37" s="160" t="s">
        <v>206</v>
      </c>
      <c r="H37" s="160"/>
      <c r="I37" s="416" t="s">
        <v>207</v>
      </c>
      <c r="J37" s="416"/>
      <c r="K37" s="93"/>
      <c r="L37" s="93"/>
      <c r="M37" s="93"/>
      <c r="N37" s="93"/>
      <c r="O37" s="93"/>
    </row>
    <row r="38" customFormat="false" ht="15" hidden="false" customHeight="false" outlineLevel="0" collapsed="false">
      <c r="A38" s="417" t="s">
        <v>208</v>
      </c>
      <c r="B38" s="418" t="s">
        <v>209</v>
      </c>
      <c r="C38" s="418"/>
      <c r="D38" s="418"/>
      <c r="E38" s="418"/>
      <c r="F38" s="418"/>
      <c r="G38" s="19" t="s">
        <v>210</v>
      </c>
      <c r="H38" s="19"/>
      <c r="I38" s="221" t="n">
        <f aca="false">D7*1</f>
        <v>1</v>
      </c>
      <c r="J38" s="221"/>
      <c r="K38" s="93"/>
      <c r="L38" s="93"/>
      <c r="M38" s="93"/>
      <c r="N38" s="93"/>
      <c r="O38" s="93"/>
    </row>
    <row r="39" customFormat="false" ht="15" hidden="false" customHeight="false" outlineLevel="0" collapsed="false">
      <c r="A39" s="47" t="s">
        <v>211</v>
      </c>
      <c r="B39" s="419" t="s">
        <v>212</v>
      </c>
      <c r="C39" s="419"/>
      <c r="D39" s="419"/>
      <c r="E39" s="419"/>
      <c r="F39" s="419"/>
      <c r="G39" s="120" t="s">
        <v>210</v>
      </c>
      <c r="H39" s="120"/>
      <c r="I39" s="28" t="n">
        <f aca="false">D7*1</f>
        <v>1</v>
      </c>
      <c r="J39" s="28"/>
      <c r="K39" s="93"/>
      <c r="L39" s="93"/>
      <c r="M39" s="93"/>
      <c r="N39" s="93"/>
      <c r="O39" s="93"/>
    </row>
    <row r="40" customFormat="false" ht="15" hidden="false" customHeight="false" outlineLevel="0" collapsed="false">
      <c r="A40" s="47" t="s">
        <v>213</v>
      </c>
      <c r="B40" s="419" t="s">
        <v>214</v>
      </c>
      <c r="C40" s="419"/>
      <c r="D40" s="419"/>
      <c r="E40" s="419"/>
      <c r="F40" s="419"/>
      <c r="G40" s="120" t="s">
        <v>46</v>
      </c>
      <c r="H40" s="120"/>
      <c r="I40" s="28" t="n">
        <f aca="false">C7*2*D7</f>
        <v>1392</v>
      </c>
      <c r="J40" s="28"/>
      <c r="K40" s="93"/>
      <c r="L40" s="93"/>
      <c r="M40" s="93"/>
      <c r="N40" s="93"/>
      <c r="O40" s="93"/>
    </row>
    <row r="41" customFormat="false" ht="15" hidden="false" customHeight="false" outlineLevel="0" collapsed="false">
      <c r="A41" s="47" t="s">
        <v>215</v>
      </c>
      <c r="B41" s="419" t="s">
        <v>216</v>
      </c>
      <c r="C41" s="419"/>
      <c r="D41" s="419"/>
      <c r="E41" s="419"/>
      <c r="F41" s="419"/>
      <c r="G41" s="120" t="s">
        <v>46</v>
      </c>
      <c r="H41" s="120"/>
      <c r="I41" s="28" t="n">
        <f aca="false">B7*4*D7</f>
        <v>5940</v>
      </c>
      <c r="J41" s="28"/>
      <c r="K41" s="93"/>
      <c r="L41" s="93"/>
      <c r="M41" s="93"/>
      <c r="N41" s="93"/>
      <c r="O41" s="93"/>
    </row>
    <row r="42" customFormat="false" ht="15" hidden="false" customHeight="false" outlineLevel="0" collapsed="false">
      <c r="A42" s="47" t="s">
        <v>217</v>
      </c>
      <c r="B42" s="419" t="s">
        <v>218</v>
      </c>
      <c r="C42" s="419"/>
      <c r="D42" s="419"/>
      <c r="E42" s="419"/>
      <c r="F42" s="419"/>
      <c r="G42" s="120" t="s">
        <v>46</v>
      </c>
      <c r="H42" s="120"/>
      <c r="I42" s="28" t="n">
        <f aca="false">C7*4*D7</f>
        <v>2784</v>
      </c>
      <c r="J42" s="28"/>
      <c r="K42" s="93"/>
      <c r="L42" s="93"/>
      <c r="M42" s="93"/>
      <c r="N42" s="93"/>
      <c r="O42" s="93"/>
    </row>
    <row r="43" customFormat="false" ht="15" hidden="false" customHeight="false" outlineLevel="0" collapsed="false">
      <c r="A43" s="47" t="s">
        <v>219</v>
      </c>
      <c r="B43" s="419" t="s">
        <v>220</v>
      </c>
      <c r="C43" s="419"/>
      <c r="D43" s="419"/>
      <c r="E43" s="419"/>
      <c r="F43" s="419"/>
      <c r="G43" s="120" t="s">
        <v>46</v>
      </c>
      <c r="H43" s="120"/>
      <c r="I43" s="28" t="n">
        <f aca="false">B7*2+C7*8*D7</f>
        <v>8538</v>
      </c>
      <c r="J43" s="28"/>
    </row>
    <row r="44" customFormat="false" ht="15" hidden="false" customHeight="false" outlineLevel="0" collapsed="false">
      <c r="A44" s="47" t="s">
        <v>221</v>
      </c>
      <c r="B44" s="419" t="s">
        <v>222</v>
      </c>
      <c r="C44" s="419"/>
      <c r="D44" s="419"/>
      <c r="E44" s="419"/>
      <c r="F44" s="419"/>
      <c r="G44" s="120" t="s">
        <v>46</v>
      </c>
      <c r="H44" s="120"/>
      <c r="I44" s="28" t="n">
        <f aca="false">K32*2</f>
        <v>2784</v>
      </c>
      <c r="J44" s="28"/>
    </row>
    <row r="45" customFormat="false" ht="15" hidden="false" customHeight="false" outlineLevel="0" collapsed="false">
      <c r="A45" s="47" t="s">
        <v>223</v>
      </c>
      <c r="B45" s="419" t="s">
        <v>224</v>
      </c>
      <c r="C45" s="419"/>
      <c r="D45" s="419"/>
      <c r="E45" s="419"/>
      <c r="F45" s="419"/>
      <c r="G45" s="120" t="s">
        <v>46</v>
      </c>
      <c r="H45" s="120"/>
      <c r="I45" s="28" t="n">
        <f aca="false">C7*8*D7</f>
        <v>5568</v>
      </c>
      <c r="J45" s="28"/>
    </row>
    <row r="46" customFormat="false" ht="15" hidden="false" customHeight="false" outlineLevel="0" collapsed="false">
      <c r="A46" s="47" t="s">
        <v>225</v>
      </c>
      <c r="B46" s="419" t="s">
        <v>226</v>
      </c>
      <c r="C46" s="419"/>
      <c r="D46" s="419"/>
      <c r="E46" s="419"/>
      <c r="F46" s="419"/>
      <c r="G46" s="120" t="s">
        <v>210</v>
      </c>
      <c r="H46" s="120"/>
      <c r="I46" s="28" t="n">
        <f aca="false">D7*2</f>
        <v>2</v>
      </c>
      <c r="J46" s="28"/>
    </row>
    <row r="47" customFormat="false" ht="15" hidden="false" customHeight="false" outlineLevel="0" collapsed="false">
      <c r="A47" s="47" t="s">
        <v>227</v>
      </c>
      <c r="B47" s="419" t="s">
        <v>228</v>
      </c>
      <c r="C47" s="419"/>
      <c r="D47" s="419"/>
      <c r="E47" s="419"/>
      <c r="F47" s="419"/>
      <c r="G47" s="120" t="s">
        <v>210</v>
      </c>
      <c r="H47" s="120"/>
      <c r="I47" s="28" t="n">
        <f aca="false">D7*16</f>
        <v>16</v>
      </c>
      <c r="J47" s="28"/>
    </row>
    <row r="48" customFormat="false" ht="15" hidden="false" customHeight="false" outlineLevel="0" collapsed="false">
      <c r="A48" s="47" t="s">
        <v>229</v>
      </c>
      <c r="B48" s="419" t="s">
        <v>230</v>
      </c>
      <c r="C48" s="419"/>
      <c r="D48" s="419"/>
      <c r="E48" s="419"/>
      <c r="F48" s="419"/>
      <c r="G48" s="120" t="s">
        <v>210</v>
      </c>
      <c r="H48" s="120"/>
      <c r="I48" s="28" t="n">
        <f aca="false">D7*1</f>
        <v>1</v>
      </c>
      <c r="J48" s="28"/>
    </row>
    <row r="49" customFormat="false" ht="15" hidden="false" customHeight="false" outlineLevel="0" collapsed="false">
      <c r="A49" s="47" t="s">
        <v>231</v>
      </c>
      <c r="B49" s="419" t="s">
        <v>232</v>
      </c>
      <c r="C49" s="419"/>
      <c r="D49" s="419"/>
      <c r="E49" s="419"/>
      <c r="F49" s="419"/>
      <c r="G49" s="120" t="s">
        <v>210</v>
      </c>
      <c r="H49" s="120"/>
      <c r="I49" s="28" t="n">
        <f aca="false">D7*4</f>
        <v>4</v>
      </c>
      <c r="J49" s="28"/>
    </row>
    <row r="50" customFormat="false" ht="15" hidden="false" customHeight="false" outlineLevel="0" collapsed="false">
      <c r="A50" s="47" t="s">
        <v>233</v>
      </c>
      <c r="B50" s="419" t="s">
        <v>234</v>
      </c>
      <c r="C50" s="419"/>
      <c r="D50" s="419"/>
      <c r="E50" s="419"/>
      <c r="F50" s="419"/>
      <c r="G50" s="120" t="s">
        <v>210</v>
      </c>
      <c r="H50" s="120"/>
      <c r="I50" s="28" t="n">
        <f aca="false">D7*24</f>
        <v>24</v>
      </c>
      <c r="J50" s="28"/>
    </row>
    <row r="51" customFormat="false" ht="15" hidden="false" customHeight="false" outlineLevel="0" collapsed="false">
      <c r="A51" s="47" t="s">
        <v>235</v>
      </c>
      <c r="B51" s="419" t="s">
        <v>236</v>
      </c>
      <c r="C51" s="419"/>
      <c r="D51" s="419"/>
      <c r="E51" s="419"/>
      <c r="F51" s="419"/>
      <c r="G51" s="120" t="s">
        <v>210</v>
      </c>
      <c r="H51" s="120"/>
      <c r="I51" s="28" t="n">
        <f aca="false">D7*4</f>
        <v>4</v>
      </c>
      <c r="J51" s="28"/>
    </row>
    <row r="52" customFormat="false" ht="15" hidden="false" customHeight="false" outlineLevel="0" collapsed="false">
      <c r="A52" s="420" t="s">
        <v>237</v>
      </c>
      <c r="B52" s="120" t="s">
        <v>238</v>
      </c>
      <c r="C52" s="120"/>
      <c r="D52" s="120"/>
      <c r="E52" s="120"/>
      <c r="F52" s="120"/>
      <c r="G52" s="120" t="s">
        <v>46</v>
      </c>
      <c r="H52" s="120"/>
      <c r="I52" s="175" t="n">
        <f aca="false">B7*2*D7</f>
        <v>2970</v>
      </c>
      <c r="J52" s="175"/>
    </row>
    <row r="53" customFormat="false" ht="15" hidden="false" customHeight="false" outlineLevel="0" collapsed="false">
      <c r="A53" s="420"/>
      <c r="B53" s="52"/>
      <c r="F53" s="23"/>
      <c r="G53" s="52"/>
      <c r="H53" s="23"/>
      <c r="I53" s="52"/>
      <c r="J53" s="23"/>
    </row>
    <row r="54" customFormat="false" ht="15" hidden="false" customHeight="false" outlineLevel="0" collapsed="false">
      <c r="A54" s="420"/>
      <c r="B54" s="52"/>
      <c r="F54" s="23"/>
      <c r="G54" s="52"/>
      <c r="H54" s="23"/>
      <c r="I54" s="52"/>
      <c r="J54" s="23"/>
    </row>
    <row r="55" customFormat="false" ht="15" hidden="false" customHeight="false" outlineLevel="0" collapsed="false">
      <c r="A55" s="420"/>
      <c r="B55" s="52"/>
      <c r="F55" s="23"/>
      <c r="G55" s="52"/>
      <c r="H55" s="23"/>
      <c r="I55" s="52"/>
      <c r="J55" s="23"/>
    </row>
    <row r="56" customFormat="false" ht="15" hidden="false" customHeight="false" outlineLevel="0" collapsed="false">
      <c r="A56" s="420"/>
      <c r="B56" s="52"/>
      <c r="F56" s="23"/>
      <c r="G56" s="52"/>
      <c r="H56" s="23"/>
      <c r="I56" s="52"/>
      <c r="J56" s="23"/>
    </row>
    <row r="57" customFormat="false" ht="15" hidden="false" customHeight="false" outlineLevel="0" collapsed="false">
      <c r="A57" s="420"/>
      <c r="B57" s="52"/>
      <c r="F57" s="23"/>
      <c r="G57" s="52"/>
      <c r="H57" s="23"/>
      <c r="I57" s="52"/>
      <c r="J57" s="23"/>
    </row>
    <row r="58" customFormat="false" ht="15.75" hidden="false" customHeight="false" outlineLevel="0" collapsed="false">
      <c r="A58" s="421"/>
      <c r="B58" s="139"/>
      <c r="C58" s="203"/>
      <c r="D58" s="203"/>
      <c r="E58" s="203"/>
      <c r="F58" s="140"/>
      <c r="G58" s="139"/>
      <c r="H58" s="140"/>
      <c r="I58" s="139"/>
      <c r="J58" s="140"/>
    </row>
    <row r="59" customFormat="false" ht="15" hidden="false" customHeight="false" outlineLevel="0" collapsed="false">
      <c r="A59" s="132"/>
    </row>
    <row r="60" customFormat="false" ht="15" hidden="false" customHeight="false" outlineLevel="0" collapsed="false">
      <c r="A60" s="132"/>
    </row>
  </sheetData>
  <mergeCells count="13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Q12"/>
    <mergeCell ref="R12:T12"/>
    <mergeCell ref="B13:D13"/>
    <mergeCell ref="F13:G13"/>
    <mergeCell ref="H13:I13"/>
    <mergeCell ref="M13:N13"/>
    <mergeCell ref="P13:Q13"/>
    <mergeCell ref="R13:T13"/>
    <mergeCell ref="B14:D14"/>
    <mergeCell ref="F14:G14"/>
    <mergeCell ref="H14:I14"/>
    <mergeCell ref="K14:L14"/>
    <mergeCell ref="R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D21"/>
    <mergeCell ref="F21:G21"/>
    <mergeCell ref="H21:I21"/>
    <mergeCell ref="A36:J36"/>
    <mergeCell ref="B37:F37"/>
    <mergeCell ref="G37:H37"/>
    <mergeCell ref="I37:J37"/>
    <mergeCell ref="B38:F38"/>
    <mergeCell ref="G38:H38"/>
    <mergeCell ref="I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239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240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0.558*6*K26</f>
        <v>167.4</v>
      </c>
      <c r="O3" s="259"/>
      <c r="P3" s="260" t="n">
        <f aca="false">N3*M3</f>
        <v>167.4</v>
      </c>
      <c r="Q3" s="260"/>
      <c r="R3" s="261" t="str">
        <f aca="false">F5</f>
        <v>BRANCO</v>
      </c>
      <c r="S3" s="96" t="n">
        <v>6000</v>
      </c>
      <c r="T3" s="262" t="n">
        <f aca="false">0.558*L37/1000</f>
        <v>3.0132</v>
      </c>
      <c r="U3" s="263" t="n">
        <f aca="false">M3*3.348</f>
        <v>3.348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241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0.615*6*K26</f>
        <v>184.5</v>
      </c>
      <c r="O4" s="266"/>
      <c r="P4" s="267" t="n">
        <f aca="false">N4*M4</f>
        <v>184.5</v>
      </c>
      <c r="Q4" s="267"/>
      <c r="R4" s="268" t="str">
        <f aca="false">F5</f>
        <v>BRANCO</v>
      </c>
      <c r="S4" s="96" t="n">
        <v>6000</v>
      </c>
      <c r="T4" s="262" t="n">
        <f aca="false">0.615*L38/1000</f>
        <v>3.292095</v>
      </c>
      <c r="U4" s="262" t="n">
        <f aca="false">M4*3.69</f>
        <v>3.69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242</v>
      </c>
      <c r="L5" s="265" t="n">
        <f aca="false">IF(L39&gt;6000,L39/6000,1)</f>
        <v>1.05466666666667</v>
      </c>
      <c r="M5" s="154" t="n">
        <f aca="false">ROUNDUP(L5,0)</f>
        <v>2</v>
      </c>
      <c r="N5" s="266" t="n">
        <f aca="false">1.195*6*K26</f>
        <v>358.5</v>
      </c>
      <c r="O5" s="266"/>
      <c r="P5" s="267" t="n">
        <f aca="false">N5*M5</f>
        <v>717</v>
      </c>
      <c r="Q5" s="267"/>
      <c r="R5" s="268" t="str">
        <f aca="false">F5</f>
        <v>BRANCO</v>
      </c>
      <c r="S5" s="96" t="n">
        <v>6000</v>
      </c>
      <c r="T5" s="262" t="n">
        <f aca="false">1.195*L39/1000</f>
        <v>7.56196</v>
      </c>
      <c r="U5" s="262" t="n">
        <f aca="false">M5*7.717</f>
        <v>15.434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243</v>
      </c>
      <c r="L6" s="265" t="n">
        <f aca="false">IF(L40&gt;6000,L40/6000,1)</f>
        <v>1</v>
      </c>
      <c r="M6" s="154" t="n">
        <f aca="false">ROUNDUP(L6,0)</f>
        <v>1</v>
      </c>
      <c r="N6" s="266" t="n">
        <f aca="false">1.318*6*K26</f>
        <v>395.4</v>
      </c>
      <c r="O6" s="266"/>
      <c r="P6" s="267" t="n">
        <f aca="false">N6*M6</f>
        <v>395.4</v>
      </c>
      <c r="Q6" s="267"/>
      <c r="R6" s="268" t="str">
        <f aca="false">F5</f>
        <v>BRANCO</v>
      </c>
      <c r="S6" s="96" t="n">
        <v>6000</v>
      </c>
      <c r="T6" s="262" t="n">
        <f aca="false">1.318*L40/1000</f>
        <v>1.229694</v>
      </c>
      <c r="U6" s="262" t="n">
        <f aca="false">M6*7.908</f>
        <v>7.908</v>
      </c>
    </row>
    <row r="7" customFormat="false" ht="27" hidden="false" customHeight="true" outlineLevel="0" collapsed="false">
      <c r="A7" s="271" t="n">
        <v>500</v>
      </c>
      <c r="B7" s="272" t="n">
        <v>1200</v>
      </c>
      <c r="C7" s="272" t="n">
        <v>2100</v>
      </c>
      <c r="D7" s="272" t="n">
        <v>1</v>
      </c>
      <c r="E7" s="276" t="n">
        <f aca="false">(B7*C7)/10^6</f>
        <v>2.52</v>
      </c>
      <c r="F7" s="276"/>
      <c r="G7" s="270"/>
      <c r="H7" s="270"/>
      <c r="I7" s="270"/>
      <c r="J7" s="270"/>
      <c r="K7" s="116"/>
      <c r="L7" s="265"/>
      <c r="M7" s="154"/>
      <c r="N7" s="266"/>
      <c r="O7" s="266"/>
      <c r="P7" s="267"/>
      <c r="Q7" s="267"/>
      <c r="R7" s="268"/>
      <c r="S7" s="96"/>
      <c r="T7" s="262"/>
      <c r="U7" s="262"/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1260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244</v>
      </c>
      <c r="L8" s="265" t="n">
        <f aca="false">IF(L42&gt;6000,L42/6000,1)</f>
        <v>1</v>
      </c>
      <c r="M8" s="154" t="n">
        <f aca="false">ROUNDUP(L8,0)</f>
        <v>1</v>
      </c>
      <c r="N8" s="266" t="n">
        <f aca="false">0.115*6*K26</f>
        <v>34.5</v>
      </c>
      <c r="O8" s="266"/>
      <c r="P8" s="267" t="n">
        <f aca="false">N8*M8</f>
        <v>34.5</v>
      </c>
      <c r="Q8" s="267"/>
      <c r="R8" s="268" t="str">
        <f aca="false">F5</f>
        <v>BRANCO</v>
      </c>
      <c r="S8" s="96" t="n">
        <v>6000</v>
      </c>
      <c r="T8" s="262" t="n">
        <f aca="false">0.115*L42/1000</f>
        <v>0.40158</v>
      </c>
      <c r="U8" s="262" t="n">
        <f aca="false">M8*0.69</f>
        <v>0.69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1260</v>
      </c>
      <c r="D9" s="275"/>
      <c r="E9" s="389" t="n">
        <f aca="false">B7-253</f>
        <v>947</v>
      </c>
      <c r="F9" s="390" t="n">
        <f aca="false">(C7-324)/2</f>
        <v>888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240</v>
      </c>
      <c r="B11" s="278" t="s">
        <v>187</v>
      </c>
      <c r="C11" s="278"/>
      <c r="D11" s="278"/>
      <c r="E11" s="15" t="n">
        <f aca="false">D7*1</f>
        <v>1</v>
      </c>
      <c r="F11" s="69" t="n">
        <f aca="false">B7</f>
        <v>1200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240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241</v>
      </c>
      <c r="B13" s="279" t="s">
        <v>187</v>
      </c>
      <c r="C13" s="279"/>
      <c r="D13" s="279"/>
      <c r="E13" s="24" t="n">
        <f aca="false">D7*1</f>
        <v>1</v>
      </c>
      <c r="F13" s="97" t="n">
        <f aca="false">B7-23</f>
        <v>1177</v>
      </c>
      <c r="G13" s="97"/>
      <c r="H13" s="83" t="s">
        <v>17</v>
      </c>
      <c r="I13" s="83"/>
      <c r="J13" s="83" t="s">
        <v>33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241</v>
      </c>
      <c r="B14" s="279" t="s">
        <v>192</v>
      </c>
      <c r="C14" s="279"/>
      <c r="D14" s="279"/>
      <c r="E14" s="24" t="n">
        <f aca="false">D7*2</f>
        <v>2</v>
      </c>
      <c r="F14" s="24" t="n">
        <f aca="false">C7-12</f>
        <v>2088</v>
      </c>
      <c r="G14" s="24"/>
      <c r="H14" s="83" t="s">
        <v>18</v>
      </c>
      <c r="I14" s="83"/>
      <c r="J14" s="83" t="s">
        <v>245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242</v>
      </c>
      <c r="B15" s="279" t="s">
        <v>246</v>
      </c>
      <c r="C15" s="279"/>
      <c r="D15" s="279"/>
      <c r="E15" s="46" t="n">
        <f aca="false">D7*2</f>
        <v>2</v>
      </c>
      <c r="F15" s="24" t="n">
        <f aca="false">B7-87</f>
        <v>1113</v>
      </c>
      <c r="G15" s="24"/>
      <c r="H15" s="83" t="s">
        <v>17</v>
      </c>
      <c r="I15" s="83"/>
      <c r="J15" s="83" t="s">
        <v>33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242</v>
      </c>
      <c r="B16" s="279" t="s">
        <v>247</v>
      </c>
      <c r="C16" s="279"/>
      <c r="D16" s="279"/>
      <c r="E16" s="24" t="n">
        <f aca="false">D7*2</f>
        <v>2</v>
      </c>
      <c r="F16" s="24" t="n">
        <f aca="false">C7-49</f>
        <v>2051</v>
      </c>
      <c r="G16" s="24"/>
      <c r="H16" s="83" t="s">
        <v>18</v>
      </c>
      <c r="I16" s="83"/>
      <c r="J16" s="83" t="s">
        <v>33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243</v>
      </c>
      <c r="B17" s="279" t="s">
        <v>248</v>
      </c>
      <c r="C17" s="279"/>
      <c r="D17" s="279"/>
      <c r="E17" s="24" t="n">
        <f aca="false">D7*1</f>
        <v>1</v>
      </c>
      <c r="F17" s="24" t="n">
        <f aca="false">B7-267</f>
        <v>933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244</v>
      </c>
      <c r="B19" s="279" t="s">
        <v>203</v>
      </c>
      <c r="C19" s="279"/>
      <c r="D19" s="279"/>
      <c r="E19" s="24" t="n">
        <f aca="false">D7*4</f>
        <v>4</v>
      </c>
      <c r="F19" s="24" t="n">
        <f aca="false">F18</f>
        <v>0</v>
      </c>
      <c r="G19" s="24"/>
      <c r="H19" s="83" t="s">
        <v>17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244</v>
      </c>
      <c r="B20" s="279" t="s">
        <v>203</v>
      </c>
      <c r="C20" s="279"/>
      <c r="D20" s="279"/>
      <c r="E20" s="46" t="n">
        <f aca="false">D7*4</f>
        <v>4</v>
      </c>
      <c r="F20" s="24" t="n">
        <f aca="false">(C7-354)/2</f>
        <v>873</v>
      </c>
      <c r="G20" s="24"/>
      <c r="H20" s="83" t="s">
        <v>18</v>
      </c>
      <c r="I20" s="83"/>
      <c r="J20" s="83" t="s">
        <v>42</v>
      </c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15.498529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1549.8529</v>
      </c>
      <c r="N26" s="302"/>
      <c r="O26" s="303" t="n">
        <v>0.1</v>
      </c>
      <c r="P26" s="85" t="n">
        <f aca="false">K30*O26+K30</f>
        <v>852.419095</v>
      </c>
      <c r="Q26" s="85"/>
      <c r="R26" s="85"/>
      <c r="S26" s="181" t="s">
        <v>131</v>
      </c>
      <c r="T26" s="181"/>
      <c r="U26" s="294" t="n">
        <f aca="false">SUM(U3:U24)</f>
        <v>31.07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15.571471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1553.5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774.92645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249</v>
      </c>
      <c r="B36" s="426" t="s">
        <v>250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1</v>
      </c>
      <c r="J36" s="72"/>
      <c r="K36" s="387"/>
      <c r="L36" s="388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251</v>
      </c>
      <c r="B37" s="427" t="s">
        <v>252</v>
      </c>
      <c r="C37" s="427"/>
      <c r="D37" s="427"/>
      <c r="E37" s="427"/>
      <c r="F37" s="427"/>
      <c r="G37" s="427"/>
      <c r="H37" s="96" t="s">
        <v>64</v>
      </c>
      <c r="I37" s="83" t="n">
        <f aca="false">D7*1</f>
        <v>1</v>
      </c>
      <c r="J37" s="83"/>
      <c r="K37" s="387" t="s">
        <v>240</v>
      </c>
      <c r="L37" s="388" t="n">
        <f aca="false">F11*E11+E12*F12</f>
        <v>5400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253</v>
      </c>
      <c r="B38" s="427" t="s">
        <v>254</v>
      </c>
      <c r="C38" s="427"/>
      <c r="D38" s="427"/>
      <c r="E38" s="427"/>
      <c r="F38" s="427"/>
      <c r="G38" s="427"/>
      <c r="H38" s="96" t="s">
        <v>64</v>
      </c>
      <c r="I38" s="428" t="n">
        <f aca="false">D7*1</f>
        <v>1</v>
      </c>
      <c r="J38" s="428"/>
      <c r="K38" s="387" t="s">
        <v>241</v>
      </c>
      <c r="L38" s="388" t="n">
        <f aca="false">F13*E13+E14*F14</f>
        <v>5353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/>
      <c r="B39" s="427"/>
      <c r="C39" s="427"/>
      <c r="D39" s="427"/>
      <c r="E39" s="427"/>
      <c r="F39" s="427"/>
      <c r="G39" s="427"/>
      <c r="H39" s="96"/>
      <c r="I39" s="428"/>
      <c r="J39" s="428"/>
      <c r="K39" s="387" t="s">
        <v>242</v>
      </c>
      <c r="L39" s="388" t="n">
        <f aca="false">F15*E15+E16*F16</f>
        <v>6328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/>
      <c r="B40" s="427"/>
      <c r="C40" s="427"/>
      <c r="D40" s="427"/>
      <c r="E40" s="427"/>
      <c r="F40" s="427"/>
      <c r="G40" s="427"/>
      <c r="H40" s="96"/>
      <c r="I40" s="83"/>
      <c r="J40" s="83"/>
      <c r="K40" s="387" t="s">
        <v>243</v>
      </c>
      <c r="L40" s="388" t="n">
        <f aca="false">F17*E17</f>
        <v>933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387" t="s">
        <v>115</v>
      </c>
      <c r="L41" s="388" t="n">
        <f aca="false">F18*E18</f>
        <v>0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/>
      <c r="B42" s="427"/>
      <c r="C42" s="427"/>
      <c r="D42" s="427"/>
      <c r="E42" s="427"/>
      <c r="F42" s="427"/>
      <c r="G42" s="427"/>
      <c r="H42" s="96"/>
      <c r="I42" s="83"/>
      <c r="J42" s="83"/>
      <c r="K42" s="387" t="s">
        <v>244</v>
      </c>
      <c r="L42" s="429" t="n">
        <f aca="false">F19*E19+E20*F20</f>
        <v>3492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387"/>
      <c r="L43" s="430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387"/>
      <c r="L44" s="109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387"/>
      <c r="L45" s="109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109"/>
      <c r="L46" s="109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239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240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0.558*6*K26</f>
        <v>167.4</v>
      </c>
      <c r="O3" s="259"/>
      <c r="P3" s="260" t="n">
        <f aca="false">N3*M3</f>
        <v>167.4</v>
      </c>
      <c r="Q3" s="260"/>
      <c r="R3" s="261" t="str">
        <f aca="false">F5</f>
        <v>BRANCO</v>
      </c>
      <c r="S3" s="96" t="n">
        <v>6000</v>
      </c>
      <c r="T3" s="262" t="n">
        <f aca="false">0.558*L37/1000</f>
        <v>3.0132</v>
      </c>
      <c r="U3" s="263" t="n">
        <f aca="false">M3*3.348</f>
        <v>3.348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241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0.615*6*K26</f>
        <v>184.5</v>
      </c>
      <c r="O4" s="266"/>
      <c r="P4" s="267" t="n">
        <f aca="false">N4*M4</f>
        <v>184.5</v>
      </c>
      <c r="Q4" s="267"/>
      <c r="R4" s="268" t="str">
        <f aca="false">F5</f>
        <v>BRANCO</v>
      </c>
      <c r="S4" s="96" t="n">
        <v>6000</v>
      </c>
      <c r="T4" s="262" t="n">
        <f aca="false">0.615*L38/1000</f>
        <v>3.292095</v>
      </c>
      <c r="U4" s="262" t="n">
        <f aca="false">M4*3.69</f>
        <v>3.69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242</v>
      </c>
      <c r="L5" s="265" t="n">
        <f aca="false">IF(L39&gt;6000,L39/6000,1)</f>
        <v>1.05466666666667</v>
      </c>
      <c r="M5" s="154" t="n">
        <f aca="false">ROUNDUP(L5,0)</f>
        <v>2</v>
      </c>
      <c r="N5" s="266" t="n">
        <f aca="false">1.195*6*K26</f>
        <v>358.5</v>
      </c>
      <c r="O5" s="266"/>
      <c r="P5" s="267" t="n">
        <f aca="false">N5*M5</f>
        <v>717</v>
      </c>
      <c r="Q5" s="267"/>
      <c r="R5" s="268" t="str">
        <f aca="false">F5</f>
        <v>BRANCO</v>
      </c>
      <c r="S5" s="96" t="n">
        <v>6000</v>
      </c>
      <c r="T5" s="262" t="n">
        <f aca="false">1.195*L39/1000</f>
        <v>7.56196</v>
      </c>
      <c r="U5" s="262" t="n">
        <f aca="false">M5*7.717</f>
        <v>15.434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243</v>
      </c>
      <c r="L6" s="265" t="n">
        <f aca="false">IF(L40&gt;6000,L40/6000,1)</f>
        <v>1</v>
      </c>
      <c r="M6" s="154" t="n">
        <f aca="false">ROUNDUP(L6,0)</f>
        <v>1</v>
      </c>
      <c r="N6" s="266" t="n">
        <f aca="false">1.318*6*K26</f>
        <v>395.4</v>
      </c>
      <c r="O6" s="266"/>
      <c r="P6" s="267" t="n">
        <f aca="false">N6*M6</f>
        <v>395.4</v>
      </c>
      <c r="Q6" s="267"/>
      <c r="R6" s="268" t="str">
        <f aca="false">F5</f>
        <v>BRANCO</v>
      </c>
      <c r="S6" s="96" t="n">
        <v>6000</v>
      </c>
      <c r="T6" s="262" t="n">
        <f aca="false">1.318*L40/1000</f>
        <v>1.229694</v>
      </c>
      <c r="U6" s="262" t="n">
        <f aca="false">M6*7.908</f>
        <v>7.908</v>
      </c>
    </row>
    <row r="7" customFormat="false" ht="27" hidden="false" customHeight="true" outlineLevel="0" collapsed="false">
      <c r="A7" s="271" t="n">
        <v>500</v>
      </c>
      <c r="B7" s="272" t="n">
        <v>1200</v>
      </c>
      <c r="C7" s="272" t="n">
        <v>2100</v>
      </c>
      <c r="D7" s="272" t="n">
        <v>1</v>
      </c>
      <c r="E7" s="276" t="n">
        <f aca="false">(B7*C7)/10^6</f>
        <v>2.52</v>
      </c>
      <c r="F7" s="276"/>
      <c r="G7" s="270"/>
      <c r="H7" s="270"/>
      <c r="I7" s="270"/>
      <c r="J7" s="270"/>
      <c r="K7" s="116" t="s">
        <v>115</v>
      </c>
      <c r="L7" s="265" t="n">
        <f aca="false">IF(L41&gt;6000,L41/6000,1)</f>
        <v>2.78034</v>
      </c>
      <c r="M7" s="154" t="n">
        <f aca="false">ROUNDUP(L7,0)</f>
        <v>3</v>
      </c>
      <c r="N7" s="266" t="n">
        <f aca="false">0.706*6*K26</f>
        <v>211.8</v>
      </c>
      <c r="O7" s="266"/>
      <c r="P7" s="267" t="n">
        <f aca="false">N7*M7</f>
        <v>635.4</v>
      </c>
      <c r="Q7" s="267"/>
      <c r="R7" s="268" t="str">
        <f aca="false">F5</f>
        <v>BRANCO</v>
      </c>
      <c r="S7" s="96" t="n">
        <v>6000</v>
      </c>
      <c r="T7" s="262" t="n">
        <f aca="false">0.706*L41/1000</f>
        <v>11.77752024</v>
      </c>
      <c r="U7" s="262" t="n">
        <f aca="false">M7*4.236</f>
        <v>12.708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1260</v>
      </c>
      <c r="D8" s="274"/>
      <c r="E8" s="20" t="s">
        <v>16</v>
      </c>
      <c r="F8" s="39"/>
      <c r="G8" s="270"/>
      <c r="H8" s="270"/>
      <c r="I8" s="270"/>
      <c r="J8" s="270"/>
      <c r="K8" s="116" t="s">
        <v>244</v>
      </c>
      <c r="L8" s="265" t="n">
        <f aca="false">IF(L42&gt;6000,L42/6000,1)</f>
        <v>1.204</v>
      </c>
      <c r="M8" s="154" t="n">
        <f aca="false">ROUNDUP(L8,0)</f>
        <v>2</v>
      </c>
      <c r="N8" s="266" t="n">
        <f aca="false">0.115*6*K26</f>
        <v>34.5</v>
      </c>
      <c r="O8" s="266"/>
      <c r="P8" s="267" t="n">
        <f aca="false">N8*M8</f>
        <v>69</v>
      </c>
      <c r="Q8" s="267"/>
      <c r="R8" s="268" t="str">
        <f aca="false">F5</f>
        <v>BRANCO</v>
      </c>
      <c r="S8" s="96" t="n">
        <v>6000</v>
      </c>
      <c r="T8" s="262" t="n">
        <f aca="false">0.115*L42/1000</f>
        <v>0.83076</v>
      </c>
      <c r="U8" s="262" t="n">
        <f aca="false">M8*0.69</f>
        <v>1.38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1260</v>
      </c>
      <c r="D9" s="275"/>
      <c r="E9" s="389"/>
      <c r="F9" s="390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240</v>
      </c>
      <c r="B11" s="278" t="s">
        <v>187</v>
      </c>
      <c r="C11" s="278"/>
      <c r="D11" s="278"/>
      <c r="E11" s="15" t="n">
        <f aca="false">D7*1</f>
        <v>1</v>
      </c>
      <c r="F11" s="69" t="n">
        <f aca="false">B7</f>
        <v>1200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240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241</v>
      </c>
      <c r="B13" s="279" t="s">
        <v>187</v>
      </c>
      <c r="C13" s="279"/>
      <c r="D13" s="279"/>
      <c r="E13" s="24" t="n">
        <f aca="false">D7*1</f>
        <v>1</v>
      </c>
      <c r="F13" s="97" t="n">
        <f aca="false">B7-23</f>
        <v>1177</v>
      </c>
      <c r="G13" s="97"/>
      <c r="H13" s="83" t="s">
        <v>17</v>
      </c>
      <c r="I13" s="83"/>
      <c r="J13" s="83" t="s">
        <v>33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241</v>
      </c>
      <c r="B14" s="279" t="s">
        <v>192</v>
      </c>
      <c r="C14" s="279"/>
      <c r="D14" s="279"/>
      <c r="E14" s="24" t="n">
        <f aca="false">D7*2</f>
        <v>2</v>
      </c>
      <c r="F14" s="24" t="n">
        <f aca="false">C7-12</f>
        <v>2088</v>
      </c>
      <c r="G14" s="24"/>
      <c r="H14" s="83" t="s">
        <v>18</v>
      </c>
      <c r="I14" s="83"/>
      <c r="J14" s="83" t="s">
        <v>245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242</v>
      </c>
      <c r="B15" s="279" t="s">
        <v>246</v>
      </c>
      <c r="C15" s="279"/>
      <c r="D15" s="279"/>
      <c r="E15" s="46" t="n">
        <f aca="false">D7*2</f>
        <v>2</v>
      </c>
      <c r="F15" s="24" t="n">
        <f aca="false">B7-87</f>
        <v>1113</v>
      </c>
      <c r="G15" s="24"/>
      <c r="H15" s="83" t="s">
        <v>17</v>
      </c>
      <c r="I15" s="83"/>
      <c r="J15" s="83" t="s">
        <v>33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242</v>
      </c>
      <c r="B16" s="279" t="s">
        <v>247</v>
      </c>
      <c r="C16" s="279"/>
      <c r="D16" s="279"/>
      <c r="E16" s="24" t="n">
        <f aca="false">D7*2</f>
        <v>2</v>
      </c>
      <c r="F16" s="24" t="n">
        <f aca="false">C7-49</f>
        <v>2051</v>
      </c>
      <c r="G16" s="24"/>
      <c r="H16" s="83" t="s">
        <v>18</v>
      </c>
      <c r="I16" s="83"/>
      <c r="J16" s="83" t="s">
        <v>33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243</v>
      </c>
      <c r="B17" s="279" t="s">
        <v>248</v>
      </c>
      <c r="C17" s="279"/>
      <c r="D17" s="279"/>
      <c r="E17" s="24" t="n">
        <f aca="false">D7*1</f>
        <v>1</v>
      </c>
      <c r="F17" s="24" t="n">
        <f aca="false">B7-267</f>
        <v>933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115</v>
      </c>
      <c r="B18" s="279" t="s">
        <v>183</v>
      </c>
      <c r="C18" s="279"/>
      <c r="D18" s="279"/>
      <c r="E18" s="24" t="n">
        <f aca="false">(C7-312)/100</f>
        <v>17.88</v>
      </c>
      <c r="F18" s="24" t="n">
        <f aca="false">F17</f>
        <v>933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244</v>
      </c>
      <c r="B19" s="279" t="s">
        <v>203</v>
      </c>
      <c r="C19" s="279"/>
      <c r="D19" s="279"/>
      <c r="E19" s="24" t="n">
        <f aca="false">D7*4</f>
        <v>4</v>
      </c>
      <c r="F19" s="24" t="n">
        <f aca="false">F18</f>
        <v>933</v>
      </c>
      <c r="G19" s="24"/>
      <c r="H19" s="83" t="s">
        <v>17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244</v>
      </c>
      <c r="B20" s="279" t="s">
        <v>203</v>
      </c>
      <c r="C20" s="279"/>
      <c r="D20" s="279"/>
      <c r="E20" s="46" t="n">
        <f aca="false">D7*4</f>
        <v>4</v>
      </c>
      <c r="F20" s="24" t="n">
        <f aca="false">(C7-354)/2</f>
        <v>873</v>
      </c>
      <c r="G20" s="24"/>
      <c r="H20" s="83" t="s">
        <v>18</v>
      </c>
      <c r="I20" s="83"/>
      <c r="J20" s="83" t="s">
        <v>42</v>
      </c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27.70522924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2770.522924</v>
      </c>
      <c r="N26" s="302"/>
      <c r="O26" s="303" t="n">
        <v>0.1</v>
      </c>
      <c r="P26" s="85" t="n">
        <f aca="false">K30*O26+K30</f>
        <v>1523.7876082</v>
      </c>
      <c r="Q26" s="85"/>
      <c r="R26" s="85"/>
      <c r="S26" s="181" t="s">
        <v>131</v>
      </c>
      <c r="T26" s="181"/>
      <c r="U26" s="294" t="n">
        <f aca="false">SUM(U3:U24)</f>
        <v>44.468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16.76277076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2223.4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1385.261462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249</v>
      </c>
      <c r="B36" s="426" t="s">
        <v>250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1</v>
      </c>
      <c r="J36" s="72"/>
      <c r="K36" s="387"/>
      <c r="L36" s="388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251</v>
      </c>
      <c r="B37" s="427" t="s">
        <v>252</v>
      </c>
      <c r="C37" s="427"/>
      <c r="D37" s="427"/>
      <c r="E37" s="427"/>
      <c r="F37" s="427"/>
      <c r="G37" s="427"/>
      <c r="H37" s="96" t="s">
        <v>64</v>
      </c>
      <c r="I37" s="83" t="n">
        <f aca="false">D7*1</f>
        <v>1</v>
      </c>
      <c r="J37" s="83"/>
      <c r="K37" s="387" t="s">
        <v>240</v>
      </c>
      <c r="L37" s="388" t="n">
        <f aca="false">F11*E11+E12*F12</f>
        <v>5400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253</v>
      </c>
      <c r="B38" s="427" t="s">
        <v>254</v>
      </c>
      <c r="C38" s="427"/>
      <c r="D38" s="427"/>
      <c r="E38" s="427"/>
      <c r="F38" s="427"/>
      <c r="G38" s="427"/>
      <c r="H38" s="96" t="s">
        <v>64</v>
      </c>
      <c r="I38" s="428" t="n">
        <f aca="false">D7*1</f>
        <v>1</v>
      </c>
      <c r="J38" s="428"/>
      <c r="K38" s="387" t="s">
        <v>241</v>
      </c>
      <c r="L38" s="388" t="n">
        <f aca="false">F13*E13+E14*F14</f>
        <v>5353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/>
      <c r="B39" s="427"/>
      <c r="C39" s="427"/>
      <c r="D39" s="427"/>
      <c r="E39" s="427"/>
      <c r="F39" s="427"/>
      <c r="G39" s="427"/>
      <c r="H39" s="96"/>
      <c r="I39" s="428"/>
      <c r="J39" s="428"/>
      <c r="K39" s="387" t="s">
        <v>242</v>
      </c>
      <c r="L39" s="388" t="n">
        <f aca="false">F15*E15+E16*F16</f>
        <v>6328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/>
      <c r="B40" s="427"/>
      <c r="C40" s="427"/>
      <c r="D40" s="427"/>
      <c r="E40" s="427"/>
      <c r="F40" s="427"/>
      <c r="G40" s="427"/>
      <c r="H40" s="96"/>
      <c r="I40" s="83"/>
      <c r="J40" s="83"/>
      <c r="K40" s="387" t="s">
        <v>243</v>
      </c>
      <c r="L40" s="388" t="n">
        <f aca="false">F17*E17</f>
        <v>933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387" t="s">
        <v>115</v>
      </c>
      <c r="L41" s="388" t="n">
        <f aca="false">F18*E18</f>
        <v>16682.04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/>
      <c r="B42" s="427"/>
      <c r="C42" s="427"/>
      <c r="D42" s="427"/>
      <c r="E42" s="427"/>
      <c r="F42" s="427"/>
      <c r="G42" s="427"/>
      <c r="H42" s="96"/>
      <c r="I42" s="83"/>
      <c r="J42" s="83"/>
      <c r="K42" s="387" t="s">
        <v>244</v>
      </c>
      <c r="L42" s="429" t="n">
        <f aca="false">F19*E19+E20*F20</f>
        <v>7224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387"/>
      <c r="L43" s="430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387"/>
      <c r="L44" s="109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387"/>
      <c r="L45" s="109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109"/>
      <c r="L46" s="109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239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255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0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256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0.5*6*K26</f>
        <v>150</v>
      </c>
      <c r="O4" s="266"/>
      <c r="P4" s="267" t="n">
        <f aca="false">N4*M4</f>
        <v>150</v>
      </c>
      <c r="Q4" s="267"/>
      <c r="R4" s="268" t="str">
        <f aca="false">F5</f>
        <v>BRANCO</v>
      </c>
      <c r="S4" s="96" t="n">
        <v>6000</v>
      </c>
      <c r="T4" s="262" t="n">
        <f aca="false">0.5*L37/1000</f>
        <v>2.5</v>
      </c>
      <c r="U4" s="262" t="n">
        <f aca="false">M4*3</f>
        <v>3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257</v>
      </c>
      <c r="L5" s="265" t="n">
        <f aca="false">IF(L39&gt;6000,L39/6000,1)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2.34948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/>
      <c r="L6" s="265"/>
      <c r="M6" s="154"/>
      <c r="N6" s="266"/>
      <c r="O6" s="266"/>
      <c r="P6" s="267"/>
      <c r="Q6" s="267"/>
      <c r="R6" s="268"/>
      <c r="S6" s="96"/>
      <c r="T6" s="262"/>
      <c r="U6" s="262"/>
    </row>
    <row r="7" customFormat="false" ht="27" hidden="false" customHeight="true" outlineLevel="0" collapsed="false">
      <c r="A7" s="271" t="n">
        <v>500</v>
      </c>
      <c r="B7" s="272" t="n">
        <v>800</v>
      </c>
      <c r="C7" s="272" t="n">
        <v>2100</v>
      </c>
      <c r="D7" s="272" t="n">
        <v>1</v>
      </c>
      <c r="E7" s="276" t="n">
        <f aca="false">(B7*C7)/10^6</f>
        <v>1.68</v>
      </c>
      <c r="F7" s="276"/>
      <c r="G7" s="270"/>
      <c r="H7" s="270"/>
      <c r="I7" s="270"/>
      <c r="J7" s="270"/>
      <c r="K7" s="116"/>
      <c r="L7" s="265"/>
      <c r="M7" s="154"/>
      <c r="N7" s="266"/>
      <c r="O7" s="266"/>
      <c r="P7" s="267"/>
      <c r="Q7" s="267"/>
      <c r="R7" s="268"/>
      <c r="S7" s="96"/>
      <c r="T7" s="262"/>
      <c r="U7" s="262"/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840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840</v>
      </c>
      <c r="D9" s="275"/>
      <c r="E9" s="389" t="n">
        <f aca="false">B7-172</f>
        <v>628</v>
      </c>
      <c r="F9" s="390" t="n">
        <f aca="false">(C7-185)/2</f>
        <v>957.5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255</v>
      </c>
      <c r="B11" s="278" t="s">
        <v>258</v>
      </c>
      <c r="C11" s="278"/>
      <c r="D11" s="278"/>
      <c r="E11" s="15" t="n">
        <f aca="false">D7*1</f>
        <v>1</v>
      </c>
      <c r="F11" s="69" t="n">
        <f aca="false">B7</f>
        <v>800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255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256</v>
      </c>
      <c r="B13" s="279" t="s">
        <v>259</v>
      </c>
      <c r="C13" s="279"/>
      <c r="D13" s="279"/>
      <c r="E13" s="24" t="n">
        <f aca="false">D7*2</f>
        <v>2</v>
      </c>
      <c r="F13" s="97" t="n">
        <f aca="false">B7-62</f>
        <v>738</v>
      </c>
      <c r="G13" s="97"/>
      <c r="H13" s="83" t="s">
        <v>17</v>
      </c>
      <c r="I13" s="83"/>
      <c r="J13" s="83" t="s">
        <v>33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256</v>
      </c>
      <c r="B14" s="279" t="s">
        <v>259</v>
      </c>
      <c r="C14" s="279"/>
      <c r="D14" s="279"/>
      <c r="E14" s="24" t="n">
        <f aca="false">D7*2</f>
        <v>2</v>
      </c>
      <c r="F14" s="24" t="n">
        <f aca="false">C7-41</f>
        <v>2059</v>
      </c>
      <c r="G14" s="24"/>
      <c r="H14" s="83" t="s">
        <v>18</v>
      </c>
      <c r="I14" s="83"/>
      <c r="J14" s="83" t="s">
        <v>33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257</v>
      </c>
      <c r="B15" s="279" t="s">
        <v>248</v>
      </c>
      <c r="C15" s="279"/>
      <c r="D15" s="279"/>
      <c r="E15" s="46" t="n">
        <f aca="false">D7*1</f>
        <v>1</v>
      </c>
      <c r="F15" s="24" t="n">
        <f aca="false">B7-158</f>
        <v>642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/>
      <c r="B16" s="279"/>
      <c r="C16" s="279"/>
      <c r="D16" s="279"/>
      <c r="E16" s="24"/>
      <c r="F16" s="24"/>
      <c r="G16" s="24"/>
      <c r="H16" s="83"/>
      <c r="I16" s="83"/>
      <c r="J16" s="83"/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4.84948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484.948</v>
      </c>
      <c r="N26" s="302"/>
      <c r="O26" s="303" t="n">
        <v>0.1</v>
      </c>
      <c r="P26" s="85" t="n">
        <f aca="false">K30*O26+K30</f>
        <v>266.7214</v>
      </c>
      <c r="Q26" s="85"/>
      <c r="R26" s="85"/>
      <c r="S26" s="181" t="s">
        <v>131</v>
      </c>
      <c r="T26" s="181"/>
      <c r="U26" s="294" t="n">
        <f aca="false">SUM(U3:U24)</f>
        <v>9.13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4.28052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456.5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242.474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260</v>
      </c>
      <c r="B36" s="426" t="s">
        <v>261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1</v>
      </c>
      <c r="J36" s="72"/>
      <c r="K36" s="161"/>
      <c r="L36" s="250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262</v>
      </c>
      <c r="B37" s="427" t="s">
        <v>263</v>
      </c>
      <c r="C37" s="427"/>
      <c r="D37" s="427"/>
      <c r="E37" s="427"/>
      <c r="F37" s="427"/>
      <c r="G37" s="427"/>
      <c r="H37" s="96" t="s">
        <v>64</v>
      </c>
      <c r="I37" s="83" t="n">
        <f aca="false">I36</f>
        <v>1</v>
      </c>
      <c r="J37" s="83"/>
      <c r="K37" s="387" t="s">
        <v>255</v>
      </c>
      <c r="L37" s="388" t="n">
        <f aca="false">F11*E11+E12*F12</f>
        <v>5000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264</v>
      </c>
      <c r="B38" s="427" t="s">
        <v>265</v>
      </c>
      <c r="C38" s="427"/>
      <c r="D38" s="427"/>
      <c r="E38" s="427"/>
      <c r="F38" s="427"/>
      <c r="G38" s="427"/>
      <c r="H38" s="96" t="s">
        <v>64</v>
      </c>
      <c r="I38" s="428" t="n">
        <f aca="false">D7*3</f>
        <v>3</v>
      </c>
      <c r="J38" s="428"/>
      <c r="K38" s="387" t="s">
        <v>256</v>
      </c>
      <c r="L38" s="388" t="n">
        <f aca="false">F13*E13+E14*F14</f>
        <v>5594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266</v>
      </c>
      <c r="B39" s="427" t="s">
        <v>267</v>
      </c>
      <c r="C39" s="427"/>
      <c r="D39" s="427"/>
      <c r="E39" s="427"/>
      <c r="F39" s="427"/>
      <c r="G39" s="427"/>
      <c r="H39" s="96" t="s">
        <v>46</v>
      </c>
      <c r="I39" s="428" t="n">
        <f aca="false">B7*1+C7*2*D7</f>
        <v>5000</v>
      </c>
      <c r="J39" s="428"/>
      <c r="K39" s="387" t="s">
        <v>257</v>
      </c>
      <c r="L39" s="388" t="n">
        <f aca="false">F15*E15</f>
        <v>642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268</v>
      </c>
      <c r="B40" s="427" t="s">
        <v>269</v>
      </c>
      <c r="C40" s="427"/>
      <c r="D40" s="427"/>
      <c r="E40" s="427"/>
      <c r="F40" s="427"/>
      <c r="G40" s="427"/>
      <c r="H40" s="96" t="s">
        <v>46</v>
      </c>
      <c r="I40" s="83" t="n">
        <f aca="false">B7*4+C7*2*D7</f>
        <v>7400</v>
      </c>
      <c r="J40" s="83"/>
      <c r="K40" s="387" t="s">
        <v>270</v>
      </c>
      <c r="L40" s="388" t="n">
        <f aca="false">F16*E16</f>
        <v>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161"/>
      <c r="L41" s="250"/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/>
      <c r="B42" s="427"/>
      <c r="C42" s="427"/>
      <c r="D42" s="427"/>
      <c r="E42" s="427"/>
      <c r="F42" s="427"/>
      <c r="G42" s="427"/>
      <c r="H42" s="96"/>
      <c r="I42" s="83"/>
      <c r="J42" s="83"/>
      <c r="K42" s="249"/>
      <c r="L42" s="437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249"/>
      <c r="L43" s="438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271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255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0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256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0.5*6*K26</f>
        <v>150</v>
      </c>
      <c r="O4" s="266"/>
      <c r="P4" s="267" t="n">
        <f aca="false">N4*M4</f>
        <v>150</v>
      </c>
      <c r="Q4" s="267"/>
      <c r="R4" s="268" t="str">
        <f aca="false">F5</f>
        <v>BRANCO</v>
      </c>
      <c r="S4" s="96" t="n">
        <v>6000</v>
      </c>
      <c r="T4" s="262" t="n">
        <f aca="false">0.5*L37/1000</f>
        <v>2.5</v>
      </c>
      <c r="U4" s="262" t="n">
        <f aca="false">M4*3</f>
        <v>3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257</v>
      </c>
      <c r="L5" s="265" t="n">
        <f aca="false">IF(L39&gt;6000,L39/6000,1)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2.34948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270</v>
      </c>
      <c r="L6" s="265" t="n">
        <f aca="false">IF(L40&gt;6000,L40/6000,1)</f>
        <v>3.22965384615385</v>
      </c>
      <c r="M6" s="154" t="n">
        <f aca="false">ROUNDUP(L6,0)</f>
        <v>4</v>
      </c>
      <c r="N6" s="266" t="n">
        <f aca="false">0.45*6*K26</f>
        <v>135</v>
      </c>
      <c r="O6" s="266"/>
      <c r="P6" s="267" t="n">
        <f aca="false">N6*M6</f>
        <v>540</v>
      </c>
      <c r="Q6" s="267"/>
      <c r="R6" s="268" t="str">
        <f aca="false">F5</f>
        <v>BRANCO</v>
      </c>
      <c r="S6" s="96" t="n">
        <v>6000</v>
      </c>
      <c r="T6" s="262" t="n">
        <f aca="false">0.45*L39/1000</f>
        <v>0.2889</v>
      </c>
      <c r="U6" s="262" t="n">
        <f aca="false">M6*2.7</f>
        <v>10.8</v>
      </c>
    </row>
    <row r="7" customFormat="false" ht="27" hidden="false" customHeight="true" outlineLevel="0" collapsed="false">
      <c r="A7" s="271" t="n">
        <v>500</v>
      </c>
      <c r="B7" s="272" t="n">
        <v>800</v>
      </c>
      <c r="C7" s="272" t="n">
        <v>2100</v>
      </c>
      <c r="D7" s="272" t="n">
        <v>1</v>
      </c>
      <c r="E7" s="276" t="n">
        <f aca="false">(B7*C7)/10^6</f>
        <v>1.68</v>
      </c>
      <c r="F7" s="276"/>
      <c r="G7" s="270"/>
      <c r="H7" s="270"/>
      <c r="I7" s="270"/>
      <c r="J7" s="270"/>
      <c r="K7" s="116"/>
      <c r="L7" s="265"/>
      <c r="M7" s="154"/>
      <c r="N7" s="266"/>
      <c r="O7" s="266"/>
      <c r="P7" s="267"/>
      <c r="Q7" s="267"/>
      <c r="R7" s="268"/>
      <c r="S7" s="96"/>
      <c r="T7" s="262"/>
      <c r="U7" s="262"/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840</v>
      </c>
      <c r="D8" s="274"/>
      <c r="E8" s="20" t="s">
        <v>16</v>
      </c>
      <c r="F8" s="39"/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840</v>
      </c>
      <c r="D9" s="275"/>
      <c r="E9" s="389"/>
      <c r="F9" s="390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255</v>
      </c>
      <c r="B11" s="278" t="s">
        <v>258</v>
      </c>
      <c r="C11" s="278"/>
      <c r="D11" s="278"/>
      <c r="E11" s="15" t="n">
        <f aca="false">D7*1</f>
        <v>1</v>
      </c>
      <c r="F11" s="69" t="n">
        <f aca="false">B7</f>
        <v>800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255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256</v>
      </c>
      <c r="B13" s="279" t="s">
        <v>259</v>
      </c>
      <c r="C13" s="279"/>
      <c r="D13" s="279"/>
      <c r="E13" s="24" t="n">
        <f aca="false">D7*2</f>
        <v>2</v>
      </c>
      <c r="F13" s="97" t="n">
        <f aca="false">B7-62</f>
        <v>738</v>
      </c>
      <c r="G13" s="97"/>
      <c r="H13" s="83" t="s">
        <v>17</v>
      </c>
      <c r="I13" s="83"/>
      <c r="J13" s="83" t="s">
        <v>33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256</v>
      </c>
      <c r="B14" s="279" t="s">
        <v>259</v>
      </c>
      <c r="C14" s="279"/>
      <c r="D14" s="279"/>
      <c r="E14" s="24" t="n">
        <f aca="false">D7*2</f>
        <v>2</v>
      </c>
      <c r="F14" s="24" t="n">
        <f aca="false">C7-41</f>
        <v>2059</v>
      </c>
      <c r="G14" s="24"/>
      <c r="H14" s="83" t="s">
        <v>18</v>
      </c>
      <c r="I14" s="83"/>
      <c r="J14" s="83" t="s">
        <v>33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257</v>
      </c>
      <c r="B15" s="279" t="s">
        <v>248</v>
      </c>
      <c r="C15" s="279"/>
      <c r="D15" s="279"/>
      <c r="E15" s="46" t="n">
        <f aca="false">D7*1</f>
        <v>1</v>
      </c>
      <c r="F15" s="24" t="n">
        <f aca="false">B7-158</f>
        <v>642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270</v>
      </c>
      <c r="B16" s="279" t="s">
        <v>272</v>
      </c>
      <c r="C16" s="279"/>
      <c r="D16" s="279"/>
      <c r="E16" s="24" t="n">
        <f aca="false">(C7-135)/65</f>
        <v>30.2307692307692</v>
      </c>
      <c r="F16" s="24" t="n">
        <f aca="false">B7-159</f>
        <v>641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5.13838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513.838</v>
      </c>
      <c r="N26" s="302"/>
      <c r="O26" s="303" t="n">
        <v>0.1</v>
      </c>
      <c r="P26" s="85" t="n">
        <f aca="false">K30*O26+K30</f>
        <v>282.6109</v>
      </c>
      <c r="Q26" s="85"/>
      <c r="R26" s="85"/>
      <c r="S26" s="181" t="s">
        <v>131</v>
      </c>
      <c r="T26" s="181"/>
      <c r="U26" s="294" t="n">
        <f aca="false">SUM(U3:U24)</f>
        <v>19.93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14.79162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996.5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256.919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260</v>
      </c>
      <c r="B36" s="426" t="s">
        <v>261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1</v>
      </c>
      <c r="J36" s="72"/>
      <c r="K36" s="161"/>
      <c r="L36" s="250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262</v>
      </c>
      <c r="B37" s="427" t="s">
        <v>263</v>
      </c>
      <c r="C37" s="427"/>
      <c r="D37" s="427"/>
      <c r="E37" s="427"/>
      <c r="F37" s="427"/>
      <c r="G37" s="427"/>
      <c r="H37" s="96" t="s">
        <v>64</v>
      </c>
      <c r="I37" s="83" t="n">
        <f aca="false">I36</f>
        <v>1</v>
      </c>
      <c r="J37" s="83"/>
      <c r="K37" s="387" t="s">
        <v>255</v>
      </c>
      <c r="L37" s="388" t="n">
        <f aca="false">F11*E11+E12*F12</f>
        <v>5000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264</v>
      </c>
      <c r="B38" s="427" t="s">
        <v>265</v>
      </c>
      <c r="C38" s="427"/>
      <c r="D38" s="427"/>
      <c r="E38" s="427"/>
      <c r="F38" s="427"/>
      <c r="G38" s="427"/>
      <c r="H38" s="96" t="s">
        <v>64</v>
      </c>
      <c r="I38" s="428" t="n">
        <f aca="false">D7*3</f>
        <v>3</v>
      </c>
      <c r="J38" s="428"/>
      <c r="K38" s="387" t="s">
        <v>256</v>
      </c>
      <c r="L38" s="388" t="n">
        <f aca="false">F13*E13+E14*F14</f>
        <v>5594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266</v>
      </c>
      <c r="B39" s="427"/>
      <c r="C39" s="427"/>
      <c r="D39" s="427"/>
      <c r="E39" s="427"/>
      <c r="F39" s="427"/>
      <c r="G39" s="427"/>
      <c r="H39" s="96" t="s">
        <v>46</v>
      </c>
      <c r="I39" s="428" t="n">
        <f aca="false">B7*1+C7*2*D7</f>
        <v>5000</v>
      </c>
      <c r="J39" s="428"/>
      <c r="K39" s="387" t="s">
        <v>257</v>
      </c>
      <c r="L39" s="388" t="n">
        <f aca="false">F15*E15</f>
        <v>642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/>
      <c r="B40" s="427"/>
      <c r="C40" s="427"/>
      <c r="D40" s="427"/>
      <c r="E40" s="427"/>
      <c r="F40" s="427"/>
      <c r="G40" s="427"/>
      <c r="H40" s="96"/>
      <c r="I40" s="83"/>
      <c r="J40" s="83"/>
      <c r="K40" s="387" t="s">
        <v>270</v>
      </c>
      <c r="L40" s="388" t="n">
        <f aca="false">F16*E16</f>
        <v>19377.9230769231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161"/>
      <c r="L41" s="250"/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/>
      <c r="B42" s="427"/>
      <c r="C42" s="427"/>
      <c r="D42" s="427"/>
      <c r="E42" s="427"/>
      <c r="F42" s="427"/>
      <c r="G42" s="427"/>
      <c r="H42" s="96"/>
      <c r="I42" s="83"/>
      <c r="J42" s="83"/>
      <c r="K42" s="249"/>
      <c r="L42" s="437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249"/>
      <c r="L43" s="438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273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274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1.20475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275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0.5*6*K26</f>
        <v>150</v>
      </c>
      <c r="O4" s="266"/>
      <c r="P4" s="267" t="n">
        <f aca="false">N4*M4</f>
        <v>150</v>
      </c>
      <c r="Q4" s="267"/>
      <c r="R4" s="268" t="str">
        <f aca="false">F5</f>
        <v>BRANCO</v>
      </c>
      <c r="S4" s="96" t="n">
        <v>6000</v>
      </c>
      <c r="T4" s="262" t="n">
        <f aca="false">0.5*L37/1000</f>
        <v>0.9875</v>
      </c>
      <c r="U4" s="262" t="n">
        <f aca="false">M4*3</f>
        <v>3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276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1.764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277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0.45*6*K26</f>
        <v>135</v>
      </c>
      <c r="O6" s="266"/>
      <c r="P6" s="267" t="n">
        <f aca="false">N6*M6</f>
        <v>135</v>
      </c>
      <c r="Q6" s="267"/>
      <c r="R6" s="268" t="str">
        <f aca="false">F5</f>
        <v>BRANCO</v>
      </c>
      <c r="S6" s="96" t="n">
        <v>6000</v>
      </c>
      <c r="T6" s="262" t="n">
        <f aca="false">0.45*L39/1000</f>
        <v>1.863</v>
      </c>
      <c r="U6" s="262" t="n">
        <f aca="false">M6*2.7</f>
        <v>2.7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116" t="s">
        <v>278</v>
      </c>
      <c r="L7" s="265" t="n">
        <f aca="false">IF(L40&gt;6000,L40/6000,1)</f>
        <v>1.38</v>
      </c>
      <c r="M7" s="154" t="n">
        <f aca="false">ROUNDUP(L7,0)</f>
        <v>2</v>
      </c>
      <c r="N7" s="266" t="n">
        <f aca="false">0.902*6*K26</f>
        <v>270.6</v>
      </c>
      <c r="O7" s="266"/>
      <c r="P7" s="267" t="n">
        <f aca="false">N7*M7</f>
        <v>541.2</v>
      </c>
      <c r="Q7" s="267"/>
      <c r="R7" s="268" t="str">
        <f aca="false">F5</f>
        <v>BRANCO</v>
      </c>
      <c r="S7" s="96" t="n">
        <v>6000</v>
      </c>
      <c r="T7" s="262" t="n">
        <f aca="false">0.902*L40/1000</f>
        <v>7.46856</v>
      </c>
      <c r="U7" s="262" t="n">
        <f aca="false">M7*5.4132</f>
        <v>10.8264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D7*8</f>
        <v>8</v>
      </c>
      <c r="G8" s="270"/>
      <c r="H8" s="270"/>
      <c r="I8" s="270"/>
      <c r="J8" s="270"/>
      <c r="K8" s="116" t="s">
        <v>279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0.4*6*K26</f>
        <v>120</v>
      </c>
      <c r="O8" s="266"/>
      <c r="P8" s="267" t="n">
        <f aca="false">N8*M8</f>
        <v>120</v>
      </c>
      <c r="Q8" s="267"/>
      <c r="R8" s="268" t="str">
        <f aca="false">F5</f>
        <v>BRANCO</v>
      </c>
      <c r="S8" s="96" t="n">
        <v>6000</v>
      </c>
      <c r="T8" s="262" t="n">
        <f aca="false">0.4*L41/1000</f>
        <v>0.7216</v>
      </c>
      <c r="U8" s="262" t="n">
        <f aca="false">M8*2.4</f>
        <v>2.4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(B7-220)/4</f>
        <v>445</v>
      </c>
      <c r="F9" s="390" t="n">
        <f aca="false">(C7-213)/2</f>
        <v>943.5</v>
      </c>
      <c r="G9" s="270"/>
      <c r="H9" s="270"/>
      <c r="I9" s="270"/>
      <c r="J9" s="270"/>
      <c r="K9" s="116" t="s">
        <v>280</v>
      </c>
      <c r="L9" s="265" t="n">
        <f aca="false">IF(L42&gt;6000,L42/6000,1)</f>
        <v>1</v>
      </c>
      <c r="M9" s="154" t="n">
        <f aca="false">ROUNDUP(L9,0)</f>
        <v>1</v>
      </c>
      <c r="N9" s="266" t="n">
        <f aca="false">0.82*6*K26</f>
        <v>246</v>
      </c>
      <c r="O9" s="266"/>
      <c r="P9" s="267" t="n">
        <f aca="false">N9*M9</f>
        <v>246</v>
      </c>
      <c r="Q9" s="267"/>
      <c r="R9" s="268" t="str">
        <f aca="false">F5</f>
        <v>BRANCO</v>
      </c>
      <c r="S9" s="96" t="n">
        <v>6000</v>
      </c>
      <c r="T9" s="262" t="n">
        <f aca="false">0.82*L42/1000</f>
        <v>1.47928</v>
      </c>
      <c r="U9" s="262" t="n">
        <f aca="false">M9*4.92</f>
        <v>4.92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257</v>
      </c>
      <c r="L10" s="265" t="n">
        <f aca="false">IF(L43&gt;6000,L43/6000,1)</f>
        <v>1</v>
      </c>
      <c r="M10" s="154" t="n">
        <f aca="false">ROUNDUP(L10,0)</f>
        <v>1</v>
      </c>
      <c r="N10" s="277" t="n">
        <f aca="false">0.42*6*K26</f>
        <v>126</v>
      </c>
      <c r="O10" s="277"/>
      <c r="P10" s="267" t="n">
        <f aca="false">N10*M10</f>
        <v>126</v>
      </c>
      <c r="Q10" s="267"/>
      <c r="R10" s="268" t="str">
        <f aca="false">F5</f>
        <v>BRANCO</v>
      </c>
      <c r="S10" s="96" t="n">
        <v>6000</v>
      </c>
      <c r="T10" s="262" t="n">
        <f aca="false">0.42*L43/1000</f>
        <v>0.37884</v>
      </c>
      <c r="U10" s="262" t="n">
        <f aca="false">M10*2.52</f>
        <v>2.52</v>
      </c>
    </row>
    <row r="11" customFormat="false" ht="25.5" hidden="false" customHeight="true" outlineLevel="0" collapsed="false">
      <c r="A11" s="67" t="s">
        <v>274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B7-25</f>
        <v>1975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275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1975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276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277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C7-30</f>
        <v>2070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278</v>
      </c>
      <c r="B15" s="279" t="s">
        <v>281</v>
      </c>
      <c r="C15" s="279"/>
      <c r="D15" s="279"/>
      <c r="E15" s="46" t="n">
        <f aca="false">D7*4</f>
        <v>4</v>
      </c>
      <c r="F15" s="24" t="n">
        <f aca="false">F14</f>
        <v>2070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279</v>
      </c>
      <c r="B16" s="279" t="s">
        <v>282</v>
      </c>
      <c r="C16" s="279"/>
      <c r="D16" s="279"/>
      <c r="E16" s="24" t="n">
        <f aca="false">D7*4</f>
        <v>4</v>
      </c>
      <c r="F16" s="24" t="n">
        <f aca="false">(B7-196)/4</f>
        <v>451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280</v>
      </c>
      <c r="B17" s="279" t="s">
        <v>283</v>
      </c>
      <c r="C17" s="279"/>
      <c r="D17" s="279"/>
      <c r="E17" s="24" t="n">
        <f aca="false">D7*4</f>
        <v>4</v>
      </c>
      <c r="F17" s="24" t="n">
        <f aca="false">F16</f>
        <v>451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257</v>
      </c>
      <c r="B18" s="279" t="s">
        <v>248</v>
      </c>
      <c r="C18" s="279"/>
      <c r="D18" s="279"/>
      <c r="E18" s="24" t="n">
        <f aca="false">D7*2</f>
        <v>2</v>
      </c>
      <c r="F18" s="24" t="n">
        <f aca="false">F16</f>
        <v>451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284</v>
      </c>
      <c r="B19" s="279" t="s">
        <v>281</v>
      </c>
      <c r="C19" s="279"/>
      <c r="D19" s="279"/>
      <c r="E19" s="24" t="n">
        <f aca="false">D7*2</f>
        <v>2</v>
      </c>
      <c r="F19" s="24" t="n">
        <f aca="false">F14</f>
        <v>2070</v>
      </c>
      <c r="G19" s="24"/>
      <c r="H19" s="83" t="s">
        <v>18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285</v>
      </c>
      <c r="B20" s="279" t="s">
        <v>196</v>
      </c>
      <c r="C20" s="279"/>
      <c r="D20" s="279"/>
      <c r="E20" s="46" t="n">
        <f aca="false">D7*1</f>
        <v>1</v>
      </c>
      <c r="F20" s="24" t="n">
        <f aca="false">F15</f>
        <v>2070</v>
      </c>
      <c r="G20" s="24"/>
      <c r="H20" s="83" t="s">
        <v>18</v>
      </c>
      <c r="I20" s="83"/>
      <c r="J20" s="83" t="s">
        <v>42</v>
      </c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15.86753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1586.753</v>
      </c>
      <c r="N26" s="302"/>
      <c r="O26" s="303" t="n">
        <v>0.1</v>
      </c>
      <c r="P26" s="85" t="n">
        <f aca="false">K30*O26+K30</f>
        <v>872.71415</v>
      </c>
      <c r="Q26" s="85"/>
      <c r="R26" s="85"/>
      <c r="S26" s="181" t="s">
        <v>131</v>
      </c>
      <c r="T26" s="181"/>
      <c r="U26" s="294" t="n">
        <f aca="false">SUM(U3:U24)</f>
        <v>32.4964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16.62887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1624.82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793.3765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286</v>
      </c>
      <c r="B36" s="426" t="s">
        <v>287</v>
      </c>
      <c r="C36" s="426"/>
      <c r="D36" s="426"/>
      <c r="E36" s="426"/>
      <c r="F36" s="426"/>
      <c r="G36" s="426"/>
      <c r="H36" s="397" t="s">
        <v>64</v>
      </c>
      <c r="I36" s="72" t="n">
        <f aca="false">D7*16</f>
        <v>16</v>
      </c>
      <c r="J36" s="72"/>
      <c r="K36" s="387" t="s">
        <v>274</v>
      </c>
      <c r="L36" s="388" t="n">
        <f aca="false">F11*E11</f>
        <v>1975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288</v>
      </c>
      <c r="B37" s="427" t="s">
        <v>289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275</v>
      </c>
      <c r="L37" s="388" t="n">
        <f aca="false">F12*E12</f>
        <v>1975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290</v>
      </c>
      <c r="B38" s="427" t="s">
        <v>291</v>
      </c>
      <c r="C38" s="427"/>
      <c r="D38" s="427"/>
      <c r="E38" s="427"/>
      <c r="F38" s="427"/>
      <c r="G38" s="427"/>
      <c r="H38" s="96" t="s">
        <v>46</v>
      </c>
      <c r="I38" s="428" t="n">
        <f aca="false">C7*4*D7</f>
        <v>8400</v>
      </c>
      <c r="J38" s="428"/>
      <c r="K38" s="387" t="s">
        <v>276</v>
      </c>
      <c r="L38" s="388" t="n">
        <f aca="false">F13*E13</f>
        <v>4200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268</v>
      </c>
      <c r="B39" s="427" t="s">
        <v>269</v>
      </c>
      <c r="C39" s="427"/>
      <c r="D39" s="427"/>
      <c r="E39" s="427"/>
      <c r="F39" s="427"/>
      <c r="G39" s="427"/>
      <c r="H39" s="96" t="s">
        <v>46</v>
      </c>
      <c r="I39" s="428" t="n">
        <f aca="false">B7*4+C7*8*D7</f>
        <v>24800</v>
      </c>
      <c r="J39" s="428"/>
      <c r="K39" s="387" t="s">
        <v>277</v>
      </c>
      <c r="L39" s="388" t="n">
        <f aca="false">F14*E14</f>
        <v>4140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292</v>
      </c>
      <c r="B40" s="427" t="s">
        <v>226</v>
      </c>
      <c r="C40" s="427"/>
      <c r="D40" s="427"/>
      <c r="E40" s="427"/>
      <c r="F40" s="427"/>
      <c r="G40" s="427"/>
      <c r="H40" s="96" t="s">
        <v>64</v>
      </c>
      <c r="I40" s="83" t="n">
        <f aca="false">D7*2</f>
        <v>2</v>
      </c>
      <c r="J40" s="83"/>
      <c r="K40" s="387" t="s">
        <v>278</v>
      </c>
      <c r="L40" s="388" t="n">
        <f aca="false">F15*E15</f>
        <v>8280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293</v>
      </c>
      <c r="B41" s="427" t="s">
        <v>230</v>
      </c>
      <c r="C41" s="427"/>
      <c r="D41" s="427"/>
      <c r="E41" s="427"/>
      <c r="F41" s="427"/>
      <c r="G41" s="427"/>
      <c r="H41" s="96" t="s">
        <v>64</v>
      </c>
      <c r="I41" s="83" t="n">
        <f aca="false">D7*2</f>
        <v>2</v>
      </c>
      <c r="J41" s="83"/>
      <c r="K41" s="387" t="s">
        <v>279</v>
      </c>
      <c r="L41" s="388" t="n">
        <f aca="false">F16*E16</f>
        <v>1804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294</v>
      </c>
      <c r="B42" s="427" t="s">
        <v>295</v>
      </c>
      <c r="C42" s="427"/>
      <c r="D42" s="427"/>
      <c r="E42" s="427"/>
      <c r="F42" s="427"/>
      <c r="G42" s="427"/>
      <c r="H42" s="96" t="s">
        <v>64</v>
      </c>
      <c r="I42" s="83" t="n">
        <f aca="false">D7*8</f>
        <v>8</v>
      </c>
      <c r="J42" s="83"/>
      <c r="K42" s="387" t="s">
        <v>280</v>
      </c>
      <c r="L42" s="429" t="n">
        <f aca="false">F17*E17</f>
        <v>1804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296</v>
      </c>
      <c r="B43" s="427" t="s">
        <v>297</v>
      </c>
      <c r="C43" s="427"/>
      <c r="D43" s="427"/>
      <c r="E43" s="427"/>
      <c r="F43" s="427"/>
      <c r="G43" s="427"/>
      <c r="H43" s="96" t="s">
        <v>64</v>
      </c>
      <c r="I43" s="428" t="n">
        <f aca="false">D7*40</f>
        <v>40</v>
      </c>
      <c r="J43" s="428"/>
      <c r="K43" s="387" t="s">
        <v>257</v>
      </c>
      <c r="L43" s="430" t="n">
        <f aca="false">F18*E18</f>
        <v>902</v>
      </c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298</v>
      </c>
      <c r="B44" s="427" t="s">
        <v>299</v>
      </c>
      <c r="C44" s="427"/>
      <c r="D44" s="427"/>
      <c r="E44" s="427"/>
      <c r="F44" s="427"/>
      <c r="G44" s="427"/>
      <c r="H44" s="96" t="s">
        <v>64</v>
      </c>
      <c r="I44" s="428" t="n">
        <f aca="false">D7*8</f>
        <v>8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300</v>
      </c>
      <c r="B45" s="427" t="s">
        <v>301</v>
      </c>
      <c r="C45" s="427"/>
      <c r="D45" s="427"/>
      <c r="E45" s="427"/>
      <c r="F45" s="427"/>
      <c r="G45" s="427"/>
      <c r="H45" s="96" t="s">
        <v>64</v>
      </c>
      <c r="I45" s="428" t="n">
        <f aca="false">D7*40</f>
        <v>40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 t="s">
        <v>302</v>
      </c>
      <c r="B46" s="431" t="s">
        <v>303</v>
      </c>
      <c r="C46" s="431"/>
      <c r="D46" s="431"/>
      <c r="E46" s="431"/>
      <c r="F46" s="431"/>
      <c r="G46" s="431"/>
      <c r="H46" s="96" t="s">
        <v>64</v>
      </c>
      <c r="I46" s="428" t="n">
        <f aca="false">D7*2</f>
        <v>2</v>
      </c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 t="s">
        <v>304</v>
      </c>
      <c r="B47" s="431" t="s">
        <v>305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 t="s">
        <v>306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D7*2</f>
        <v>2</v>
      </c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 t="s">
        <v>266</v>
      </c>
      <c r="B49" s="431" t="s">
        <v>267</v>
      </c>
      <c r="C49" s="431"/>
      <c r="D49" s="431"/>
      <c r="E49" s="431"/>
      <c r="F49" s="431"/>
      <c r="G49" s="431"/>
      <c r="H49" s="96" t="s">
        <v>46</v>
      </c>
      <c r="I49" s="428" t="n">
        <f aca="false">C7*10+B7*4*D7</f>
        <v>29000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 t="s">
        <v>308</v>
      </c>
      <c r="B50" s="431" t="s">
        <v>309</v>
      </c>
      <c r="C50" s="431"/>
      <c r="D50" s="431"/>
      <c r="E50" s="431"/>
      <c r="F50" s="431"/>
      <c r="G50" s="431"/>
      <c r="H50" s="96" t="s">
        <v>64</v>
      </c>
      <c r="I50" s="435" t="n">
        <f aca="false">D7*8</f>
        <v>8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310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274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1.20475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275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0.5*6*K26</f>
        <v>150</v>
      </c>
      <c r="O4" s="266"/>
      <c r="P4" s="267" t="n">
        <f aca="false">N4*M4</f>
        <v>150</v>
      </c>
      <c r="Q4" s="267"/>
      <c r="R4" s="268" t="str">
        <f aca="false">F5</f>
        <v>BRANCO</v>
      </c>
      <c r="S4" s="96" t="n">
        <v>6000</v>
      </c>
      <c r="T4" s="262" t="n">
        <f aca="false">0.5*L37/1000</f>
        <v>0.9875</v>
      </c>
      <c r="U4" s="262" t="n">
        <f aca="false">M4*3</f>
        <v>3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276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1.764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277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0.45*6*K26</f>
        <v>135</v>
      </c>
      <c r="O6" s="266"/>
      <c r="P6" s="267" t="n">
        <f aca="false">N6*M6</f>
        <v>135</v>
      </c>
      <c r="Q6" s="267"/>
      <c r="R6" s="268" t="str">
        <f aca="false">F5</f>
        <v>BRANCO</v>
      </c>
      <c r="S6" s="96" t="n">
        <v>6000</v>
      </c>
      <c r="T6" s="262" t="n">
        <f aca="false">0.45*L39/1000</f>
        <v>1.863</v>
      </c>
      <c r="U6" s="262" t="n">
        <f aca="false">M6*2.7</f>
        <v>2.7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116" t="s">
        <v>278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0.902*6*K26</f>
        <v>270.6</v>
      </c>
      <c r="O7" s="266"/>
      <c r="P7" s="267" t="n">
        <f aca="false">N7*M7</f>
        <v>270.6</v>
      </c>
      <c r="Q7" s="267"/>
      <c r="R7" s="268" t="str">
        <f aca="false">F5</f>
        <v>BRANCO</v>
      </c>
      <c r="S7" s="96" t="n">
        <v>6000</v>
      </c>
      <c r="T7" s="262" t="n">
        <f aca="false">0.902*L40/1000</f>
        <v>3.73428</v>
      </c>
      <c r="U7" s="262" t="n">
        <f aca="false">M7*5.4132</f>
        <v>5.4132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279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0.4*6*K26</f>
        <v>120</v>
      </c>
      <c r="O8" s="266"/>
      <c r="P8" s="267" t="n">
        <f aca="false">N8*M8</f>
        <v>120</v>
      </c>
      <c r="Q8" s="267"/>
      <c r="R8" s="268" t="str">
        <f aca="false">F5</f>
        <v>BRANCO</v>
      </c>
      <c r="S8" s="96" t="n">
        <v>6000</v>
      </c>
      <c r="T8" s="262" t="n">
        <f aca="false">0.4*L41/1000</f>
        <v>0.7544</v>
      </c>
      <c r="U8" s="262" t="n">
        <f aca="false">M8*2.4</f>
        <v>2.4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(B7-142)/2</f>
        <v>929</v>
      </c>
      <c r="F9" s="390" t="n">
        <f aca="false">(C7-213)/2</f>
        <v>943.5</v>
      </c>
      <c r="G9" s="270"/>
      <c r="H9" s="270"/>
      <c r="I9" s="270"/>
      <c r="J9" s="270"/>
      <c r="K9" s="116" t="s">
        <v>280</v>
      </c>
      <c r="L9" s="265" t="n">
        <f aca="false">IF(L42&gt;6000,L42/6000,1)</f>
        <v>1</v>
      </c>
      <c r="M9" s="154" t="n">
        <f aca="false">ROUNDUP(L9,0)</f>
        <v>1</v>
      </c>
      <c r="N9" s="266" t="n">
        <f aca="false">0.82*6*K26</f>
        <v>246</v>
      </c>
      <c r="O9" s="266"/>
      <c r="P9" s="267" t="n">
        <f aca="false">N9*M9</f>
        <v>246</v>
      </c>
      <c r="Q9" s="267"/>
      <c r="R9" s="268" t="str">
        <f aca="false">F5</f>
        <v>BRANCO</v>
      </c>
      <c r="S9" s="96" t="n">
        <v>6000</v>
      </c>
      <c r="T9" s="262" t="n">
        <f aca="false">0.82*L42/1000</f>
        <v>1.54652</v>
      </c>
      <c r="U9" s="262" t="n">
        <f aca="false">M9*4.92</f>
        <v>4.92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257</v>
      </c>
      <c r="L10" s="265" t="n">
        <f aca="false">IF(L43&gt;6000,L43/6000,1)</f>
        <v>1</v>
      </c>
      <c r="M10" s="154" t="n">
        <f aca="false">ROUNDUP(L10,0)</f>
        <v>1</v>
      </c>
      <c r="N10" s="277" t="n">
        <f aca="false">0.42*6*K26</f>
        <v>126</v>
      </c>
      <c r="O10" s="277"/>
      <c r="P10" s="267" t="n">
        <f aca="false">N10*M10</f>
        <v>126</v>
      </c>
      <c r="Q10" s="267"/>
      <c r="R10" s="268" t="str">
        <f aca="false">F5</f>
        <v>BRANCO</v>
      </c>
      <c r="S10" s="96" t="n">
        <v>6000</v>
      </c>
      <c r="T10" s="262" t="n">
        <f aca="false">0.42*L43/1000</f>
        <v>0.79212</v>
      </c>
      <c r="U10" s="262" t="n">
        <f aca="false">M10*2.52</f>
        <v>2.52</v>
      </c>
    </row>
    <row r="11" customFormat="false" ht="25.5" hidden="false" customHeight="true" outlineLevel="0" collapsed="false">
      <c r="A11" s="67" t="s">
        <v>274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B7-25</f>
        <v>1975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275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1975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276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277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C7-30</f>
        <v>2070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278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2070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279</v>
      </c>
      <c r="B16" s="279" t="s">
        <v>282</v>
      </c>
      <c r="C16" s="279"/>
      <c r="D16" s="279"/>
      <c r="E16" s="24" t="n">
        <f aca="false">D7*2</f>
        <v>2</v>
      </c>
      <c r="F16" s="24" t="n">
        <f aca="false">(B7-114)/2</f>
        <v>943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280</v>
      </c>
      <c r="B17" s="279" t="s">
        <v>283</v>
      </c>
      <c r="C17" s="279"/>
      <c r="D17" s="279"/>
      <c r="E17" s="24" t="n">
        <f aca="false">D7*2</f>
        <v>2</v>
      </c>
      <c r="F17" s="24" t="n">
        <f aca="false">F16</f>
        <v>943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257</v>
      </c>
      <c r="B18" s="279" t="s">
        <v>248</v>
      </c>
      <c r="C18" s="279"/>
      <c r="D18" s="279"/>
      <c r="E18" s="24" t="n">
        <f aca="false">D7*2</f>
        <v>2</v>
      </c>
      <c r="F18" s="24" t="n">
        <f aca="false">F16</f>
        <v>943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12.64657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1264.657</v>
      </c>
      <c r="N26" s="302"/>
      <c r="O26" s="303" t="n">
        <v>0.1</v>
      </c>
      <c r="P26" s="85" t="n">
        <f aca="false">K30*O26+K30</f>
        <v>695.56135</v>
      </c>
      <c r="Q26" s="85"/>
      <c r="R26" s="85"/>
      <c r="S26" s="181" t="s">
        <v>131</v>
      </c>
      <c r="T26" s="181"/>
      <c r="U26" s="294" t="n">
        <f aca="false">SUM(U3:U24)</f>
        <v>27.0832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14.43663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1354.16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632.3285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286</v>
      </c>
      <c r="B36" s="426" t="s">
        <v>287</v>
      </c>
      <c r="C36" s="426"/>
      <c r="D36" s="426"/>
      <c r="E36" s="426"/>
      <c r="F36" s="426"/>
      <c r="G36" s="426"/>
      <c r="H36" s="397" t="s">
        <v>64</v>
      </c>
      <c r="I36" s="72" t="n">
        <f aca="false">D7*8</f>
        <v>8</v>
      </c>
      <c r="J36" s="72"/>
      <c r="K36" s="387" t="s">
        <v>274</v>
      </c>
      <c r="L36" s="388" t="n">
        <f aca="false">F11*E11</f>
        <v>1975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288</v>
      </c>
      <c r="B37" s="427" t="s">
        <v>289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275</v>
      </c>
      <c r="L37" s="388" t="n">
        <f aca="false">F12*E12</f>
        <v>1975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290</v>
      </c>
      <c r="B38" s="427" t="s">
        <v>291</v>
      </c>
      <c r="C38" s="427"/>
      <c r="D38" s="427"/>
      <c r="E38" s="427"/>
      <c r="F38" s="427"/>
      <c r="G38" s="427"/>
      <c r="H38" s="96" t="s">
        <v>46</v>
      </c>
      <c r="I38" s="428" t="n">
        <f aca="false">C7*2*D7</f>
        <v>4200</v>
      </c>
      <c r="J38" s="428"/>
      <c r="K38" s="387" t="s">
        <v>276</v>
      </c>
      <c r="L38" s="388" t="n">
        <f aca="false">F13*E13</f>
        <v>4200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268</v>
      </c>
      <c r="B39" s="427" t="s">
        <v>269</v>
      </c>
      <c r="C39" s="427"/>
      <c r="D39" s="427"/>
      <c r="E39" s="427"/>
      <c r="F39" s="427"/>
      <c r="G39" s="427"/>
      <c r="H39" s="96" t="s">
        <v>46</v>
      </c>
      <c r="I39" s="428" t="n">
        <f aca="false">B7*4+C7*4*D7</f>
        <v>16400</v>
      </c>
      <c r="J39" s="428"/>
      <c r="K39" s="387" t="s">
        <v>277</v>
      </c>
      <c r="L39" s="388" t="n">
        <f aca="false">F14*E14</f>
        <v>4140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292</v>
      </c>
      <c r="B40" s="427" t="s">
        <v>226</v>
      </c>
      <c r="C40" s="427"/>
      <c r="D40" s="427"/>
      <c r="E40" s="427"/>
      <c r="F40" s="427"/>
      <c r="G40" s="427"/>
      <c r="H40" s="96" t="s">
        <v>64</v>
      </c>
      <c r="I40" s="83" t="n">
        <f aca="false">D7*1</f>
        <v>1</v>
      </c>
      <c r="J40" s="83"/>
      <c r="K40" s="387" t="s">
        <v>278</v>
      </c>
      <c r="L40" s="388" t="n">
        <f aca="false">F15*E15</f>
        <v>4140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293</v>
      </c>
      <c r="B41" s="427" t="s">
        <v>230</v>
      </c>
      <c r="C41" s="427"/>
      <c r="D41" s="427"/>
      <c r="E41" s="427"/>
      <c r="F41" s="427"/>
      <c r="G41" s="427"/>
      <c r="H41" s="96" t="s">
        <v>64</v>
      </c>
      <c r="I41" s="83" t="n">
        <f aca="false">D7*1</f>
        <v>1</v>
      </c>
      <c r="J41" s="83"/>
      <c r="K41" s="387" t="s">
        <v>279</v>
      </c>
      <c r="L41" s="388" t="n">
        <f aca="false">F16*E16</f>
        <v>1886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294</v>
      </c>
      <c r="B42" s="427" t="s">
        <v>295</v>
      </c>
      <c r="C42" s="427"/>
      <c r="D42" s="427"/>
      <c r="E42" s="427"/>
      <c r="F42" s="427"/>
      <c r="G42" s="427"/>
      <c r="H42" s="96" t="s">
        <v>64</v>
      </c>
      <c r="I42" s="83" t="n">
        <f aca="false">D7*4</f>
        <v>4</v>
      </c>
      <c r="J42" s="83"/>
      <c r="K42" s="387" t="s">
        <v>280</v>
      </c>
      <c r="L42" s="429" t="n">
        <f aca="false">F17*E17</f>
        <v>1886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296</v>
      </c>
      <c r="B43" s="427" t="s">
        <v>297</v>
      </c>
      <c r="C43" s="427"/>
      <c r="D43" s="427"/>
      <c r="E43" s="427"/>
      <c r="F43" s="427"/>
      <c r="G43" s="427"/>
      <c r="H43" s="96" t="s">
        <v>64</v>
      </c>
      <c r="I43" s="428" t="n">
        <f aca="false">D7*20</f>
        <v>20</v>
      </c>
      <c r="J43" s="428"/>
      <c r="K43" s="387" t="s">
        <v>257</v>
      </c>
      <c r="L43" s="430" t="n">
        <f aca="false">F18*E18</f>
        <v>1886</v>
      </c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298</v>
      </c>
      <c r="B44" s="427" t="s">
        <v>299</v>
      </c>
      <c r="C44" s="427"/>
      <c r="D44" s="427"/>
      <c r="E44" s="427"/>
      <c r="F44" s="427"/>
      <c r="G44" s="427"/>
      <c r="H44" s="96" t="s">
        <v>64</v>
      </c>
      <c r="I44" s="428" t="n">
        <f aca="false">D7*8</f>
        <v>8</v>
      </c>
      <c r="J44" s="428"/>
      <c r="K44" s="387"/>
      <c r="L44" s="109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300</v>
      </c>
      <c r="B45" s="427" t="s">
        <v>301</v>
      </c>
      <c r="C45" s="427"/>
      <c r="D45" s="427"/>
      <c r="E45" s="427"/>
      <c r="F45" s="427"/>
      <c r="G45" s="427"/>
      <c r="H45" s="96" t="s">
        <v>64</v>
      </c>
      <c r="I45" s="428" t="n">
        <f aca="false">D7*16</f>
        <v>16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 t="s">
        <v>302</v>
      </c>
      <c r="B46" s="431" t="s">
        <v>303</v>
      </c>
      <c r="C46" s="431"/>
      <c r="D46" s="431"/>
      <c r="E46" s="431"/>
      <c r="F46" s="431"/>
      <c r="G46" s="431"/>
      <c r="H46" s="96" t="s">
        <v>64</v>
      </c>
      <c r="I46" s="428" t="n">
        <f aca="false">D7*2</f>
        <v>2</v>
      </c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 t="s">
        <v>304</v>
      </c>
      <c r="B47" s="431" t="s">
        <v>305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 t="s">
        <v>306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D7*2</f>
        <v>2</v>
      </c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 t="s">
        <v>266</v>
      </c>
      <c r="B49" s="431" t="s">
        <v>267</v>
      </c>
      <c r="C49" s="431"/>
      <c r="D49" s="431"/>
      <c r="E49" s="431"/>
      <c r="F49" s="431"/>
      <c r="G49" s="431"/>
      <c r="H49" s="96" t="s">
        <v>46</v>
      </c>
      <c r="I49" s="428" t="n">
        <f aca="false">C7*6+B7*4*D7</f>
        <v>20600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 t="s">
        <v>308</v>
      </c>
      <c r="B50" s="431" t="s">
        <v>309</v>
      </c>
      <c r="C50" s="431"/>
      <c r="D50" s="431"/>
      <c r="E50" s="431"/>
      <c r="F50" s="431"/>
      <c r="G50" s="431"/>
      <c r="H50" s="96" t="s">
        <v>64</v>
      </c>
      <c r="I50" s="435" t="n">
        <f aca="false">D7*4</f>
        <v>4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311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274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1.20475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312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0.64*6*K26</f>
        <v>192</v>
      </c>
      <c r="O4" s="266"/>
      <c r="P4" s="267" t="n">
        <f aca="false">N4*M4</f>
        <v>192</v>
      </c>
      <c r="Q4" s="267"/>
      <c r="R4" s="268" t="str">
        <f aca="false">F5</f>
        <v>BRANCO</v>
      </c>
      <c r="S4" s="96" t="n">
        <v>6000</v>
      </c>
      <c r="T4" s="262" t="n">
        <f aca="false">0.64*L37/1000</f>
        <v>1.264</v>
      </c>
      <c r="U4" s="262" t="n">
        <f aca="false">M4*3.84</f>
        <v>3.84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276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0.84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277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0.45*6*K26</f>
        <v>135</v>
      </c>
      <c r="O6" s="266"/>
      <c r="P6" s="267" t="n">
        <f aca="false">N6*M6</f>
        <v>135</v>
      </c>
      <c r="Q6" s="267"/>
      <c r="R6" s="268" t="str">
        <f aca="false">F5</f>
        <v>BRANCO</v>
      </c>
      <c r="S6" s="96" t="n">
        <v>6000</v>
      </c>
      <c r="T6" s="262" t="n">
        <f aca="false">0.45*L39/1000</f>
        <v>1.71</v>
      </c>
      <c r="U6" s="262" t="n">
        <f aca="false">M6*2.7</f>
        <v>2.7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1000</v>
      </c>
      <c r="D7" s="272" t="n">
        <v>1</v>
      </c>
      <c r="E7" s="276" t="n">
        <f aca="false">(B7*C7)/10^6</f>
        <v>2</v>
      </c>
      <c r="F7" s="276"/>
      <c r="G7" s="270"/>
      <c r="H7" s="270"/>
      <c r="I7" s="270"/>
      <c r="J7" s="270"/>
      <c r="K7" s="116" t="s">
        <v>313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0.53*6*K26</f>
        <v>159</v>
      </c>
      <c r="O7" s="266"/>
      <c r="P7" s="267" t="n">
        <f aca="false">N7*M7</f>
        <v>159</v>
      </c>
      <c r="Q7" s="267"/>
      <c r="R7" s="268" t="str">
        <f aca="false">F5</f>
        <v>BRANCO</v>
      </c>
      <c r="S7" s="96" t="n">
        <v>6000</v>
      </c>
      <c r="T7" s="262" t="n">
        <f aca="false">0.53*L40/1000</f>
        <v>2.014</v>
      </c>
      <c r="U7" s="262" t="n">
        <f aca="false">M7*3.18</f>
        <v>3.18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279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0.4*6*K26</f>
        <v>120</v>
      </c>
      <c r="O8" s="266"/>
      <c r="P8" s="267" t="n">
        <f aca="false">N8*M8</f>
        <v>120</v>
      </c>
      <c r="Q8" s="267"/>
      <c r="R8" s="268" t="str">
        <f aca="false">F5</f>
        <v>BRANCO</v>
      </c>
      <c r="S8" s="96" t="n">
        <v>6000</v>
      </c>
      <c r="T8" s="262" t="n">
        <f aca="false">0.4*L41/1000</f>
        <v>1.4432</v>
      </c>
      <c r="U8" s="262" t="n">
        <f aca="false">M8*2.4</f>
        <v>2.4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1000</v>
      </c>
      <c r="D9" s="275"/>
      <c r="E9" s="389" t="n">
        <f aca="false">(B7-220)/4</f>
        <v>445</v>
      </c>
      <c r="F9" s="390" t="n">
        <f aca="false">C7-134</f>
        <v>866</v>
      </c>
      <c r="G9" s="270"/>
      <c r="H9" s="270"/>
      <c r="I9" s="270"/>
      <c r="J9" s="270"/>
      <c r="K9" s="116" t="s">
        <v>285</v>
      </c>
      <c r="L9" s="265" t="n">
        <f aca="false">IF(L42&gt;6000,L42/6000,1)</f>
        <v>1</v>
      </c>
      <c r="M9" s="154" t="n">
        <f aca="false">ROUNDUP(L9,0)</f>
        <v>1</v>
      </c>
      <c r="N9" s="266" t="n">
        <f aca="false">0.17*6*K26</f>
        <v>51</v>
      </c>
      <c r="O9" s="266"/>
      <c r="P9" s="267" t="n">
        <f aca="false">N9*M9</f>
        <v>51</v>
      </c>
      <c r="Q9" s="267"/>
      <c r="R9" s="268" t="str">
        <f aca="false">F5</f>
        <v>BRANCO</v>
      </c>
      <c r="S9" s="96" t="n">
        <v>6000</v>
      </c>
      <c r="T9" s="262" t="n">
        <f aca="false">0.17*L42/1000</f>
        <v>0.1615</v>
      </c>
      <c r="U9" s="262" t="n">
        <f aca="false">M9*1.02</f>
        <v>1.02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274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B7-25</f>
        <v>1975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312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1975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276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277</v>
      </c>
      <c r="B14" s="279" t="s">
        <v>281</v>
      </c>
      <c r="C14" s="279"/>
      <c r="D14" s="279"/>
      <c r="E14" s="24" t="n">
        <f aca="false">D7*4</f>
        <v>4</v>
      </c>
      <c r="F14" s="24" t="n">
        <f aca="false">C7-50</f>
        <v>950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313</v>
      </c>
      <c r="B15" s="279" t="s">
        <v>281</v>
      </c>
      <c r="C15" s="279"/>
      <c r="D15" s="279"/>
      <c r="E15" s="46" t="n">
        <f aca="false">D7*4</f>
        <v>4</v>
      </c>
      <c r="F15" s="24" t="n">
        <f aca="false">F14</f>
        <v>950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279</v>
      </c>
      <c r="B16" s="279" t="s">
        <v>314</v>
      </c>
      <c r="C16" s="279"/>
      <c r="D16" s="279"/>
      <c r="E16" s="24" t="n">
        <f aca="false">D7*8</f>
        <v>8</v>
      </c>
      <c r="F16" s="24" t="n">
        <f aca="false">(B7-196)/4</f>
        <v>451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285</v>
      </c>
      <c r="B17" s="279" t="s">
        <v>196</v>
      </c>
      <c r="C17" s="279"/>
      <c r="D17" s="279"/>
      <c r="E17" s="24" t="n">
        <f aca="false">D7*1</f>
        <v>1</v>
      </c>
      <c r="F17" s="24" t="n">
        <f aca="false">F14</f>
        <v>950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8.63745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863.745</v>
      </c>
      <c r="N26" s="302"/>
      <c r="O26" s="303" t="n">
        <v>0.1</v>
      </c>
      <c r="P26" s="85" t="n">
        <f aca="false">K30*O26+K30</f>
        <v>475.05975</v>
      </c>
      <c r="Q26" s="85"/>
      <c r="R26" s="85"/>
      <c r="S26" s="181" t="s">
        <v>131</v>
      </c>
      <c r="T26" s="181"/>
      <c r="U26" s="294" t="n">
        <f aca="false">SUM(U3:U24)</f>
        <v>19.27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10.63255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963.5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431.8725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286</v>
      </c>
      <c r="B36" s="426" t="s">
        <v>287</v>
      </c>
      <c r="C36" s="426"/>
      <c r="D36" s="426"/>
      <c r="E36" s="426"/>
      <c r="F36" s="426"/>
      <c r="G36" s="426"/>
      <c r="H36" s="397" t="s">
        <v>64</v>
      </c>
      <c r="I36" s="72" t="n">
        <f aca="false">D7*16</f>
        <v>16</v>
      </c>
      <c r="J36" s="72"/>
      <c r="K36" s="387" t="s">
        <v>274</v>
      </c>
      <c r="L36" s="133" t="n">
        <f aca="false">F11*E11</f>
        <v>1975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288</v>
      </c>
      <c r="B37" s="427" t="s">
        <v>289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312</v>
      </c>
      <c r="L37" s="133" t="n">
        <f aca="false">F12*E12</f>
        <v>1975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290</v>
      </c>
      <c r="B38" s="427" t="s">
        <v>291</v>
      </c>
      <c r="C38" s="427"/>
      <c r="D38" s="427"/>
      <c r="E38" s="427"/>
      <c r="F38" s="427"/>
      <c r="G38" s="427"/>
      <c r="H38" s="96" t="s">
        <v>46</v>
      </c>
      <c r="I38" s="428" t="n">
        <f aca="false">C7*4*D7</f>
        <v>4000</v>
      </c>
      <c r="J38" s="428"/>
      <c r="K38" s="387" t="s">
        <v>276</v>
      </c>
      <c r="L38" s="133" t="n">
        <f aca="false">F13*E13</f>
        <v>2000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268</v>
      </c>
      <c r="B39" s="427" t="s">
        <v>269</v>
      </c>
      <c r="C39" s="427"/>
      <c r="D39" s="427"/>
      <c r="E39" s="427"/>
      <c r="F39" s="427"/>
      <c r="G39" s="427"/>
      <c r="H39" s="96" t="s">
        <v>46</v>
      </c>
      <c r="I39" s="428" t="n">
        <f aca="false">B7*2+C7*8*D7</f>
        <v>12000</v>
      </c>
      <c r="J39" s="428"/>
      <c r="K39" s="387" t="s">
        <v>277</v>
      </c>
      <c r="L39" s="133" t="n">
        <f aca="false">F14*E14</f>
        <v>3800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292</v>
      </c>
      <c r="B40" s="427" t="s">
        <v>226</v>
      </c>
      <c r="C40" s="427"/>
      <c r="D40" s="427"/>
      <c r="E40" s="427"/>
      <c r="F40" s="427"/>
      <c r="G40" s="427"/>
      <c r="H40" s="96" t="s">
        <v>64</v>
      </c>
      <c r="I40" s="83" t="n">
        <f aca="false">D7*2</f>
        <v>2</v>
      </c>
      <c r="J40" s="83"/>
      <c r="K40" s="387" t="s">
        <v>313</v>
      </c>
      <c r="L40" s="133" t="n">
        <f aca="false">F15*E15</f>
        <v>3800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293</v>
      </c>
      <c r="B41" s="427" t="s">
        <v>230</v>
      </c>
      <c r="C41" s="427"/>
      <c r="D41" s="427"/>
      <c r="E41" s="427"/>
      <c r="F41" s="427"/>
      <c r="G41" s="427"/>
      <c r="H41" s="96" t="s">
        <v>64</v>
      </c>
      <c r="I41" s="83" t="n">
        <f aca="false">D7*2</f>
        <v>2</v>
      </c>
      <c r="J41" s="83"/>
      <c r="K41" s="387" t="s">
        <v>279</v>
      </c>
      <c r="L41" s="133" t="n">
        <f aca="false">F16*E16</f>
        <v>3608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315</v>
      </c>
      <c r="B42" s="427" t="s">
        <v>295</v>
      </c>
      <c r="C42" s="427"/>
      <c r="D42" s="427"/>
      <c r="E42" s="427"/>
      <c r="F42" s="427"/>
      <c r="G42" s="427"/>
      <c r="H42" s="96" t="s">
        <v>64</v>
      </c>
      <c r="I42" s="83" t="n">
        <f aca="false">D7*8</f>
        <v>8</v>
      </c>
      <c r="J42" s="83"/>
      <c r="K42" s="387" t="s">
        <v>285</v>
      </c>
      <c r="L42" s="133" t="n">
        <f aca="false">F17*E17</f>
        <v>950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296</v>
      </c>
      <c r="B43" s="427" t="s">
        <v>297</v>
      </c>
      <c r="C43" s="427"/>
      <c r="D43" s="427"/>
      <c r="E43" s="427"/>
      <c r="F43" s="427"/>
      <c r="G43" s="427"/>
      <c r="H43" s="96" t="s">
        <v>64</v>
      </c>
      <c r="I43" s="428" t="n">
        <f aca="false">D7*16</f>
        <v>16</v>
      </c>
      <c r="J43" s="428"/>
      <c r="K43" s="387"/>
      <c r="L43" s="109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298</v>
      </c>
      <c r="B44" s="427" t="s">
        <v>299</v>
      </c>
      <c r="C44" s="427"/>
      <c r="D44" s="427"/>
      <c r="E44" s="427"/>
      <c r="F44" s="427"/>
      <c r="G44" s="427"/>
      <c r="H44" s="96" t="s">
        <v>64</v>
      </c>
      <c r="I44" s="428" t="n">
        <f aca="false">D7*16</f>
        <v>16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300</v>
      </c>
      <c r="B45" s="427" t="s">
        <v>301</v>
      </c>
      <c r="C45" s="427"/>
      <c r="D45" s="427"/>
      <c r="E45" s="427"/>
      <c r="F45" s="427"/>
      <c r="G45" s="427"/>
      <c r="H45" s="96" t="s">
        <v>64</v>
      </c>
      <c r="I45" s="428" t="n">
        <f aca="false">D7*16</f>
        <v>16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 t="s">
        <v>302</v>
      </c>
      <c r="B46" s="431" t="s">
        <v>303</v>
      </c>
      <c r="C46" s="431"/>
      <c r="D46" s="431"/>
      <c r="E46" s="431"/>
      <c r="F46" s="431"/>
      <c r="G46" s="431"/>
      <c r="H46" s="96" t="s">
        <v>64</v>
      </c>
      <c r="I46" s="428" t="n">
        <f aca="false">D7*3</f>
        <v>3</v>
      </c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 t="s">
        <v>304</v>
      </c>
      <c r="B47" s="431" t="s">
        <v>305</v>
      </c>
      <c r="C47" s="431"/>
      <c r="D47" s="431"/>
      <c r="E47" s="431"/>
      <c r="F47" s="431"/>
      <c r="G47" s="431"/>
      <c r="H47" s="96" t="s">
        <v>64</v>
      </c>
      <c r="I47" s="83" t="n">
        <f aca="false">D7*3</f>
        <v>3</v>
      </c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 t="s">
        <v>306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D7*3</f>
        <v>3</v>
      </c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 t="s">
        <v>266</v>
      </c>
      <c r="B49" s="431" t="s">
        <v>267</v>
      </c>
      <c r="C49" s="431"/>
      <c r="D49" s="431"/>
      <c r="E49" s="431"/>
      <c r="F49" s="431"/>
      <c r="G49" s="431"/>
      <c r="H49" s="96" t="s">
        <v>46</v>
      </c>
      <c r="I49" s="428" t="n">
        <f aca="false">C7*10+B7*2*D7</f>
        <v>14000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65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tr">
        <f aca="false">A11</f>
        <v>2X1/2</v>
      </c>
      <c r="L3" s="14"/>
      <c r="M3" s="15" t="n">
        <f aca="false">ROUNDUP(P30,0)</f>
        <v>1</v>
      </c>
      <c r="N3" s="16" t="n">
        <v>120</v>
      </c>
      <c r="O3" s="16"/>
      <c r="P3" s="16" t="n">
        <f aca="false">N3*M3</f>
        <v>120</v>
      </c>
      <c r="Q3" s="16"/>
      <c r="R3" s="17" t="str">
        <f aca="false">E5</f>
        <v>BRANCO</v>
      </c>
      <c r="S3" s="18" t="n">
        <v>6000</v>
      </c>
      <c r="T3" s="19" t="n">
        <f aca="false">F11*E11+E12*F12+E13*F13</f>
        <v>6000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A14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E5</f>
        <v>BRANCO</v>
      </c>
      <c r="S4" s="27" t="n">
        <v>6000</v>
      </c>
      <c r="T4" s="28" t="n">
        <f aca="false">E14*F14+E15*F15</f>
        <v>2926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30" t="s">
        <v>8</v>
      </c>
      <c r="E5" s="31" t="s">
        <v>15</v>
      </c>
      <c r="F5" s="32" t="s">
        <v>16</v>
      </c>
      <c r="G5" s="32"/>
      <c r="H5" s="33" t="s">
        <v>5</v>
      </c>
      <c r="I5" s="18"/>
      <c r="J5" s="34"/>
      <c r="K5" s="22" t="str">
        <f aca="false">A16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E5</f>
        <v>BRANCO</v>
      </c>
      <c r="S5" s="27" t="n">
        <v>6000</v>
      </c>
      <c r="T5" s="28" t="n">
        <f aca="false">E16*F16</f>
        <v>698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20" t="s">
        <v>19</v>
      </c>
      <c r="E6" s="36" t="s">
        <v>20</v>
      </c>
      <c r="F6" s="44" t="n">
        <f aca="false">F14-4</f>
        <v>486</v>
      </c>
      <c r="G6" s="38" t="n">
        <f aca="false">F15-4</f>
        <v>237.5</v>
      </c>
      <c r="H6" s="39" t="n">
        <f aca="false">A7*2</f>
        <v>2</v>
      </c>
      <c r="I6" s="27"/>
      <c r="J6" s="40"/>
      <c r="K6" s="41" t="s">
        <v>21</v>
      </c>
      <c r="L6" s="23"/>
      <c r="M6" s="24" t="n">
        <f aca="false">ROUNDUP(P33,0)</f>
        <v>1</v>
      </c>
      <c r="N6" s="25" t="n">
        <v>35</v>
      </c>
      <c r="O6" s="25"/>
      <c r="P6" s="25" t="n">
        <f aca="false">N6*M6</f>
        <v>35</v>
      </c>
      <c r="Q6" s="25"/>
      <c r="R6" s="26" t="str">
        <f aca="false">E5</f>
        <v>BRANCO</v>
      </c>
      <c r="S6" s="27" t="n">
        <v>6000</v>
      </c>
      <c r="T6" s="28" t="n">
        <f aca="false">E17*F17</f>
        <v>1952</v>
      </c>
      <c r="U6" s="28"/>
    </row>
    <row r="7" customFormat="false" ht="27" hidden="false" customHeight="true" outlineLevel="0" collapsed="false">
      <c r="A7" s="42" t="n">
        <v>1</v>
      </c>
      <c r="B7" s="42" t="n">
        <v>500</v>
      </c>
      <c r="C7" s="42" t="n">
        <v>500</v>
      </c>
      <c r="D7" s="43" t="n">
        <v>500</v>
      </c>
      <c r="E7" s="36" t="s">
        <v>22</v>
      </c>
      <c r="F7" s="44" t="n">
        <f aca="false">D7-20</f>
        <v>480</v>
      </c>
      <c r="G7" s="38" t="n">
        <f aca="false">(C7-140)/2</f>
        <v>180</v>
      </c>
      <c r="H7" s="39" t="n">
        <f aca="false">A7*4</f>
        <v>4</v>
      </c>
      <c r="I7" s="27"/>
      <c r="J7" s="40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48"/>
      <c r="U7" s="49"/>
    </row>
    <row r="8" customFormat="false" ht="24" hidden="false" customHeight="true" outlineLevel="0" collapsed="false">
      <c r="A8" s="50" t="s">
        <v>23</v>
      </c>
      <c r="B8" s="50"/>
      <c r="C8" s="51"/>
      <c r="D8" s="51"/>
      <c r="E8" s="36" t="s">
        <v>24</v>
      </c>
      <c r="F8" s="44" t="n">
        <f aca="false">B7-55</f>
        <v>445</v>
      </c>
      <c r="G8" s="38" t="n">
        <f aca="false">G7</f>
        <v>180</v>
      </c>
      <c r="H8" s="39" t="n">
        <f aca="false">A7*4</f>
        <v>4</v>
      </c>
      <c r="I8" s="27"/>
      <c r="J8" s="40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48"/>
      <c r="U8" s="49"/>
    </row>
    <row r="9" customFormat="false" ht="26.25" hidden="false" customHeight="true" outlineLevel="0" collapsed="false">
      <c r="A9" s="53"/>
      <c r="B9" s="53"/>
      <c r="C9" s="54"/>
      <c r="D9" s="54"/>
      <c r="E9" s="36" t="s">
        <v>25</v>
      </c>
      <c r="F9" s="44" t="n">
        <f aca="false">B7-55</f>
        <v>445</v>
      </c>
      <c r="G9" s="38" t="n">
        <f aca="false">D7-12</f>
        <v>488</v>
      </c>
      <c r="H9" s="55" t="n">
        <f aca="false">A7*2</f>
        <v>2</v>
      </c>
      <c r="I9" s="56"/>
      <c r="J9" s="57"/>
      <c r="K9" s="52"/>
      <c r="L9" s="45"/>
      <c r="M9" s="46"/>
      <c r="N9" s="25"/>
      <c r="O9" s="25"/>
      <c r="P9" s="25"/>
      <c r="Q9" s="25"/>
      <c r="R9" s="47"/>
      <c r="S9" s="27"/>
      <c r="T9" s="48"/>
      <c r="U9" s="49"/>
    </row>
    <row r="10" customFormat="false" ht="25.5" hidden="false" customHeight="true" outlineLevel="0" collapsed="false">
      <c r="A10" s="58" t="s">
        <v>4</v>
      </c>
      <c r="B10" s="59" t="s">
        <v>26</v>
      </c>
      <c r="C10" s="59"/>
      <c r="D10" s="59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65"/>
      <c r="U10" s="66"/>
    </row>
    <row r="11" customFormat="false" ht="25.5" hidden="false" customHeight="true" outlineLevel="0" collapsed="false">
      <c r="A11" s="67" t="s">
        <v>31</v>
      </c>
      <c r="B11" s="68" t="s">
        <v>32</v>
      </c>
      <c r="C11" s="68"/>
      <c r="D11" s="68"/>
      <c r="E11" s="69" t="n">
        <f aca="false">A7*4</f>
        <v>4</v>
      </c>
      <c r="F11" s="70" t="n">
        <f aca="false">B7</f>
        <v>500</v>
      </c>
      <c r="G11" s="70"/>
      <c r="H11" s="71" t="s">
        <v>17</v>
      </c>
      <c r="I11" s="71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80" t="s">
        <v>39</v>
      </c>
      <c r="C12" s="80"/>
      <c r="D12" s="80"/>
      <c r="E12" s="46" t="n">
        <f aca="false">A7*4</f>
        <v>4</v>
      </c>
      <c r="F12" s="81" t="n">
        <f aca="false">C7</f>
        <v>500</v>
      </c>
      <c r="G12" s="81"/>
      <c r="H12" s="82" t="s">
        <v>18</v>
      </c>
      <c r="I12" s="82"/>
      <c r="J12" s="83" t="s">
        <v>33</v>
      </c>
      <c r="K12" s="84" t="n">
        <f aca="false">P3+P4+P5+P6+P7+P8+P9+P10</f>
        <v>387</v>
      </c>
      <c r="L12" s="84"/>
      <c r="M12" s="84" t="n">
        <f aca="false">I35</f>
        <v>167.4</v>
      </c>
      <c r="N12" s="84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854.4</v>
      </c>
      <c r="U12" s="84"/>
    </row>
    <row r="13" customFormat="false" ht="25.5" hidden="false" customHeight="true" outlineLevel="0" collapsed="false">
      <c r="A13" s="79" t="s">
        <v>31</v>
      </c>
      <c r="B13" s="80" t="s">
        <v>40</v>
      </c>
      <c r="C13" s="80"/>
      <c r="D13" s="80"/>
      <c r="E13" s="46" t="n">
        <f aca="false">A7*4</f>
        <v>4</v>
      </c>
      <c r="F13" s="81" t="n">
        <f aca="false">D7</f>
        <v>500</v>
      </c>
      <c r="G13" s="81"/>
      <c r="H13" s="82" t="s">
        <v>41</v>
      </c>
      <c r="I13" s="82"/>
      <c r="J13" s="83" t="s">
        <v>42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80" t="s">
        <v>44</v>
      </c>
      <c r="C14" s="80"/>
      <c r="D14" s="80"/>
      <c r="E14" s="46" t="n">
        <f aca="false">A7*4</f>
        <v>4</v>
      </c>
      <c r="F14" s="81" t="n">
        <f aca="false">B7-10</f>
        <v>490</v>
      </c>
      <c r="G14" s="81"/>
      <c r="H14" s="82" t="s">
        <v>17</v>
      </c>
      <c r="I14" s="82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43</v>
      </c>
      <c r="B15" s="80" t="s">
        <v>45</v>
      </c>
      <c r="C15" s="80"/>
      <c r="D15" s="80"/>
      <c r="E15" s="46" t="n">
        <f aca="false">A7*4</f>
        <v>4</v>
      </c>
      <c r="F15" s="91" t="n">
        <f aca="false">(C7-17)/2</f>
        <v>241.5</v>
      </c>
      <c r="G15" s="91"/>
      <c r="H15" s="82" t="s">
        <v>18</v>
      </c>
      <c r="I15" s="82"/>
      <c r="J15" s="83" t="s">
        <v>33</v>
      </c>
    </row>
    <row r="16" customFormat="false" ht="25.5" hidden="false" customHeight="true" outlineLevel="0" collapsed="false">
      <c r="A16" s="79" t="s">
        <v>46</v>
      </c>
      <c r="B16" s="80" t="s">
        <v>47</v>
      </c>
      <c r="C16" s="80"/>
      <c r="D16" s="80"/>
      <c r="E16" s="46" t="n">
        <f aca="false">A7*2</f>
        <v>2</v>
      </c>
      <c r="F16" s="81" t="n">
        <f aca="false">F14-141</f>
        <v>349</v>
      </c>
      <c r="G16" s="81"/>
      <c r="H16" s="82" t="s">
        <v>17</v>
      </c>
      <c r="I16" s="82"/>
      <c r="J16" s="83" t="s">
        <v>42</v>
      </c>
      <c r="K16" s="93"/>
      <c r="L16" s="93"/>
      <c r="M16" s="93"/>
    </row>
    <row r="17" customFormat="false" ht="25.5" hidden="false" customHeight="true" outlineLevel="0" collapsed="false">
      <c r="A17" s="79" t="s">
        <v>21</v>
      </c>
      <c r="B17" s="80" t="s">
        <v>48</v>
      </c>
      <c r="C17" s="80"/>
      <c r="D17" s="80"/>
      <c r="E17" s="46" t="n">
        <f aca="false">A7*4</f>
        <v>4</v>
      </c>
      <c r="F17" s="91" t="n">
        <f aca="false">G9</f>
        <v>488</v>
      </c>
      <c r="G17" s="91"/>
      <c r="H17" s="82" t="s">
        <v>41</v>
      </c>
      <c r="I17" s="82"/>
      <c r="J17" s="83" t="s">
        <v>42</v>
      </c>
      <c r="M17" s="94"/>
      <c r="N17" s="95"/>
      <c r="O17" s="95"/>
    </row>
    <row r="18" customFormat="false" ht="25.5" hidden="false" customHeight="true" outlineLevel="0" collapsed="false">
      <c r="A18" s="79"/>
      <c r="B18" s="80"/>
      <c r="C18" s="80"/>
      <c r="D18" s="80"/>
      <c r="E18" s="47"/>
      <c r="H18" s="82"/>
      <c r="I18" s="82"/>
      <c r="J18" s="83"/>
      <c r="N18" s="98"/>
      <c r="O18" s="98"/>
    </row>
    <row r="19" customFormat="false" ht="22.5" hidden="false" customHeight="true" outlineLevel="0" collapsed="false">
      <c r="A19" s="79"/>
      <c r="B19" s="80"/>
      <c r="C19" s="80"/>
      <c r="D19" s="80"/>
      <c r="E19" s="46"/>
      <c r="F19" s="91"/>
      <c r="G19" s="91"/>
      <c r="H19" s="82"/>
      <c r="I19" s="82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101"/>
      <c r="G20" s="101"/>
      <c r="H20" s="102"/>
      <c r="I20" s="102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20" t="s">
        <v>38</v>
      </c>
      <c r="K21" s="93"/>
      <c r="L21" s="93"/>
      <c r="M21" s="94"/>
      <c r="N21" s="108"/>
      <c r="O21" s="109"/>
      <c r="P21" s="109"/>
      <c r="Q21" s="109"/>
      <c r="R21" s="109"/>
      <c r="S21" s="109"/>
      <c r="T21" s="109"/>
      <c r="U21" s="109"/>
    </row>
    <row r="22" customFormat="false" ht="17.25" hidden="false" customHeight="true" outlineLevel="0" collapsed="false">
      <c r="A22" s="50" t="n">
        <v>1234</v>
      </c>
      <c r="B22" s="110" t="s">
        <v>54</v>
      </c>
      <c r="C22" s="111"/>
      <c r="D22" s="111"/>
      <c r="E22" s="112"/>
      <c r="F22" s="19" t="s">
        <v>55</v>
      </c>
      <c r="G22" s="19"/>
      <c r="H22" s="113" t="n">
        <f aca="false">A7*2</f>
        <v>2</v>
      </c>
      <c r="I22" s="114" t="n">
        <v>30</v>
      </c>
      <c r="J22" s="115" t="n">
        <f aca="false">H22*I22</f>
        <v>60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116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121" t="n">
        <f aca="false">A7*2</f>
        <v>2</v>
      </c>
      <c r="I23" s="122" t="n">
        <v>8</v>
      </c>
      <c r="J23" s="123" t="n">
        <f aca="false">H23*I23</f>
        <v>16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116" t="n">
        <v>123456</v>
      </c>
      <c r="B24" s="117" t="s">
        <v>58</v>
      </c>
      <c r="C24" s="118"/>
      <c r="D24" s="118"/>
      <c r="E24" s="119"/>
      <c r="F24" s="120" t="s">
        <v>59</v>
      </c>
      <c r="G24" s="120"/>
      <c r="H24" s="121" t="n">
        <f aca="false">A7*1</f>
        <v>1</v>
      </c>
      <c r="I24" s="122" t="n">
        <v>49</v>
      </c>
      <c r="J24" s="123" t="n">
        <f aca="false">H24*I24</f>
        <v>49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116" t="n">
        <v>1234567</v>
      </c>
      <c r="B25" s="117" t="s">
        <v>60</v>
      </c>
      <c r="C25" s="118"/>
      <c r="D25" s="118"/>
      <c r="E25" s="119"/>
      <c r="F25" s="120" t="s">
        <v>59</v>
      </c>
      <c r="G25" s="120"/>
      <c r="H25" s="121" t="n">
        <f aca="false">A7*48</f>
        <v>48</v>
      </c>
      <c r="I25" s="125" t="n">
        <v>0.1</v>
      </c>
      <c r="J25" s="123" t="n">
        <f aca="false">H25*I25</f>
        <v>4.8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16" t="s">
        <v>61</v>
      </c>
      <c r="B26" s="127" t="s">
        <v>62</v>
      </c>
      <c r="C26" s="127"/>
      <c r="D26" s="127"/>
      <c r="E26" s="119"/>
      <c r="F26" s="120" t="s">
        <v>55</v>
      </c>
      <c r="G26" s="120"/>
      <c r="H26" s="121" t="n">
        <f aca="false">E16</f>
        <v>2</v>
      </c>
      <c r="I26" s="122" t="n">
        <v>18</v>
      </c>
      <c r="J26" s="123" t="n">
        <f aca="false">H26*I26</f>
        <v>36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116" t="s">
        <v>55</v>
      </c>
      <c r="B27" s="128" t="s">
        <v>63</v>
      </c>
      <c r="C27" s="128"/>
      <c r="D27" s="128"/>
      <c r="E27" s="128"/>
      <c r="F27" s="120" t="s">
        <v>64</v>
      </c>
      <c r="G27" s="120"/>
      <c r="H27" s="121" t="n">
        <v>32</v>
      </c>
      <c r="I27" s="122" t="n">
        <v>0.05</v>
      </c>
      <c r="J27" s="123" t="n">
        <f aca="false">H27*I27</f>
        <v>1.6</v>
      </c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116"/>
      <c r="B28" s="117"/>
      <c r="C28" s="118"/>
      <c r="D28" s="118"/>
      <c r="E28" s="119"/>
      <c r="F28" s="52"/>
      <c r="G28" s="23"/>
      <c r="H28" s="52"/>
      <c r="I28" s="122"/>
      <c r="J28" s="123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116"/>
      <c r="B29" s="117"/>
      <c r="C29" s="118"/>
      <c r="D29" s="118"/>
      <c r="E29" s="119"/>
      <c r="F29" s="52"/>
      <c r="G29" s="23"/>
      <c r="H29" s="52"/>
      <c r="I29" s="122"/>
      <c r="J29" s="123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116"/>
      <c r="B30" s="131"/>
      <c r="C30" s="132"/>
      <c r="D30" s="132"/>
      <c r="E30" s="119"/>
      <c r="F30" s="52"/>
      <c r="G30" s="23"/>
      <c r="H30" s="52"/>
      <c r="I30" s="122"/>
      <c r="J30" s="123"/>
      <c r="K30" s="93"/>
      <c r="L30" s="93"/>
      <c r="M30" s="93"/>
      <c r="P30" s="133" t="n">
        <f aca="false">IF(T3&gt;6000,T3/6000,1)</f>
        <v>1</v>
      </c>
      <c r="S30" s="93"/>
      <c r="T30" s="93"/>
      <c r="U30" s="93"/>
    </row>
    <row r="31" customFormat="false" ht="17.25" hidden="false" customHeight="true" outlineLevel="0" collapsed="false">
      <c r="A31" s="116"/>
      <c r="B31" s="131"/>
      <c r="C31" s="132"/>
      <c r="D31" s="132"/>
      <c r="E31" s="119"/>
      <c r="F31" s="52"/>
      <c r="G31" s="23"/>
      <c r="H31" s="52"/>
      <c r="I31" s="122"/>
      <c r="J31" s="123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116"/>
      <c r="B32" s="131"/>
      <c r="C32" s="132"/>
      <c r="D32" s="132"/>
      <c r="E32" s="119"/>
      <c r="F32" s="52"/>
      <c r="G32" s="23"/>
      <c r="H32" s="52"/>
      <c r="I32" s="122"/>
      <c r="J32" s="123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116"/>
      <c r="B33" s="131"/>
      <c r="C33" s="132"/>
      <c r="D33" s="132"/>
      <c r="E33" s="119"/>
      <c r="F33" s="52"/>
      <c r="G33" s="23"/>
      <c r="H33" s="52"/>
      <c r="I33" s="122"/>
      <c r="J33" s="123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116"/>
      <c r="B34" s="131"/>
      <c r="C34" s="132"/>
      <c r="D34" s="132"/>
      <c r="E34" s="119"/>
      <c r="F34" s="52"/>
      <c r="G34" s="23"/>
      <c r="H34" s="52"/>
      <c r="I34" s="134" t="s">
        <v>38</v>
      </c>
      <c r="J34" s="134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35"/>
      <c r="B35" s="136"/>
      <c r="C35" s="137"/>
      <c r="D35" s="137"/>
      <c r="E35" s="138"/>
      <c r="F35" s="139"/>
      <c r="G35" s="140"/>
      <c r="H35" s="139"/>
      <c r="I35" s="141" t="n">
        <f aca="false">SUM(J22:J33)</f>
        <v>167.4</v>
      </c>
      <c r="J35" s="141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99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F5:G5"/>
    <mergeCell ref="N5:O5"/>
    <mergeCell ref="P5:Q5"/>
    <mergeCell ref="T5:U5"/>
    <mergeCell ref="N6:O6"/>
    <mergeCell ref="P6:Q6"/>
    <mergeCell ref="T6:U6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B16:D16"/>
    <mergeCell ref="F16:G16"/>
    <mergeCell ref="H16:I16"/>
    <mergeCell ref="B17:D17"/>
    <mergeCell ref="F17:G17"/>
    <mergeCell ref="H17:I17"/>
    <mergeCell ref="N17:O17"/>
    <mergeCell ref="B18:D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F22:G22"/>
    <mergeCell ref="F23:G23"/>
    <mergeCell ref="F24:G24"/>
    <mergeCell ref="F25:G25"/>
    <mergeCell ref="B26:D26"/>
    <mergeCell ref="F26:G26"/>
    <mergeCell ref="B27:E27"/>
    <mergeCell ref="F27:G27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316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274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0.61*6*K26</f>
        <v>183</v>
      </c>
      <c r="O3" s="259"/>
      <c r="P3" s="260" t="n">
        <f aca="false">N3*M3</f>
        <v>183</v>
      </c>
      <c r="Q3" s="260"/>
      <c r="R3" s="261" t="str">
        <f aca="false">F5</f>
        <v>BRANCO</v>
      </c>
      <c r="S3" s="96" t="n">
        <v>6000</v>
      </c>
      <c r="T3" s="262" t="n">
        <f aca="false">0.61*L36/1000</f>
        <v>0.59475</v>
      </c>
      <c r="U3" s="263" t="n">
        <f aca="false">M3*3.61</f>
        <v>3.61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312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0.64*6*K26</f>
        <v>192</v>
      </c>
      <c r="O4" s="266"/>
      <c r="P4" s="267" t="n">
        <f aca="false">N4*M4</f>
        <v>192</v>
      </c>
      <c r="Q4" s="267"/>
      <c r="R4" s="268" t="str">
        <f aca="false">F5</f>
        <v>BRANCO</v>
      </c>
      <c r="S4" s="96" t="n">
        <v>6000</v>
      </c>
      <c r="T4" s="262" t="n">
        <f aca="false">0.64*L37/1000</f>
        <v>0.624</v>
      </c>
      <c r="U4" s="262" t="n">
        <f aca="false">M4*3.84</f>
        <v>3.84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276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0.42*6*K26</f>
        <v>126</v>
      </c>
      <c r="O5" s="266"/>
      <c r="P5" s="267" t="n">
        <f aca="false">N5*M5</f>
        <v>126</v>
      </c>
      <c r="Q5" s="267"/>
      <c r="R5" s="268" t="str">
        <f aca="false">F5</f>
        <v>BRANCO</v>
      </c>
      <c r="S5" s="96" t="n">
        <v>6000</v>
      </c>
      <c r="T5" s="262" t="n">
        <f aca="false">0.42*L38/1000</f>
        <v>0.84</v>
      </c>
      <c r="U5" s="262" t="n">
        <f aca="false">M5*2.52</f>
        <v>2.52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277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0.45*6*K26</f>
        <v>135</v>
      </c>
      <c r="O6" s="266"/>
      <c r="P6" s="267" t="n">
        <f aca="false">N6*M6</f>
        <v>135</v>
      </c>
      <c r="Q6" s="267"/>
      <c r="R6" s="268" t="str">
        <f aca="false">F5</f>
        <v>BRANCO</v>
      </c>
      <c r="S6" s="96" t="n">
        <v>6000</v>
      </c>
      <c r="T6" s="262" t="n">
        <f aca="false">0.45*L39/1000</f>
        <v>0.855</v>
      </c>
      <c r="U6" s="262" t="n">
        <f aca="false">M6*2.7</f>
        <v>2.7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116" t="s">
        <v>313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0.53*6*K26</f>
        <v>159</v>
      </c>
      <c r="O7" s="266"/>
      <c r="P7" s="267" t="n">
        <f aca="false">N7*M7</f>
        <v>159</v>
      </c>
      <c r="Q7" s="267"/>
      <c r="R7" s="268" t="str">
        <f aca="false">F5</f>
        <v>BRANCO</v>
      </c>
      <c r="S7" s="96" t="n">
        <v>6000</v>
      </c>
      <c r="T7" s="262" t="n">
        <f aca="false">0.53*L40/1000</f>
        <v>1.007</v>
      </c>
      <c r="U7" s="262" t="n">
        <f aca="false">M7*3.18</f>
        <v>3.18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279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0.4*6*K26</f>
        <v>120</v>
      </c>
      <c r="O8" s="266"/>
      <c r="P8" s="267" t="n">
        <f aca="false">N8*M8</f>
        <v>120</v>
      </c>
      <c r="Q8" s="267"/>
      <c r="R8" s="268" t="str">
        <f aca="false">F5</f>
        <v>BRANCO</v>
      </c>
      <c r="S8" s="96" t="n">
        <v>6000</v>
      </c>
      <c r="T8" s="262" t="n">
        <f aca="false">0.4*L41/1000</f>
        <v>0.7088</v>
      </c>
      <c r="U8" s="262" t="n">
        <f aca="false">M8*2.4</f>
        <v>2.4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(B7-142)/2</f>
        <v>429</v>
      </c>
      <c r="F9" s="390" t="n">
        <f aca="false">C7-134</f>
        <v>866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274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B7-25</f>
        <v>975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312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975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276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277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C7-50</f>
        <v>950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313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950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279</v>
      </c>
      <c r="B16" s="279" t="s">
        <v>314</v>
      </c>
      <c r="C16" s="279"/>
      <c r="D16" s="279"/>
      <c r="E16" s="24" t="n">
        <f aca="false">D7*4</f>
        <v>4</v>
      </c>
      <c r="F16" s="24" t="n">
        <f aca="false">(B7-114)/2</f>
        <v>443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4.62955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462.955</v>
      </c>
      <c r="N26" s="302"/>
      <c r="O26" s="303" t="n">
        <v>0.1</v>
      </c>
      <c r="P26" s="85" t="n">
        <f aca="false">K30*O26+K30</f>
        <v>254.62525</v>
      </c>
      <c r="Q26" s="85"/>
      <c r="R26" s="85"/>
      <c r="S26" s="181" t="s">
        <v>131</v>
      </c>
      <c r="T26" s="181"/>
      <c r="U26" s="294" t="n">
        <f aca="false">SUM(U3:U24)</f>
        <v>18.25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13.62045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912.5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231.4775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286</v>
      </c>
      <c r="B36" s="426" t="s">
        <v>287</v>
      </c>
      <c r="C36" s="426"/>
      <c r="D36" s="426"/>
      <c r="E36" s="426"/>
      <c r="F36" s="426"/>
      <c r="G36" s="426"/>
      <c r="H36" s="397" t="s">
        <v>64</v>
      </c>
      <c r="I36" s="72" t="n">
        <f aca="false">D7*8</f>
        <v>8</v>
      </c>
      <c r="J36" s="72"/>
      <c r="K36" s="387" t="s">
        <v>274</v>
      </c>
      <c r="L36" s="133" t="n">
        <f aca="false">F11*E11</f>
        <v>975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288</v>
      </c>
      <c r="B37" s="427" t="s">
        <v>289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312</v>
      </c>
      <c r="L37" s="133" t="n">
        <f aca="false">F12*E12</f>
        <v>975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290</v>
      </c>
      <c r="B38" s="427" t="s">
        <v>291</v>
      </c>
      <c r="C38" s="427"/>
      <c r="D38" s="427"/>
      <c r="E38" s="427"/>
      <c r="F38" s="427"/>
      <c r="G38" s="427"/>
      <c r="H38" s="96" t="s">
        <v>46</v>
      </c>
      <c r="I38" s="428" t="n">
        <f aca="false">C7*2*D7</f>
        <v>2000</v>
      </c>
      <c r="J38" s="428"/>
      <c r="K38" s="387" t="s">
        <v>276</v>
      </c>
      <c r="L38" s="133" t="n">
        <f aca="false">F13*E13</f>
        <v>2000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268</v>
      </c>
      <c r="B39" s="427" t="s">
        <v>269</v>
      </c>
      <c r="C39" s="427"/>
      <c r="D39" s="427"/>
      <c r="E39" s="427"/>
      <c r="F39" s="427"/>
      <c r="G39" s="427"/>
      <c r="H39" s="96" t="s">
        <v>46</v>
      </c>
      <c r="I39" s="428" t="n">
        <f aca="false">B7*2+C7*4*D7</f>
        <v>6000</v>
      </c>
      <c r="J39" s="428"/>
      <c r="K39" s="387" t="s">
        <v>277</v>
      </c>
      <c r="L39" s="133" t="n">
        <f aca="false">F14*E14</f>
        <v>1900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292</v>
      </c>
      <c r="B40" s="427" t="s">
        <v>226</v>
      </c>
      <c r="C40" s="427"/>
      <c r="D40" s="427"/>
      <c r="E40" s="427"/>
      <c r="F40" s="427"/>
      <c r="G40" s="427"/>
      <c r="H40" s="96" t="s">
        <v>64</v>
      </c>
      <c r="I40" s="83" t="n">
        <f aca="false">D7*1</f>
        <v>1</v>
      </c>
      <c r="J40" s="83"/>
      <c r="K40" s="387" t="s">
        <v>313</v>
      </c>
      <c r="L40" s="133" t="n">
        <f aca="false">F15*E15</f>
        <v>1900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293</v>
      </c>
      <c r="B41" s="427" t="s">
        <v>230</v>
      </c>
      <c r="C41" s="427"/>
      <c r="D41" s="427"/>
      <c r="E41" s="427"/>
      <c r="F41" s="427"/>
      <c r="G41" s="427"/>
      <c r="H41" s="96" t="s">
        <v>64</v>
      </c>
      <c r="I41" s="83" t="n">
        <f aca="false">D7*1</f>
        <v>1</v>
      </c>
      <c r="J41" s="83"/>
      <c r="K41" s="387" t="s">
        <v>279</v>
      </c>
      <c r="L41" s="133" t="n">
        <f aca="false">F16*E16</f>
        <v>1772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315</v>
      </c>
      <c r="B42" s="427" t="s">
        <v>295</v>
      </c>
      <c r="C42" s="427"/>
      <c r="D42" s="427"/>
      <c r="E42" s="427"/>
      <c r="F42" s="427"/>
      <c r="G42" s="427"/>
      <c r="H42" s="96" t="s">
        <v>64</v>
      </c>
      <c r="I42" s="83" t="n">
        <f aca="false">D7*4</f>
        <v>4</v>
      </c>
      <c r="J42" s="83"/>
      <c r="K42" s="249"/>
      <c r="L42" s="94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296</v>
      </c>
      <c r="B43" s="427" t="s">
        <v>297</v>
      </c>
      <c r="C43" s="427"/>
      <c r="D43" s="427"/>
      <c r="E43" s="427"/>
      <c r="F43" s="427"/>
      <c r="G43" s="427"/>
      <c r="H43" s="96" t="s">
        <v>64</v>
      </c>
      <c r="I43" s="428" t="n">
        <f aca="false">D7*8</f>
        <v>8</v>
      </c>
      <c r="J43" s="428"/>
      <c r="K43" s="249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298</v>
      </c>
      <c r="B44" s="427" t="s">
        <v>299</v>
      </c>
      <c r="C44" s="427"/>
      <c r="D44" s="427"/>
      <c r="E44" s="427"/>
      <c r="F44" s="427"/>
      <c r="G44" s="427"/>
      <c r="H44" s="96" t="s">
        <v>64</v>
      </c>
      <c r="I44" s="428" t="n">
        <f aca="false">D7*8</f>
        <v>8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300</v>
      </c>
      <c r="B45" s="427" t="s">
        <v>301</v>
      </c>
      <c r="C45" s="427"/>
      <c r="D45" s="427"/>
      <c r="E45" s="427"/>
      <c r="F45" s="427"/>
      <c r="G45" s="427"/>
      <c r="H45" s="96" t="s">
        <v>64</v>
      </c>
      <c r="I45" s="428" t="n">
        <f aca="false">D7*16</f>
        <v>16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 t="s">
        <v>302</v>
      </c>
      <c r="B46" s="431" t="s">
        <v>303</v>
      </c>
      <c r="C46" s="431"/>
      <c r="D46" s="431"/>
      <c r="E46" s="431"/>
      <c r="F46" s="431"/>
      <c r="G46" s="431"/>
      <c r="H46" s="96" t="s">
        <v>64</v>
      </c>
      <c r="I46" s="428" t="n">
        <f aca="false">D7*2</f>
        <v>2</v>
      </c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 t="s">
        <v>304</v>
      </c>
      <c r="B47" s="431" t="s">
        <v>305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 t="s">
        <v>306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D7*2</f>
        <v>2</v>
      </c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 t="s">
        <v>266</v>
      </c>
      <c r="B49" s="431" t="s">
        <v>267</v>
      </c>
      <c r="C49" s="431"/>
      <c r="D49" s="431"/>
      <c r="E49" s="431"/>
      <c r="F49" s="431"/>
      <c r="G49" s="431"/>
      <c r="H49" s="96" t="s">
        <v>46</v>
      </c>
      <c r="I49" s="428" t="n">
        <f aca="false">C7*6+B7*4*D7</f>
        <v>10000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  <c r="S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  <c r="S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  <c r="S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  <c r="S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4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1" activeCellId="0" sqref="AC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5.42"/>
    <col collapsed="false" customWidth="true" hidden="false" outlineLevel="0" max="19" min="19" style="1" width="7.86"/>
    <col collapsed="false" customWidth="true" hidden="false" outlineLevel="0" max="20" min="20" style="1" width="9.57"/>
    <col collapsed="false" customWidth="true" hidden="false" outlineLevel="0" max="21" min="21" style="1" width="10.29"/>
    <col collapsed="false" customWidth="true" hidden="false" outlineLevel="0" max="22" min="22" style="1" width="9.57"/>
  </cols>
  <sheetData>
    <row r="1" customFormat="false" ht="20.25" hidden="false" customHeight="true" outlineLevel="0" collapsed="false">
      <c r="A1" s="2" t="s">
        <v>273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317</v>
      </c>
      <c r="L3" s="257" t="n">
        <f aca="false">IF(T14&gt;6000,T14/6000,1)</f>
        <v>1</v>
      </c>
      <c r="M3" s="258" t="n">
        <f aca="false">ROUNDUP(L3,0)</f>
        <v>1</v>
      </c>
      <c r="N3" s="259" t="n">
        <f aca="false">0.6*6*K26</f>
        <v>180</v>
      </c>
      <c r="O3" s="259"/>
      <c r="P3" s="260" t="n">
        <f aca="false">N3*M3</f>
        <v>180</v>
      </c>
      <c r="Q3" s="260"/>
      <c r="R3" s="261" t="str">
        <f aca="false">F5</f>
        <v>BRANCO</v>
      </c>
      <c r="S3" s="96" t="n">
        <v>6000</v>
      </c>
      <c r="T3" s="439" t="n">
        <f aca="false">0.6*T14/1000</f>
        <v>1.182</v>
      </c>
      <c r="U3" s="440" t="n">
        <f aca="false">M3*3.6</f>
        <v>3.6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318</v>
      </c>
      <c r="L4" s="265" t="n">
        <f aca="false">IF(T15&gt;6000,T15/6000,1)</f>
        <v>1</v>
      </c>
      <c r="M4" s="154" t="n">
        <f aca="false">ROUNDUP(L4,0)</f>
        <v>1</v>
      </c>
      <c r="N4" s="266" t="n">
        <f aca="false">0.59*6*K26</f>
        <v>177</v>
      </c>
      <c r="O4" s="266"/>
      <c r="P4" s="267" t="n">
        <f aca="false">N4*M4</f>
        <v>177</v>
      </c>
      <c r="Q4" s="267"/>
      <c r="R4" s="268" t="str">
        <f aca="false">F5</f>
        <v>BRANCO</v>
      </c>
      <c r="S4" s="96" t="n">
        <v>6000</v>
      </c>
      <c r="T4" s="439" t="n">
        <f aca="false">0.59*T15/1000</f>
        <v>1.1623</v>
      </c>
      <c r="U4" s="439" t="n">
        <f aca="false">M4*3.54</f>
        <v>3.54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319</v>
      </c>
      <c r="L5" s="265" t="n">
        <f aca="false">IF(T16&gt;6000,T16/6000,1)</f>
        <v>1</v>
      </c>
      <c r="M5" s="154" t="n">
        <f aca="false">ROUNDUP(L5,0)</f>
        <v>1</v>
      </c>
      <c r="N5" s="266" t="n">
        <f aca="false">0.4*6*K26</f>
        <v>120</v>
      </c>
      <c r="O5" s="266"/>
      <c r="P5" s="267" t="n">
        <f aca="false">N5*M5</f>
        <v>120</v>
      </c>
      <c r="Q5" s="267"/>
      <c r="R5" s="268" t="str">
        <f aca="false">F5</f>
        <v>BRANCO</v>
      </c>
      <c r="S5" s="96" t="n">
        <v>6000</v>
      </c>
      <c r="T5" s="439" t="n">
        <f aca="false">0.4*T16/1000</f>
        <v>1.68</v>
      </c>
      <c r="U5" s="439" t="n">
        <f aca="false">M5*2.4</f>
        <v>2.4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320</v>
      </c>
      <c r="L6" s="265" t="n">
        <f aca="false">IF(T17&gt;6000,T17/6000,1)</f>
        <v>1.37333333333333</v>
      </c>
      <c r="M6" s="154" t="n">
        <f aca="false">ROUNDUP(L6,0)</f>
        <v>2</v>
      </c>
      <c r="N6" s="266" t="n">
        <f aca="false">0.51*4.6*K26</f>
        <v>117.3</v>
      </c>
      <c r="O6" s="266"/>
      <c r="P6" s="267" t="n">
        <f aca="false">N6*M6</f>
        <v>234.6</v>
      </c>
      <c r="Q6" s="267"/>
      <c r="R6" s="268" t="str">
        <f aca="false">F5</f>
        <v>BRANCO</v>
      </c>
      <c r="S6" s="96" t="n">
        <v>4600</v>
      </c>
      <c r="T6" s="439" t="n">
        <f aca="false">0.51*T17/1000</f>
        <v>4.2024</v>
      </c>
      <c r="U6" s="439" t="n">
        <f aca="false">M6*2.346</f>
        <v>4.692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116" t="s">
        <v>321</v>
      </c>
      <c r="L7" s="265" t="n">
        <f aca="false">IF(T18&gt;6000,T18/6000,1)</f>
        <v>1</v>
      </c>
      <c r="M7" s="154" t="n">
        <f aca="false">ROUNDUP(L7,0)</f>
        <v>1</v>
      </c>
      <c r="N7" s="266" t="n">
        <f aca="false">0.546*4.6*K26</f>
        <v>125.58</v>
      </c>
      <c r="O7" s="266"/>
      <c r="P7" s="267" t="n">
        <f aca="false">N7*M7</f>
        <v>125.58</v>
      </c>
      <c r="Q7" s="267"/>
      <c r="R7" s="268" t="str">
        <f aca="false">F5</f>
        <v>BRANCO</v>
      </c>
      <c r="S7" s="96" t="n">
        <v>4600</v>
      </c>
      <c r="T7" s="439" t="n">
        <f aca="false">0.546*T18/1000</f>
        <v>2.24952</v>
      </c>
      <c r="U7" s="439" t="n">
        <f aca="false">M7*2.511</f>
        <v>2.511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D7*8</f>
        <v>8</v>
      </c>
      <c r="G8" s="270"/>
      <c r="H8" s="270"/>
      <c r="I8" s="270"/>
      <c r="J8" s="270"/>
      <c r="K8" s="116" t="s">
        <v>322</v>
      </c>
      <c r="L8" s="265" t="n">
        <f aca="false">IF(T19&gt;6000,T19/6000,1)</f>
        <v>1</v>
      </c>
      <c r="M8" s="154" t="n">
        <f aca="false">ROUNDUP(L8,0)</f>
        <v>1</v>
      </c>
      <c r="N8" s="266" t="n">
        <f aca="false">0.728*4.6*K26</f>
        <v>167.44</v>
      </c>
      <c r="O8" s="266"/>
      <c r="P8" s="267" t="n">
        <f aca="false">N8*M8</f>
        <v>167.44</v>
      </c>
      <c r="Q8" s="267"/>
      <c r="R8" s="268" t="str">
        <f aca="false">F5</f>
        <v>BRANCO</v>
      </c>
      <c r="S8" s="96" t="n">
        <v>4600</v>
      </c>
      <c r="T8" s="439" t="n">
        <f aca="false">0.728*T19/1000</f>
        <v>2.99936</v>
      </c>
      <c r="U8" s="439" t="n">
        <f aca="false">M8*3.348</f>
        <v>3.348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(B7-280)/4</f>
        <v>430</v>
      </c>
      <c r="F9" s="390" t="n">
        <f aca="false">(C7-207)/2</f>
        <v>946.5</v>
      </c>
      <c r="G9" s="270"/>
      <c r="H9" s="270"/>
      <c r="I9" s="270"/>
      <c r="J9" s="270"/>
      <c r="K9" s="116" t="s">
        <v>323</v>
      </c>
      <c r="L9" s="265" t="n">
        <f aca="false">IF(T20&gt;6000,T20/6000,1)</f>
        <v>1</v>
      </c>
      <c r="M9" s="154" t="n">
        <f aca="false">ROUNDUP(L9,0)</f>
        <v>1</v>
      </c>
      <c r="N9" s="266" t="n">
        <f aca="false">0.4*6*K26</f>
        <v>120</v>
      </c>
      <c r="O9" s="266"/>
      <c r="P9" s="267" t="n">
        <f aca="false">N9*M9</f>
        <v>120</v>
      </c>
      <c r="Q9" s="267"/>
      <c r="R9" s="268" t="str">
        <f aca="false">F5</f>
        <v>BRANCO</v>
      </c>
      <c r="S9" s="96" t="n">
        <v>6000</v>
      </c>
      <c r="T9" s="439" t="n">
        <f aca="false">0.4*T20/1000</f>
        <v>0.688</v>
      </c>
      <c r="U9" s="439" t="n">
        <f aca="false">M9*2.4</f>
        <v>2.4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324</v>
      </c>
      <c r="L10" s="265" t="n">
        <f aca="false">IF(T21&gt;6000,T21/6000,1)</f>
        <v>1</v>
      </c>
      <c r="M10" s="154" t="n">
        <f aca="false">ROUNDUP(L10,0)</f>
        <v>1</v>
      </c>
      <c r="N10" s="277" t="n">
        <f aca="false">0.977*6*K26</f>
        <v>293.1</v>
      </c>
      <c r="O10" s="277"/>
      <c r="P10" s="267" t="n">
        <f aca="false">N10*M10</f>
        <v>293.1</v>
      </c>
      <c r="Q10" s="267"/>
      <c r="R10" s="268" t="str">
        <f aca="false">F5</f>
        <v>BRANCO</v>
      </c>
      <c r="S10" s="96" t="n">
        <v>6000</v>
      </c>
      <c r="T10" s="439" t="n">
        <f aca="false">0.977*T21/1000</f>
        <v>1.68044</v>
      </c>
      <c r="U10" s="439" t="n">
        <f aca="false">M10*5.862</f>
        <v>5.862</v>
      </c>
    </row>
    <row r="11" customFormat="false" ht="25.5" hidden="false" customHeight="true" outlineLevel="0" collapsed="false">
      <c r="A11" s="67" t="s">
        <v>317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1970</v>
      </c>
      <c r="G11" s="69"/>
      <c r="H11" s="72" t="s">
        <v>17</v>
      </c>
      <c r="I11" s="72"/>
      <c r="J11" s="72" t="s">
        <v>42</v>
      </c>
      <c r="K11" s="116" t="s">
        <v>325</v>
      </c>
      <c r="L11" s="265" t="n">
        <f aca="false">IF(T22&gt;6000,T22/6000,1)</f>
        <v>1</v>
      </c>
      <c r="M11" s="154" t="n">
        <f aca="false">ROUNDUP(L11,0)</f>
        <v>1</v>
      </c>
      <c r="N11" s="266" t="n">
        <f aca="false">0.615*6*K26</f>
        <v>184.5</v>
      </c>
      <c r="O11" s="266"/>
      <c r="P11" s="267" t="n">
        <f aca="false">N11*M11</f>
        <v>184.5</v>
      </c>
      <c r="Q11" s="267"/>
      <c r="R11" s="268" t="str">
        <f aca="false">F5</f>
        <v>BRANCO</v>
      </c>
      <c r="S11" s="96" t="n">
        <v>6000</v>
      </c>
      <c r="T11" s="439" t="n">
        <f aca="false">0.615*T22/1000</f>
        <v>1.0578</v>
      </c>
      <c r="U11" s="439" t="n">
        <f aca="false">M11*3.69</f>
        <v>3.69</v>
      </c>
    </row>
    <row r="12" customFormat="false" ht="25.5" hidden="false" customHeight="true" outlineLevel="0" collapsed="false">
      <c r="A12" s="79" t="s">
        <v>318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1970</v>
      </c>
      <c r="G12" s="97"/>
      <c r="H12" s="83" t="s">
        <v>17</v>
      </c>
      <c r="I12" s="83"/>
      <c r="J12" s="83" t="s">
        <v>42</v>
      </c>
      <c r="K12" s="116" t="s">
        <v>326</v>
      </c>
      <c r="L12" s="265" t="n">
        <f aca="false">IF(T23&gt;6000,T23/6000,1)</f>
        <v>3.63333333333333</v>
      </c>
      <c r="M12" s="154" t="n">
        <f aca="false">ROUNDUP(L12,0)</f>
        <v>4</v>
      </c>
      <c r="N12" s="266" t="n">
        <f aca="false">0.11*6*K26</f>
        <v>33</v>
      </c>
      <c r="O12" s="266"/>
      <c r="P12" s="267" t="n">
        <f aca="false">N12*M12</f>
        <v>132</v>
      </c>
      <c r="Q12" s="267"/>
      <c r="R12" s="268" t="str">
        <f aca="false">F5</f>
        <v>BRANCO</v>
      </c>
      <c r="S12" s="96" t="n">
        <v>6000</v>
      </c>
      <c r="T12" s="439" t="n">
        <f aca="false">0.11*T23/1000</f>
        <v>2.398</v>
      </c>
      <c r="U12" s="439" t="n">
        <f aca="false">M12*0.66</f>
        <v>2.64</v>
      </c>
    </row>
    <row r="13" customFormat="false" ht="25.5" hidden="false" customHeight="true" outlineLevel="0" collapsed="false">
      <c r="A13" s="79" t="s">
        <v>319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 t="s">
        <v>327</v>
      </c>
      <c r="L13" s="265" t="n">
        <f aca="false">IF(T24&gt;6000,T24/6000,1)</f>
        <v>1</v>
      </c>
      <c r="M13" s="154" t="n">
        <f aca="false">ROUNDUP(L13,0)</f>
        <v>1</v>
      </c>
      <c r="N13" s="266" t="n">
        <f aca="false">0.2*6*K26</f>
        <v>60</v>
      </c>
      <c r="O13" s="266"/>
      <c r="P13" s="267" t="n">
        <f aca="false">N13*M13</f>
        <v>60</v>
      </c>
      <c r="Q13" s="267"/>
      <c r="R13" s="268" t="str">
        <f aca="false">F5</f>
        <v>BRANCO</v>
      </c>
      <c r="S13" s="96" t="n">
        <v>6000</v>
      </c>
      <c r="T13" s="441" t="n">
        <f aca="false">0.2*T24/1000</f>
        <v>0.412</v>
      </c>
      <c r="U13" s="441" t="n">
        <f aca="false">M13*1.2</f>
        <v>1.2</v>
      </c>
    </row>
    <row r="14" customFormat="false" ht="25.5" hidden="false" customHeight="true" outlineLevel="0" collapsed="false">
      <c r="A14" s="79" t="s">
        <v>320</v>
      </c>
      <c r="B14" s="279" t="s">
        <v>281</v>
      </c>
      <c r="C14" s="279"/>
      <c r="D14" s="279"/>
      <c r="E14" s="24" t="n">
        <f aca="false">D7*4</f>
        <v>4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442"/>
      <c r="T14" s="443" t="n">
        <f aca="false">F11*E11</f>
        <v>1970</v>
      </c>
      <c r="U14" s="444" t="s">
        <v>317</v>
      </c>
    </row>
    <row r="15" customFormat="false" ht="25.5" hidden="false" customHeight="true" outlineLevel="0" collapsed="false">
      <c r="A15" s="79" t="s">
        <v>318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2060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442"/>
      <c r="T15" s="443" t="n">
        <f aca="false">F12*E12</f>
        <v>1970</v>
      </c>
      <c r="U15" s="444" t="s">
        <v>318</v>
      </c>
    </row>
    <row r="16" customFormat="false" ht="25.5" hidden="false" customHeight="true" outlineLevel="0" collapsed="false">
      <c r="A16" s="79" t="s">
        <v>322</v>
      </c>
      <c r="B16" s="279" t="s">
        <v>281</v>
      </c>
      <c r="C16" s="279"/>
      <c r="D16" s="279"/>
      <c r="E16" s="24" t="n">
        <f aca="false">D7*2</f>
        <v>2</v>
      </c>
      <c r="F16" s="24" t="n">
        <f aca="false">F14</f>
        <v>2060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442"/>
      <c r="T16" s="443" t="n">
        <f aca="false">F13*E13</f>
        <v>4200</v>
      </c>
      <c r="U16" s="444" t="s">
        <v>319</v>
      </c>
    </row>
    <row r="17" customFormat="false" ht="25.5" hidden="false" customHeight="true" outlineLevel="0" collapsed="false">
      <c r="A17" s="79" t="s">
        <v>323</v>
      </c>
      <c r="B17" s="279" t="s">
        <v>282</v>
      </c>
      <c r="C17" s="279"/>
      <c r="D17" s="279"/>
      <c r="E17" s="24" t="n">
        <f aca="false">D7*4</f>
        <v>4</v>
      </c>
      <c r="F17" s="24" t="n">
        <f aca="false">(B7-280)/4</f>
        <v>430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442"/>
      <c r="T17" s="443" t="n">
        <f aca="false">F14*E14</f>
        <v>8240</v>
      </c>
      <c r="U17" s="444" t="s">
        <v>320</v>
      </c>
    </row>
    <row r="18" customFormat="false" ht="25.5" hidden="false" customHeight="true" outlineLevel="0" collapsed="false">
      <c r="A18" s="79" t="s">
        <v>324</v>
      </c>
      <c r="B18" s="279" t="s">
        <v>283</v>
      </c>
      <c r="C18" s="279"/>
      <c r="D18" s="279"/>
      <c r="E18" s="24" t="n">
        <f aca="false">D7*4</f>
        <v>4</v>
      </c>
      <c r="F18" s="24" t="n">
        <f aca="false">F17</f>
        <v>430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442"/>
      <c r="T18" s="443" t="n">
        <f aca="false">F15*E15</f>
        <v>4120</v>
      </c>
      <c r="U18" s="444" t="s">
        <v>318</v>
      </c>
    </row>
    <row r="19" customFormat="false" ht="22.5" hidden="false" customHeight="true" outlineLevel="0" collapsed="false">
      <c r="A19" s="79" t="s">
        <v>325</v>
      </c>
      <c r="B19" s="279" t="s">
        <v>248</v>
      </c>
      <c r="C19" s="279"/>
      <c r="D19" s="279"/>
      <c r="E19" s="24" t="n">
        <f aca="false">D7*4</f>
        <v>4</v>
      </c>
      <c r="F19" s="24" t="n">
        <f aca="false">F17</f>
        <v>430</v>
      </c>
      <c r="G19" s="24"/>
      <c r="H19" s="83" t="s">
        <v>17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442"/>
      <c r="T19" s="443" t="n">
        <f aca="false">F16*E16</f>
        <v>4120</v>
      </c>
      <c r="U19" s="444" t="s">
        <v>322</v>
      </c>
    </row>
    <row r="20" customFormat="false" ht="22.5" hidden="false" customHeight="true" outlineLevel="0" collapsed="false">
      <c r="A20" s="79" t="s">
        <v>328</v>
      </c>
      <c r="B20" s="279" t="s">
        <v>203</v>
      </c>
      <c r="C20" s="279"/>
      <c r="D20" s="279"/>
      <c r="E20" s="46" t="n">
        <f aca="false">D7*16</f>
        <v>16</v>
      </c>
      <c r="F20" s="24" t="n">
        <f aca="false">F17</f>
        <v>430</v>
      </c>
      <c r="G20" s="24"/>
      <c r="H20" s="83" t="s">
        <v>17</v>
      </c>
      <c r="I20" s="83"/>
      <c r="J20" s="83" t="s">
        <v>329</v>
      </c>
      <c r="K20" s="268"/>
      <c r="L20" s="283"/>
      <c r="M20" s="232"/>
      <c r="N20" s="268"/>
      <c r="O20" s="280"/>
      <c r="P20" s="40"/>
      <c r="Q20" s="40"/>
      <c r="R20" s="268"/>
      <c r="S20" s="442"/>
      <c r="T20" s="443" t="n">
        <f aca="false">F17*E17</f>
        <v>1720</v>
      </c>
      <c r="U20" s="444" t="s">
        <v>323</v>
      </c>
    </row>
    <row r="21" customFormat="false" ht="21" hidden="false" customHeight="true" outlineLevel="0" collapsed="false">
      <c r="A21" s="79" t="s">
        <v>326</v>
      </c>
      <c r="B21" s="80" t="s">
        <v>203</v>
      </c>
      <c r="C21" s="80"/>
      <c r="D21" s="80"/>
      <c r="E21" s="46" t="n">
        <f aca="false">D7*16</f>
        <v>16</v>
      </c>
      <c r="F21" s="24" t="n">
        <f aca="false">(C7-235)/2</f>
        <v>932.5</v>
      </c>
      <c r="G21" s="24"/>
      <c r="H21" s="28" t="s">
        <v>18</v>
      </c>
      <c r="I21" s="28"/>
      <c r="J21" s="83" t="s">
        <v>330</v>
      </c>
      <c r="K21" s="268"/>
      <c r="L21" s="283"/>
      <c r="M21" s="232"/>
      <c r="N21" s="268"/>
      <c r="O21" s="280"/>
      <c r="P21" s="40"/>
      <c r="Q21" s="40"/>
      <c r="R21" s="268"/>
      <c r="S21" s="442"/>
      <c r="T21" s="443" t="n">
        <f aca="false">F18*E18</f>
        <v>1720</v>
      </c>
      <c r="U21" s="444" t="s">
        <v>324</v>
      </c>
    </row>
    <row r="22" customFormat="false" ht="26.25" hidden="false" customHeight="true" outlineLevel="0" collapsed="false">
      <c r="A22" s="79" t="s">
        <v>327</v>
      </c>
      <c r="B22" s="80" t="s">
        <v>196</v>
      </c>
      <c r="C22" s="80"/>
      <c r="D22" s="80"/>
      <c r="E22" s="46" t="n">
        <f aca="false">D7*1</f>
        <v>1</v>
      </c>
      <c r="F22" s="24" t="n">
        <f aca="false">F16</f>
        <v>2060</v>
      </c>
      <c r="G22" s="24"/>
      <c r="H22" s="83" t="s">
        <v>18</v>
      </c>
      <c r="I22" s="83"/>
      <c r="J22" s="83" t="s">
        <v>42</v>
      </c>
      <c r="K22" s="268"/>
      <c r="L22" s="283"/>
      <c r="M22" s="232"/>
      <c r="N22" s="268"/>
      <c r="O22" s="280"/>
      <c r="P22" s="40"/>
      <c r="Q22" s="40"/>
      <c r="R22" s="268"/>
      <c r="S22" s="442"/>
      <c r="T22" s="443" t="n">
        <f aca="false">F19*E19</f>
        <v>1720</v>
      </c>
      <c r="U22" s="444" t="s">
        <v>325</v>
      </c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442"/>
      <c r="T23" s="443" t="n">
        <f aca="false">F20*E20+E21*F21</f>
        <v>21800</v>
      </c>
      <c r="U23" s="444" t="s">
        <v>326</v>
      </c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445"/>
      <c r="T24" s="446" t="n">
        <f aca="false">F22*E22</f>
        <v>2060</v>
      </c>
      <c r="U24" s="447" t="s">
        <v>327</v>
      </c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448" t="n">
        <f aca="false">SUM(T3:T13)</f>
        <v>19.71182</v>
      </c>
      <c r="V25" s="90"/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1971.182</v>
      </c>
      <c r="N26" s="302"/>
      <c r="O26" s="303" t="n">
        <v>0.1</v>
      </c>
      <c r="P26" s="85" t="n">
        <f aca="false">K30*O26+K30</f>
        <v>1084.1501</v>
      </c>
      <c r="Q26" s="85"/>
      <c r="R26" s="85"/>
      <c r="S26" s="181" t="s">
        <v>131</v>
      </c>
      <c r="T26" s="181"/>
      <c r="U26" s="294" t="n">
        <f aca="false">SUM(U3:U24)</f>
        <v>35.883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449" t="n">
        <f aca="false">U26-U25</f>
        <v>16.17118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1794.15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985.591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331</v>
      </c>
      <c r="B36" s="426" t="s">
        <v>332</v>
      </c>
      <c r="C36" s="426"/>
      <c r="D36" s="426"/>
      <c r="E36" s="426"/>
      <c r="F36" s="426"/>
      <c r="G36" s="426"/>
      <c r="H36" s="397" t="s">
        <v>64</v>
      </c>
      <c r="I36" s="72" t="n">
        <f aca="false">D7*8</f>
        <v>8</v>
      </c>
      <c r="J36" s="72"/>
      <c r="K36" s="249"/>
      <c r="L36" s="94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249"/>
      <c r="L37" s="94"/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D7*8</f>
        <v>8</v>
      </c>
      <c r="J38" s="83"/>
      <c r="K38" s="249"/>
      <c r="L38" s="94"/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D7*16</f>
        <v>16</v>
      </c>
      <c r="J39" s="83"/>
      <c r="K39" s="249"/>
      <c r="L39" s="94"/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D7*28</f>
        <v>28</v>
      </c>
      <c r="J40" s="83"/>
      <c r="K40" s="249"/>
      <c r="L40" s="94"/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D7*40</f>
        <v>40</v>
      </c>
      <c r="J41" s="83"/>
      <c r="K41" s="249"/>
      <c r="L41" s="94"/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B7*2+C7*2*D7</f>
        <v>8200</v>
      </c>
      <c r="J42" s="83"/>
      <c r="K42" s="249"/>
      <c r="L42" s="94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4200</v>
      </c>
      <c r="J43" s="428"/>
      <c r="K43" s="249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B7*4+C7*4*D7</f>
        <v>16400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349</v>
      </c>
      <c r="B45" s="427" t="s">
        <v>350</v>
      </c>
      <c r="C45" s="427"/>
      <c r="D45" s="427"/>
      <c r="E45" s="427"/>
      <c r="F45" s="427"/>
      <c r="G45" s="427"/>
      <c r="H45" s="96" t="s">
        <v>46</v>
      </c>
      <c r="I45" s="428" t="n">
        <f aca="false">C7*1</f>
        <v>2100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351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352</v>
      </c>
      <c r="L3" s="257" t="n">
        <f aca="false">IF(L36&gt;6000,L36/6000,1)</f>
        <v>1.92</v>
      </c>
      <c r="M3" s="258" t="n">
        <f aca="false">ROUNDUP(L3,0)</f>
        <v>2</v>
      </c>
      <c r="N3" s="259" t="n">
        <f aca="false">0.35*6*K26</f>
        <v>63</v>
      </c>
      <c r="O3" s="259"/>
      <c r="P3" s="260" t="n">
        <f aca="false">N3*M3</f>
        <v>126</v>
      </c>
      <c r="Q3" s="260"/>
      <c r="R3" s="261" t="str">
        <f aca="false">F5</f>
        <v>BRANCO</v>
      </c>
      <c r="S3" s="96" t="n">
        <v>6000</v>
      </c>
      <c r="T3" s="262" t="n">
        <f aca="false">0.35*L36/1000</f>
        <v>4.032</v>
      </c>
      <c r="U3" s="263" t="n">
        <f aca="false">M3*2.1</f>
        <v>4.2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353</v>
      </c>
      <c r="L4" s="265" t="n">
        <f aca="false">IF(L37&gt;6000,L37/6000,1)</f>
        <v>2</v>
      </c>
      <c r="M4" s="154" t="n">
        <f aca="false">ROUNDUP(L4,0)</f>
        <v>2</v>
      </c>
      <c r="N4" s="266" t="n">
        <f aca="false">0.29*6*K26</f>
        <v>52.2</v>
      </c>
      <c r="O4" s="266"/>
      <c r="P4" s="267" t="n">
        <f aca="false">N4*M4</f>
        <v>104.4</v>
      </c>
      <c r="Q4" s="267"/>
      <c r="R4" s="268" t="str">
        <f aca="false">F5</f>
        <v>BRANCO</v>
      </c>
      <c r="S4" s="96" t="n">
        <v>6000</v>
      </c>
      <c r="T4" s="262" t="n">
        <f aca="false">0.29*L37/1000</f>
        <v>3.48</v>
      </c>
      <c r="U4" s="262" t="n">
        <f aca="false">M4*1.74</f>
        <v>3.48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354</v>
      </c>
      <c r="L5" s="265" t="n">
        <f aca="false">IF(L38&gt;6000,L38/6000,1)</f>
        <v>1.83</v>
      </c>
      <c r="M5" s="154" t="n">
        <f aca="false">ROUNDUP(L5,0)</f>
        <v>2</v>
      </c>
      <c r="N5" s="266" t="n">
        <f aca="false">0.31*6*K26</f>
        <v>55.8</v>
      </c>
      <c r="O5" s="266"/>
      <c r="P5" s="267" t="n">
        <f aca="false">N5*M5</f>
        <v>111.6</v>
      </c>
      <c r="Q5" s="267"/>
      <c r="R5" s="268" t="str">
        <f aca="false">F5</f>
        <v>BRANCO</v>
      </c>
      <c r="S5" s="96" t="n">
        <v>6000</v>
      </c>
      <c r="T5" s="262" t="n">
        <f aca="false">0.31*L38/1000</f>
        <v>3.4038</v>
      </c>
      <c r="U5" s="262" t="n">
        <f aca="false">M5*1.86</f>
        <v>3.72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355</v>
      </c>
      <c r="L6" s="265" t="n">
        <f aca="false">IF(L39&gt;6000,L39/6000,1)</f>
        <v>1.9</v>
      </c>
      <c r="M6" s="154" t="n">
        <f aca="false">ROUNDUP(L6,0)</f>
        <v>2</v>
      </c>
      <c r="N6" s="266" t="n">
        <f aca="false">0.41*6*K26</f>
        <v>73.8</v>
      </c>
      <c r="O6" s="266"/>
      <c r="P6" s="267" t="n">
        <f aca="false">N6*M6</f>
        <v>147.6</v>
      </c>
      <c r="Q6" s="267"/>
      <c r="R6" s="268" t="str">
        <f aca="false">F5</f>
        <v>BRANCO</v>
      </c>
      <c r="S6" s="96" t="n">
        <v>6000</v>
      </c>
      <c r="T6" s="262" t="n">
        <f aca="false">0.41*L39/1000</f>
        <v>4.674</v>
      </c>
      <c r="U6" s="262" t="n">
        <f aca="false">M6*2.46</f>
        <v>4.92</v>
      </c>
    </row>
    <row r="7" customFormat="false" ht="27" hidden="false" customHeight="true" outlineLevel="0" collapsed="false">
      <c r="A7" s="271" t="n">
        <v>800</v>
      </c>
      <c r="B7" s="272" t="n">
        <v>1000</v>
      </c>
      <c r="C7" s="272" t="n">
        <v>1000</v>
      </c>
      <c r="D7" s="272" t="n">
        <v>6</v>
      </c>
      <c r="E7" s="276" t="n">
        <f aca="false">(B7*C7)/10^6</f>
        <v>1</v>
      </c>
      <c r="F7" s="276"/>
      <c r="G7" s="270"/>
      <c r="H7" s="270"/>
      <c r="I7" s="270"/>
      <c r="J7" s="270"/>
      <c r="K7" s="116" t="s">
        <v>356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0.195*6*K26</f>
        <v>35.1</v>
      </c>
      <c r="O7" s="266"/>
      <c r="P7" s="267" t="n">
        <f aca="false">N7*M7</f>
        <v>35.1</v>
      </c>
      <c r="Q7" s="267"/>
      <c r="R7" s="268" t="str">
        <f aca="false">F5</f>
        <v>BRANCO</v>
      </c>
      <c r="S7" s="96" t="n">
        <v>6000</v>
      </c>
      <c r="T7" s="262" t="n">
        <f aca="false">0.35*L40/1000</f>
        <v>2.1</v>
      </c>
      <c r="U7" s="262" t="n">
        <f aca="false">M7*1.17</f>
        <v>1.17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800</v>
      </c>
      <c r="D8" s="274"/>
      <c r="E8" s="20" t="s">
        <v>16</v>
      </c>
      <c r="F8" s="39" t="n">
        <f aca="false">D7*1</f>
        <v>6</v>
      </c>
      <c r="G8" s="270"/>
      <c r="H8" s="270"/>
      <c r="I8" s="270"/>
      <c r="J8" s="270"/>
      <c r="K8" s="116" t="s">
        <v>357</v>
      </c>
      <c r="L8" s="265" t="n">
        <f aca="false">IF(L41&gt;6000,L41/6000,1)</f>
        <v>3.72</v>
      </c>
      <c r="M8" s="154" t="n">
        <f aca="false">ROUNDUP(L8,0)</f>
        <v>4</v>
      </c>
      <c r="N8" s="266" t="n">
        <f aca="false">0.117*6*K26</f>
        <v>21.06</v>
      </c>
      <c r="O8" s="266"/>
      <c r="P8" s="267" t="n">
        <f aca="false">N8*M8</f>
        <v>84.24</v>
      </c>
      <c r="Q8" s="267"/>
      <c r="R8" s="268" t="str">
        <f aca="false">F5</f>
        <v>BRANCO</v>
      </c>
      <c r="S8" s="96" t="n">
        <v>6000</v>
      </c>
      <c r="T8" s="262" t="n">
        <f aca="false">0.117*L41/1000</f>
        <v>2.61144</v>
      </c>
      <c r="U8" s="262" t="n">
        <f aca="false">M8*0.702</f>
        <v>2.808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4800</v>
      </c>
      <c r="D9" s="275"/>
      <c r="E9" s="389" t="n">
        <f aca="false">B7-90</f>
        <v>910</v>
      </c>
      <c r="F9" s="390" t="n">
        <f aca="false">C7-90</f>
        <v>910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352</v>
      </c>
      <c r="B11" s="278" t="s">
        <v>187</v>
      </c>
      <c r="C11" s="278"/>
      <c r="D11" s="278"/>
      <c r="E11" s="15" t="n">
        <f aca="false">D7*2</f>
        <v>12</v>
      </c>
      <c r="F11" s="69" t="n">
        <f aca="false">B7-40</f>
        <v>960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353</v>
      </c>
      <c r="B12" s="279" t="s">
        <v>192</v>
      </c>
      <c r="C12" s="279"/>
      <c r="D12" s="279"/>
      <c r="E12" s="24" t="n">
        <f aca="false">D7*2</f>
        <v>12</v>
      </c>
      <c r="F12" s="97" t="n">
        <f aca="false">C7</f>
        <v>1000</v>
      </c>
      <c r="G12" s="97"/>
      <c r="H12" s="83" t="s">
        <v>18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354</v>
      </c>
      <c r="B13" s="279" t="s">
        <v>358</v>
      </c>
      <c r="C13" s="279"/>
      <c r="D13" s="279"/>
      <c r="E13" s="24" t="n">
        <f aca="false">D7*2</f>
        <v>12</v>
      </c>
      <c r="F13" s="97" t="n">
        <f aca="false">B7-85</f>
        <v>915</v>
      </c>
      <c r="G13" s="97"/>
      <c r="H13" s="83" t="s">
        <v>17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355</v>
      </c>
      <c r="B14" s="279" t="s">
        <v>359</v>
      </c>
      <c r="C14" s="279"/>
      <c r="D14" s="279"/>
      <c r="E14" s="24" t="n">
        <f aca="false">D7*2</f>
        <v>12</v>
      </c>
      <c r="F14" s="24" t="n">
        <f aca="false">C7-50</f>
        <v>950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356</v>
      </c>
      <c r="B15" s="279" t="s">
        <v>360</v>
      </c>
      <c r="C15" s="279"/>
      <c r="D15" s="279"/>
      <c r="E15" s="46" t="n">
        <f aca="false">D7*1</f>
        <v>6</v>
      </c>
      <c r="F15" s="24" t="n">
        <f aca="false">B7</f>
        <v>1000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357</v>
      </c>
      <c r="B16" s="279" t="s">
        <v>361</v>
      </c>
      <c r="C16" s="279"/>
      <c r="D16" s="279"/>
      <c r="E16" s="24" t="n">
        <f aca="false">D7*2</f>
        <v>12</v>
      </c>
      <c r="F16" s="24" t="n">
        <f aca="false">B7-70</f>
        <v>930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357</v>
      </c>
      <c r="B17" s="279" t="s">
        <v>361</v>
      </c>
      <c r="C17" s="279"/>
      <c r="D17" s="279"/>
      <c r="E17" s="24" t="n">
        <f aca="false">D7*2</f>
        <v>12</v>
      </c>
      <c r="F17" s="24" t="n">
        <f aca="false">C7-70</f>
        <v>930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20.30124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30</v>
      </c>
      <c r="L26" s="410" t="n">
        <v>150</v>
      </c>
      <c r="M26" s="302" t="n">
        <f aca="false">U25*L26</f>
        <v>3045.186</v>
      </c>
      <c r="N26" s="302"/>
      <c r="O26" s="303" t="n">
        <v>0.5</v>
      </c>
      <c r="P26" s="85" t="n">
        <f aca="false">K30*O26+K30</f>
        <v>913.5558</v>
      </c>
      <c r="Q26" s="85"/>
      <c r="R26" s="85"/>
      <c r="S26" s="181" t="s">
        <v>131</v>
      </c>
      <c r="T26" s="181"/>
      <c r="U26" s="294" t="n">
        <f aca="false">SUM(U3:U24)</f>
        <v>20.298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-0.00323999999999813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608.94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609.0372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387"/>
      <c r="L35" s="109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362</v>
      </c>
      <c r="B36" s="426" t="s">
        <v>363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6</v>
      </c>
      <c r="J36" s="72"/>
      <c r="K36" s="387" t="s">
        <v>352</v>
      </c>
      <c r="L36" s="450" t="n">
        <f aca="false">F11*E11</f>
        <v>11520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341</v>
      </c>
      <c r="B37" s="427" t="s">
        <v>342</v>
      </c>
      <c r="C37" s="427"/>
      <c r="D37" s="427"/>
      <c r="E37" s="427"/>
      <c r="F37" s="427"/>
      <c r="G37" s="427"/>
      <c r="H37" s="96" t="s">
        <v>64</v>
      </c>
      <c r="I37" s="83" t="n">
        <f aca="false">D7*8</f>
        <v>48</v>
      </c>
      <c r="J37" s="83"/>
      <c r="K37" s="387" t="s">
        <v>353</v>
      </c>
      <c r="L37" s="450" t="n">
        <f aca="false">F12*E12</f>
        <v>12000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364</v>
      </c>
      <c r="B38" s="427" t="s">
        <v>365</v>
      </c>
      <c r="C38" s="427"/>
      <c r="D38" s="427"/>
      <c r="E38" s="427"/>
      <c r="F38" s="427"/>
      <c r="G38" s="427"/>
      <c r="H38" s="96" t="s">
        <v>64</v>
      </c>
      <c r="I38" s="83" t="n">
        <f aca="false">D7*1</f>
        <v>6</v>
      </c>
      <c r="J38" s="83"/>
      <c r="K38" s="387" t="s">
        <v>354</v>
      </c>
      <c r="L38" s="450" t="n">
        <f aca="false">F13*E13</f>
        <v>10980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343</v>
      </c>
      <c r="B39" s="427" t="s">
        <v>366</v>
      </c>
      <c r="C39" s="427"/>
      <c r="D39" s="427"/>
      <c r="E39" s="427"/>
      <c r="F39" s="427"/>
      <c r="G39" s="427"/>
      <c r="H39" s="96" t="s">
        <v>46</v>
      </c>
      <c r="I39" s="83" t="n">
        <f aca="false">B7*2+C7*2*D7</f>
        <v>14000</v>
      </c>
      <c r="J39" s="83"/>
      <c r="K39" s="387" t="s">
        <v>355</v>
      </c>
      <c r="L39" s="450" t="n">
        <f aca="false">F14*E14</f>
        <v>11400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347</v>
      </c>
      <c r="B40" s="427" t="s">
        <v>367</v>
      </c>
      <c r="C40" s="427"/>
      <c r="D40" s="427"/>
      <c r="E40" s="427"/>
      <c r="F40" s="427"/>
      <c r="G40" s="427"/>
      <c r="H40" s="96" t="s">
        <v>46</v>
      </c>
      <c r="I40" s="83" t="n">
        <f aca="false">B7*2+C7*2*D7</f>
        <v>14000</v>
      </c>
      <c r="J40" s="83"/>
      <c r="K40" s="387" t="s">
        <v>356</v>
      </c>
      <c r="L40" s="450" t="n">
        <f aca="false">F15*E15</f>
        <v>6000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387" t="s">
        <v>357</v>
      </c>
      <c r="L41" s="450" t="n">
        <f aca="false">F16*E16+E17*F17</f>
        <v>22320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/>
      <c r="B42" s="427"/>
      <c r="C42" s="427"/>
      <c r="D42" s="427"/>
      <c r="E42" s="427"/>
      <c r="F42" s="427"/>
      <c r="G42" s="427"/>
      <c r="H42" s="96"/>
      <c r="I42" s="83"/>
      <c r="J42" s="83"/>
      <c r="K42" s="249"/>
      <c r="L42" s="94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249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368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369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0.865*6*K26</f>
        <v>259.5</v>
      </c>
      <c r="O3" s="259"/>
      <c r="P3" s="260" t="n">
        <f aca="false">N3*M3</f>
        <v>259.5</v>
      </c>
      <c r="Q3" s="260"/>
      <c r="R3" s="261" t="str">
        <f aca="false">F5</f>
        <v>BRANCO</v>
      </c>
      <c r="S3" s="96" t="n">
        <v>6000</v>
      </c>
      <c r="T3" s="262" t="n">
        <f aca="false">0.865*L36/1000</f>
        <v>0.83905</v>
      </c>
      <c r="U3" s="263" t="n">
        <f aca="false">M3*5.19</f>
        <v>5.19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370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0.935*6*K26</f>
        <v>280.5</v>
      </c>
      <c r="O4" s="266"/>
      <c r="P4" s="267" t="n">
        <f aca="false">N4*M4</f>
        <v>280.5</v>
      </c>
      <c r="Q4" s="267"/>
      <c r="R4" s="268" t="str">
        <f aca="false">F5</f>
        <v>BRANCO</v>
      </c>
      <c r="S4" s="96" t="n">
        <v>6000</v>
      </c>
      <c r="T4" s="262" t="n">
        <f aca="false">0.935*L37/1000</f>
        <v>0.90695</v>
      </c>
      <c r="U4" s="262" t="n">
        <f aca="false">M4*5.61</f>
        <v>5.61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371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0.683*6*K26</f>
        <v>204.9</v>
      </c>
      <c r="O5" s="266"/>
      <c r="P5" s="267" t="n">
        <f aca="false">N5*M5</f>
        <v>204.9</v>
      </c>
      <c r="Q5" s="267"/>
      <c r="R5" s="268" t="str">
        <f aca="false">F5</f>
        <v>BRANCO</v>
      </c>
      <c r="S5" s="96" t="n">
        <v>6000</v>
      </c>
      <c r="T5" s="262" t="n">
        <f aca="false">0.683*L38/1000</f>
        <v>2.8686</v>
      </c>
      <c r="U5" s="262" t="n">
        <f aca="false">M5*4.098</f>
        <v>4.098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320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0.474*4.6*K26</f>
        <v>109.02</v>
      </c>
      <c r="O6" s="266"/>
      <c r="P6" s="267" t="n">
        <f aca="false">N6*M6</f>
        <v>109.02</v>
      </c>
      <c r="Q6" s="267"/>
      <c r="R6" s="268" t="str">
        <f aca="false">F5</f>
        <v>BRANCO</v>
      </c>
      <c r="S6" s="96" t="n">
        <v>4600</v>
      </c>
      <c r="T6" s="262" t="n">
        <f aca="false">0.474*L39/1000</f>
        <v>1.95288</v>
      </c>
      <c r="U6" s="262" t="n">
        <f aca="false">M6*2.18</f>
        <v>2.18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79" t="s">
        <v>372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0.975*4.6*K26</f>
        <v>224.25</v>
      </c>
      <c r="O7" s="266"/>
      <c r="P7" s="267" t="n">
        <f aca="false">N7*M7</f>
        <v>224.25</v>
      </c>
      <c r="Q7" s="267"/>
      <c r="R7" s="268" t="str">
        <f aca="false">F5</f>
        <v>BRANCO</v>
      </c>
      <c r="S7" s="96" t="n">
        <v>4600</v>
      </c>
      <c r="T7" s="262" t="n">
        <f aca="false">0.975*L40/1000</f>
        <v>4.017</v>
      </c>
      <c r="U7" s="262" t="n">
        <f aca="false">M7*4.485</f>
        <v>4.485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1050</v>
      </c>
      <c r="D8" s="274"/>
      <c r="E8" s="20" t="s">
        <v>16</v>
      </c>
      <c r="F8" s="39" t="n">
        <f aca="false">D7*6</f>
        <v>6</v>
      </c>
      <c r="G8" s="270"/>
      <c r="H8" s="270"/>
      <c r="I8" s="270"/>
      <c r="J8" s="270"/>
      <c r="K8" s="79" t="s">
        <v>373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0.905*4.6*K26</f>
        <v>208.15</v>
      </c>
      <c r="O8" s="266"/>
      <c r="P8" s="267" t="n">
        <f aca="false">N8*M8</f>
        <v>208.15</v>
      </c>
      <c r="Q8" s="267"/>
      <c r="R8" s="268" t="str">
        <f aca="false">F5</f>
        <v>BRANCO</v>
      </c>
      <c r="S8" s="96" t="n">
        <v>4600</v>
      </c>
      <c r="T8" s="262" t="n">
        <f aca="false">0.905*L41/1000</f>
        <v>3.7286</v>
      </c>
      <c r="U8" s="262" t="n">
        <f aca="false">M8*4.163</f>
        <v>4.163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1050</v>
      </c>
      <c r="D9" s="275"/>
      <c r="E9" s="389" t="n">
        <f aca="false">(B7-203)/3</f>
        <v>265.666666666667</v>
      </c>
      <c r="F9" s="390" t="n">
        <f aca="false">(C7-207)/2</f>
        <v>946.5</v>
      </c>
      <c r="G9" s="270"/>
      <c r="H9" s="270"/>
      <c r="I9" s="270"/>
      <c r="J9" s="270"/>
      <c r="K9" s="79" t="s">
        <v>323</v>
      </c>
      <c r="L9" s="265" t="n">
        <f aca="false">IF(L42&gt;6000,L42/6000,1)</f>
        <v>1</v>
      </c>
      <c r="M9" s="154" t="n">
        <f aca="false">ROUNDUP(L9,0)</f>
        <v>1</v>
      </c>
      <c r="N9" s="266" t="n">
        <f aca="false">0.429*6*K26</f>
        <v>128.7</v>
      </c>
      <c r="O9" s="266"/>
      <c r="P9" s="267" t="n">
        <f aca="false">N9*M9</f>
        <v>128.7</v>
      </c>
      <c r="Q9" s="267"/>
      <c r="R9" s="268" t="str">
        <f aca="false">F5</f>
        <v>BRANCO</v>
      </c>
      <c r="S9" s="96" t="n">
        <v>6000</v>
      </c>
      <c r="T9" s="262" t="n">
        <f aca="false">0.429*L42/1000</f>
        <v>0.349635</v>
      </c>
      <c r="U9" s="262" t="n">
        <f aca="false">M9*2.574</f>
        <v>2.574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79" t="s">
        <v>324</v>
      </c>
      <c r="L10" s="265" t="n">
        <f aca="false">IF(L43&gt;6000,L43/6000,1)</f>
        <v>1</v>
      </c>
      <c r="M10" s="154" t="n">
        <f aca="false">ROUNDUP(L10,0)</f>
        <v>1</v>
      </c>
      <c r="N10" s="277" t="n">
        <f aca="false">0.98*6*K26</f>
        <v>294</v>
      </c>
      <c r="O10" s="277"/>
      <c r="P10" s="267" t="n">
        <f aca="false">N10*M10</f>
        <v>294</v>
      </c>
      <c r="Q10" s="267"/>
      <c r="R10" s="268" t="str">
        <f aca="false">F5</f>
        <v>BRANCO</v>
      </c>
      <c r="S10" s="96" t="n">
        <v>6000</v>
      </c>
      <c r="T10" s="262" t="n">
        <f aca="false">0.98*L43/1000</f>
        <v>0.7987</v>
      </c>
      <c r="U10" s="262" t="n">
        <f aca="false">M10*5.88</f>
        <v>5.88</v>
      </c>
    </row>
    <row r="11" customFormat="false" ht="25.5" hidden="false" customHeight="true" outlineLevel="0" collapsed="false">
      <c r="A11" s="67" t="s">
        <v>369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970</v>
      </c>
      <c r="G11" s="69"/>
      <c r="H11" s="72" t="s">
        <v>17</v>
      </c>
      <c r="I11" s="72"/>
      <c r="J11" s="72" t="s">
        <v>42</v>
      </c>
      <c r="K11" s="79" t="s">
        <v>326</v>
      </c>
      <c r="L11" s="265" t="n">
        <f aca="false">IF(L44&gt;6000,L44/6000,1)</f>
        <v>2.40833333333333</v>
      </c>
      <c r="M11" s="154" t="n">
        <f aca="false">ROUNDUP(L11,0)</f>
        <v>3</v>
      </c>
      <c r="N11" s="266" t="n">
        <f aca="false">0.108*6*K26</f>
        <v>32.4</v>
      </c>
      <c r="O11" s="266"/>
      <c r="P11" s="267" t="n">
        <f aca="false">N11*M11</f>
        <v>97.2</v>
      </c>
      <c r="Q11" s="267"/>
      <c r="R11" s="268" t="str">
        <f aca="false">F5</f>
        <v>BRANCO</v>
      </c>
      <c r="S11" s="96" t="n">
        <v>6000</v>
      </c>
      <c r="T11" s="262" t="n">
        <f aca="false">0.108*L44/1000</f>
        <v>1.5606</v>
      </c>
      <c r="U11" s="262" t="n">
        <f aca="false">M11*0.648</f>
        <v>1.944</v>
      </c>
    </row>
    <row r="12" customFormat="false" ht="25.5" hidden="false" customHeight="true" outlineLevel="0" collapsed="false">
      <c r="A12" s="79" t="s">
        <v>370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970</v>
      </c>
      <c r="G12" s="97"/>
      <c r="H12" s="83" t="s">
        <v>17</v>
      </c>
      <c r="I12" s="83"/>
      <c r="J12" s="83" t="s">
        <v>42</v>
      </c>
      <c r="K12" s="79" t="s">
        <v>374</v>
      </c>
      <c r="L12" s="265" t="n">
        <f aca="false">IF(L45&gt;6000,L45/6000,1)</f>
        <v>1</v>
      </c>
      <c r="M12" s="154" t="n">
        <f aca="false">ROUNDUP(L12,0)</f>
        <v>1</v>
      </c>
      <c r="N12" s="266" t="n">
        <f aca="false">0.407*6*K26</f>
        <v>122.1</v>
      </c>
      <c r="O12" s="266"/>
      <c r="P12" s="267" t="n">
        <f aca="false">N12*M12</f>
        <v>122.1</v>
      </c>
      <c r="Q12" s="267"/>
      <c r="R12" s="268" t="str">
        <f aca="false">F5</f>
        <v>BRANCO</v>
      </c>
      <c r="S12" s="96" t="n">
        <v>6000</v>
      </c>
      <c r="T12" s="262" t="n">
        <f aca="false">0.407*L45/1000</f>
        <v>0.42328</v>
      </c>
      <c r="U12" s="262" t="n">
        <f aca="false">M12*2.442</f>
        <v>2.442</v>
      </c>
    </row>
    <row r="13" customFormat="false" ht="25.5" hidden="false" customHeight="true" outlineLevel="0" collapsed="false">
      <c r="A13" s="79" t="s">
        <v>371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79" t="s">
        <v>325</v>
      </c>
      <c r="L13" s="265" t="n">
        <f aca="false">IF(L46&gt;6000,L46/6000,1)</f>
        <v>1</v>
      </c>
      <c r="M13" s="154" t="n">
        <f aca="false">ROUNDUP(L13,0)</f>
        <v>1</v>
      </c>
      <c r="N13" s="266" t="n">
        <f aca="false">0.606*6*K26</f>
        <v>181.8</v>
      </c>
      <c r="O13" s="266"/>
      <c r="P13" s="267" t="n">
        <f aca="false">N13*M13</f>
        <v>181.8</v>
      </c>
      <c r="Q13" s="267"/>
      <c r="R13" s="268" t="str">
        <f aca="false">F5</f>
        <v>BRANCO</v>
      </c>
      <c r="S13" s="96" t="n">
        <v>6000</v>
      </c>
      <c r="T13" s="262" t="n">
        <f aca="false">0.606*L46/1000</f>
        <v>0.32926</v>
      </c>
      <c r="U13" s="262" t="n">
        <f aca="false">M13*3.636</f>
        <v>3.636</v>
      </c>
    </row>
    <row r="14" customFormat="false" ht="25.5" hidden="false" customHeight="true" outlineLevel="0" collapsed="false">
      <c r="A14" s="79" t="s">
        <v>320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79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372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2060</v>
      </c>
      <c r="G15" s="24"/>
      <c r="H15" s="83" t="s">
        <v>18</v>
      </c>
      <c r="I15" s="83"/>
      <c r="J15" s="83" t="s">
        <v>42</v>
      </c>
      <c r="K15" s="79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373</v>
      </c>
      <c r="B16" s="279" t="s">
        <v>281</v>
      </c>
      <c r="C16" s="279"/>
      <c r="D16" s="279"/>
      <c r="E16" s="24" t="n">
        <f aca="false">D7*2</f>
        <v>2</v>
      </c>
      <c r="F16" s="24" t="n">
        <f aca="false">F14</f>
        <v>2060</v>
      </c>
      <c r="G16" s="24"/>
      <c r="H16" s="83" t="s">
        <v>18</v>
      </c>
      <c r="I16" s="83"/>
      <c r="J16" s="83" t="s">
        <v>42</v>
      </c>
      <c r="K16" s="83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323</v>
      </c>
      <c r="B17" s="279" t="s">
        <v>375</v>
      </c>
      <c r="C17" s="279"/>
      <c r="D17" s="279"/>
      <c r="E17" s="24" t="n">
        <f aca="false">D7*3</f>
        <v>3</v>
      </c>
      <c r="F17" s="24" t="n">
        <f aca="false">(B7-185)/3</f>
        <v>271.666666666667</v>
      </c>
      <c r="G17" s="24"/>
      <c r="H17" s="83" t="s">
        <v>17</v>
      </c>
      <c r="I17" s="83"/>
      <c r="J17" s="83" t="s">
        <v>42</v>
      </c>
      <c r="K17" s="83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324</v>
      </c>
      <c r="B18" s="279" t="s">
        <v>376</v>
      </c>
      <c r="C18" s="279"/>
      <c r="D18" s="279"/>
      <c r="E18" s="24" t="n">
        <f aca="false">D7*3</f>
        <v>3</v>
      </c>
      <c r="F18" s="24" t="n">
        <f aca="false">F17</f>
        <v>271.666666666667</v>
      </c>
      <c r="G18" s="24"/>
      <c r="H18" s="83" t="s">
        <v>17</v>
      </c>
      <c r="I18" s="83"/>
      <c r="J18" s="83" t="s">
        <v>42</v>
      </c>
      <c r="K18" s="363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326</v>
      </c>
      <c r="B19" s="279" t="s">
        <v>203</v>
      </c>
      <c r="C19" s="279"/>
      <c r="D19" s="279"/>
      <c r="E19" s="24" t="n">
        <f aca="false">D7*12</f>
        <v>12</v>
      </c>
      <c r="F19" s="24" t="n">
        <f aca="false">F18</f>
        <v>271.666666666667</v>
      </c>
      <c r="G19" s="24"/>
      <c r="H19" s="83" t="s">
        <v>17</v>
      </c>
      <c r="I19" s="83"/>
      <c r="J19" s="83" t="s">
        <v>42</v>
      </c>
      <c r="K19" s="96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326</v>
      </c>
      <c r="B20" s="279" t="s">
        <v>203</v>
      </c>
      <c r="C20" s="279"/>
      <c r="D20" s="279"/>
      <c r="E20" s="46" t="n">
        <f aca="false">D7*12</f>
        <v>12</v>
      </c>
      <c r="F20" s="24" t="n">
        <f aca="false">(C7-235)/2</f>
        <v>932.5</v>
      </c>
      <c r="G20" s="24"/>
      <c r="H20" s="83" t="s">
        <v>18</v>
      </c>
      <c r="I20" s="83"/>
      <c r="J20" s="83" t="s">
        <v>42</v>
      </c>
      <c r="K20" s="96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 t="s">
        <v>374</v>
      </c>
      <c r="B21" s="293" t="s">
        <v>377</v>
      </c>
      <c r="C21" s="293"/>
      <c r="D21" s="293"/>
      <c r="E21" s="46" t="n">
        <f aca="false">D7*1</f>
        <v>1</v>
      </c>
      <c r="F21" s="24" t="n">
        <f aca="false">B7+40</f>
        <v>1040</v>
      </c>
      <c r="G21" s="24"/>
      <c r="H21" s="28" t="s">
        <v>17</v>
      </c>
      <c r="I21" s="28"/>
      <c r="J21" s="83" t="s">
        <v>42</v>
      </c>
      <c r="K21" s="96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 t="s">
        <v>325</v>
      </c>
      <c r="B22" s="80" t="s">
        <v>248</v>
      </c>
      <c r="C22" s="80"/>
      <c r="D22" s="80"/>
      <c r="E22" s="46" t="n">
        <f aca="false">D7*2</f>
        <v>2</v>
      </c>
      <c r="F22" s="24" t="n">
        <f aca="false">F17</f>
        <v>271.666666666667</v>
      </c>
      <c r="G22" s="24"/>
      <c r="H22" s="83" t="s">
        <v>17</v>
      </c>
      <c r="I22" s="83"/>
      <c r="J22" s="83" t="s">
        <v>42</v>
      </c>
      <c r="K22" s="96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451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17.774555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1777.4555</v>
      </c>
      <c r="N26" s="302"/>
      <c r="O26" s="303" t="n">
        <v>0.1</v>
      </c>
      <c r="P26" s="85" t="n">
        <f aca="false">K30*O26+K30</f>
        <v>977.600525</v>
      </c>
      <c r="Q26" s="85"/>
      <c r="R26" s="85"/>
      <c r="S26" s="181" t="s">
        <v>131</v>
      </c>
      <c r="T26" s="181"/>
      <c r="U26" s="294" t="n">
        <f aca="false">SUM(U3:U24)</f>
        <v>42.202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24.427445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2110.1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888.72775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387" t="s">
        <v>378</v>
      </c>
      <c r="L35" s="109" t="n">
        <f aca="false">F11*E11+E12*F12</f>
        <v>1940</v>
      </c>
      <c r="M35" s="109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331</v>
      </c>
      <c r="B36" s="426" t="s">
        <v>332</v>
      </c>
      <c r="C36" s="426"/>
      <c r="D36" s="426"/>
      <c r="E36" s="426"/>
      <c r="F36" s="426"/>
      <c r="G36" s="426"/>
      <c r="H36" s="397" t="s">
        <v>64</v>
      </c>
      <c r="I36" s="72" t="n">
        <f aca="false">D7*6</f>
        <v>6</v>
      </c>
      <c r="J36" s="72"/>
      <c r="K36" s="387" t="s">
        <v>369</v>
      </c>
      <c r="L36" s="133" t="n">
        <f aca="false">F11*E11</f>
        <v>970</v>
      </c>
      <c r="M36" s="387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370</v>
      </c>
      <c r="L37" s="133" t="n">
        <f aca="false">F12*E12</f>
        <v>970</v>
      </c>
      <c r="M37" s="387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D7*6</f>
        <v>6</v>
      </c>
      <c r="J38" s="83"/>
      <c r="K38" s="387" t="s">
        <v>371</v>
      </c>
      <c r="L38" s="133" t="n">
        <f aca="false">F13*E13</f>
        <v>4200</v>
      </c>
      <c r="M38" s="387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D7*18</f>
        <v>18</v>
      </c>
      <c r="J39" s="83"/>
      <c r="K39" s="387" t="s">
        <v>320</v>
      </c>
      <c r="L39" s="133" t="n">
        <f aca="false">F14*E14</f>
        <v>4120</v>
      </c>
      <c r="M39" s="387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D7*18</f>
        <v>18</v>
      </c>
      <c r="J40" s="83"/>
      <c r="K40" s="387" t="s">
        <v>372</v>
      </c>
      <c r="L40" s="133" t="n">
        <f aca="false">F15*E15</f>
        <v>4120</v>
      </c>
      <c r="M40" s="387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D7*32</f>
        <v>32</v>
      </c>
      <c r="J41" s="83"/>
      <c r="K41" s="387" t="s">
        <v>373</v>
      </c>
      <c r="L41" s="133" t="n">
        <f aca="false">F16*E16</f>
        <v>4120</v>
      </c>
      <c r="M41" s="387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B7*4*D7</f>
        <v>4000</v>
      </c>
      <c r="J42" s="83"/>
      <c r="K42" s="387" t="s">
        <v>323</v>
      </c>
      <c r="L42" s="133" t="n">
        <f aca="false">F17*E17</f>
        <v>815</v>
      </c>
      <c r="M42" s="387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C7*4*D7</f>
        <v>8400</v>
      </c>
      <c r="J43" s="428"/>
      <c r="K43" s="387" t="s">
        <v>324</v>
      </c>
      <c r="L43" s="109" t="n">
        <f aca="false">F18*E18</f>
        <v>815</v>
      </c>
      <c r="M43" s="387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B7*4+C7*6*D7</f>
        <v>16600</v>
      </c>
      <c r="J44" s="428"/>
      <c r="K44" s="387" t="s">
        <v>326</v>
      </c>
      <c r="L44" s="109" t="n">
        <f aca="false">F19*E19+E20*F20</f>
        <v>14450</v>
      </c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387" t="s">
        <v>374</v>
      </c>
      <c r="L45" s="109" t="n">
        <f aca="false">F21*E21</f>
        <v>1040</v>
      </c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387" t="s">
        <v>325</v>
      </c>
      <c r="L46" s="109" t="n">
        <f aca="false">F22*E22</f>
        <v>543.333333333333</v>
      </c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387"/>
      <c r="L47" s="109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109"/>
      <c r="L48" s="109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5.42"/>
    <col collapsed="false" customWidth="true" hidden="false" outlineLevel="0" max="19" min="19" style="1" width="7.86"/>
    <col collapsed="false" customWidth="true" hidden="false" outlineLevel="0" max="20" min="20" style="1" width="9.57"/>
    <col collapsed="false" customWidth="true" hidden="false" outlineLevel="0" max="21" min="21" style="1" width="10.29"/>
  </cols>
  <sheetData>
    <row r="1" customFormat="false" ht="20.25" hidden="false" customHeight="true" outlineLevel="0" collapsed="false">
      <c r="A1" s="2" t="s">
        <v>310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317</v>
      </c>
      <c r="L3" s="257" t="n">
        <f aca="false">IF(T14&gt;6000,T14/6000,1)</f>
        <v>1</v>
      </c>
      <c r="M3" s="258" t="n">
        <f aca="false">ROUNDUP(L3,0)</f>
        <v>1</v>
      </c>
      <c r="N3" s="259" t="n">
        <f aca="false">0.6*6*K26</f>
        <v>180</v>
      </c>
      <c r="O3" s="259"/>
      <c r="P3" s="260" t="n">
        <f aca="false">N3*M3</f>
        <v>180</v>
      </c>
      <c r="Q3" s="260"/>
      <c r="R3" s="261" t="str">
        <f aca="false">F5</f>
        <v>BRANCO</v>
      </c>
      <c r="S3" s="96" t="n">
        <v>6000</v>
      </c>
      <c r="T3" s="439" t="n">
        <f aca="false">0.6*T14/1000</f>
        <v>0.882</v>
      </c>
      <c r="U3" s="440" t="n">
        <f aca="false">M3*3.6</f>
        <v>3.6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318</v>
      </c>
      <c r="L4" s="265" t="n">
        <f aca="false">IF(T15&gt;6000,T15/6000,1)</f>
        <v>1</v>
      </c>
      <c r="M4" s="154" t="n">
        <f aca="false">ROUNDUP(L4,0)</f>
        <v>1</v>
      </c>
      <c r="N4" s="266" t="n">
        <f aca="false">0.59*6*K26</f>
        <v>177</v>
      </c>
      <c r="O4" s="266"/>
      <c r="P4" s="267" t="n">
        <f aca="false">N4*M4</f>
        <v>177</v>
      </c>
      <c r="Q4" s="267"/>
      <c r="R4" s="268" t="str">
        <f aca="false">F5</f>
        <v>BRANCO</v>
      </c>
      <c r="S4" s="96" t="n">
        <v>6000</v>
      </c>
      <c r="T4" s="439" t="n">
        <f aca="false">0.59*T15/1000</f>
        <v>0.8673</v>
      </c>
      <c r="U4" s="439" t="n">
        <f aca="false">M4*3.54</f>
        <v>3.54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319</v>
      </c>
      <c r="L5" s="265" t="n">
        <f aca="false">IF(T16&gt;6000,T16/6000,1)</f>
        <v>1</v>
      </c>
      <c r="M5" s="154" t="n">
        <f aca="false">ROUNDUP(L5,0)</f>
        <v>1</v>
      </c>
      <c r="N5" s="266" t="n">
        <f aca="false">0.4*6*K26</f>
        <v>120</v>
      </c>
      <c r="O5" s="266"/>
      <c r="P5" s="267" t="n">
        <f aca="false">N5*M5</f>
        <v>120</v>
      </c>
      <c r="Q5" s="267"/>
      <c r="R5" s="268" t="str">
        <f aca="false">F5</f>
        <v>BRANCO</v>
      </c>
      <c r="S5" s="96" t="n">
        <v>6000</v>
      </c>
      <c r="T5" s="439" t="n">
        <f aca="false">0.4*T16/1000</f>
        <v>1.68</v>
      </c>
      <c r="U5" s="439" t="n">
        <f aca="false">M5*2.4</f>
        <v>2.4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320</v>
      </c>
      <c r="L6" s="265" t="n">
        <f aca="false">IF(T17&gt;6000,T17/6000,1)</f>
        <v>1</v>
      </c>
      <c r="M6" s="154" t="n">
        <f aca="false">ROUNDUP(L6,0)</f>
        <v>1</v>
      </c>
      <c r="N6" s="266" t="n">
        <f aca="false">0.51*4.6*K26</f>
        <v>117.3</v>
      </c>
      <c r="O6" s="266"/>
      <c r="P6" s="267" t="n">
        <f aca="false">N6*M6</f>
        <v>117.3</v>
      </c>
      <c r="Q6" s="267"/>
      <c r="R6" s="268" t="str">
        <f aca="false">F5</f>
        <v>BRANCO</v>
      </c>
      <c r="S6" s="96" t="n">
        <v>4600</v>
      </c>
      <c r="T6" s="439" t="n">
        <f aca="false">0.51*T17/1000</f>
        <v>2.1012</v>
      </c>
      <c r="U6" s="439" t="n">
        <f aca="false">M6*2.346</f>
        <v>2.346</v>
      </c>
    </row>
    <row r="7" customFormat="false" ht="27" hidden="false" customHeight="true" outlineLevel="0" collapsed="false">
      <c r="A7" s="271" t="n">
        <v>500</v>
      </c>
      <c r="B7" s="272" t="n">
        <v>1500</v>
      </c>
      <c r="C7" s="272" t="n">
        <v>2100</v>
      </c>
      <c r="D7" s="272" t="n">
        <v>1</v>
      </c>
      <c r="E7" s="276" t="n">
        <f aca="false">(B7*C7)/10^6</f>
        <v>3.15</v>
      </c>
      <c r="F7" s="276"/>
      <c r="G7" s="270"/>
      <c r="H7" s="270"/>
      <c r="I7" s="270"/>
      <c r="J7" s="270"/>
      <c r="K7" s="116" t="s">
        <v>321</v>
      </c>
      <c r="L7" s="265" t="n">
        <f aca="false">IF(T18&gt;6000,T18/6000,1)</f>
        <v>1</v>
      </c>
      <c r="M7" s="154" t="n">
        <f aca="false">ROUNDUP(L7,0)</f>
        <v>1</v>
      </c>
      <c r="N7" s="266" t="n">
        <f aca="false">0.546*4.6*K26</f>
        <v>125.58</v>
      </c>
      <c r="O7" s="266"/>
      <c r="P7" s="267" t="n">
        <f aca="false">N7*M7</f>
        <v>125.58</v>
      </c>
      <c r="Q7" s="267"/>
      <c r="R7" s="268" t="str">
        <f aca="false">F5</f>
        <v>BRANCO</v>
      </c>
      <c r="S7" s="96" t="n">
        <v>4600</v>
      </c>
      <c r="T7" s="439" t="n">
        <f aca="false">0.546*T18/1000</f>
        <v>1.12476</v>
      </c>
      <c r="U7" s="439" t="n">
        <f aca="false">M7*2.511</f>
        <v>2.511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1575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322</v>
      </c>
      <c r="L8" s="265" t="n">
        <f aca="false">IF(T19&gt;6000,T19/6000,1)</f>
        <v>1</v>
      </c>
      <c r="M8" s="154" t="n">
        <f aca="false">ROUNDUP(L8,0)</f>
        <v>1</v>
      </c>
      <c r="N8" s="266" t="n">
        <f aca="false">0.728*4.6*K26</f>
        <v>167.44</v>
      </c>
      <c r="O8" s="266"/>
      <c r="P8" s="267" t="n">
        <f aca="false">N8*M8</f>
        <v>167.44</v>
      </c>
      <c r="Q8" s="267"/>
      <c r="R8" s="268" t="str">
        <f aca="false">F5</f>
        <v>BRANCO</v>
      </c>
      <c r="S8" s="96" t="n">
        <v>4600</v>
      </c>
      <c r="T8" s="439" t="n">
        <f aca="false">0.728*T19/1000</f>
        <v>1.49968</v>
      </c>
      <c r="U8" s="439" t="n">
        <f aca="false">M8*3.348</f>
        <v>3.348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1575</v>
      </c>
      <c r="D9" s="275"/>
      <c r="E9" s="389" t="n">
        <f aca="false">(B7-168)/2</f>
        <v>666</v>
      </c>
      <c r="F9" s="390" t="n">
        <f aca="false">(C7-207)/2</f>
        <v>946.5</v>
      </c>
      <c r="G9" s="270"/>
      <c r="H9" s="270"/>
      <c r="I9" s="270"/>
      <c r="J9" s="270"/>
      <c r="K9" s="116" t="s">
        <v>323</v>
      </c>
      <c r="L9" s="265" t="n">
        <f aca="false">IF(T20&gt;6000,T20/6000,1)</f>
        <v>1</v>
      </c>
      <c r="M9" s="154" t="n">
        <f aca="false">ROUNDUP(L9,0)</f>
        <v>1</v>
      </c>
      <c r="N9" s="266" t="n">
        <f aca="false">0.4*6*K26</f>
        <v>120</v>
      </c>
      <c r="O9" s="266"/>
      <c r="P9" s="267" t="n">
        <f aca="false">N9*M9</f>
        <v>120</v>
      </c>
      <c r="Q9" s="267"/>
      <c r="R9" s="268" t="str">
        <f aca="false">F5</f>
        <v>BRANCO</v>
      </c>
      <c r="S9" s="96" t="n">
        <v>6000</v>
      </c>
      <c r="T9" s="439" t="n">
        <f aca="false">0.4*T20/1000</f>
        <v>0.5376</v>
      </c>
      <c r="U9" s="439" t="n">
        <f aca="false">M9*2.4</f>
        <v>2.4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324</v>
      </c>
      <c r="L10" s="265" t="n">
        <f aca="false">IF(T21&gt;6000,T21/6000,1)</f>
        <v>1</v>
      </c>
      <c r="M10" s="154" t="n">
        <f aca="false">ROUNDUP(L10,0)</f>
        <v>1</v>
      </c>
      <c r="N10" s="277" t="n">
        <f aca="false">0.977*6*K26</f>
        <v>293.1</v>
      </c>
      <c r="O10" s="277"/>
      <c r="P10" s="267" t="n">
        <f aca="false">N10*M10</f>
        <v>293.1</v>
      </c>
      <c r="Q10" s="267"/>
      <c r="R10" s="268" t="str">
        <f aca="false">F5</f>
        <v>BRANCO</v>
      </c>
      <c r="S10" s="96" t="n">
        <v>6000</v>
      </c>
      <c r="T10" s="439" t="n">
        <f aca="false">0.977*T21/1000</f>
        <v>1.313088</v>
      </c>
      <c r="U10" s="439" t="n">
        <f aca="false">M10*5.862</f>
        <v>5.862</v>
      </c>
    </row>
    <row r="11" customFormat="false" ht="25.5" hidden="false" customHeight="true" outlineLevel="0" collapsed="false">
      <c r="A11" s="67" t="s">
        <v>317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1470</v>
      </c>
      <c r="G11" s="69"/>
      <c r="H11" s="72" t="s">
        <v>17</v>
      </c>
      <c r="I11" s="72"/>
      <c r="J11" s="72" t="s">
        <v>42</v>
      </c>
      <c r="K11" s="116" t="s">
        <v>325</v>
      </c>
      <c r="L11" s="265" t="n">
        <f aca="false">IF(T22&gt;6000,T22/6000,1)</f>
        <v>1</v>
      </c>
      <c r="M11" s="154" t="n">
        <f aca="false">ROUNDUP(L11,0)</f>
        <v>1</v>
      </c>
      <c r="N11" s="266" t="n">
        <f aca="false">0.615*6*K26</f>
        <v>184.5</v>
      </c>
      <c r="O11" s="266"/>
      <c r="P11" s="267" t="n">
        <f aca="false">N11*M11</f>
        <v>184.5</v>
      </c>
      <c r="Q11" s="267"/>
      <c r="R11" s="268" t="str">
        <f aca="false">F5</f>
        <v>BRANCO</v>
      </c>
      <c r="S11" s="96" t="n">
        <v>6000</v>
      </c>
      <c r="T11" s="439" t="n">
        <f aca="false">0.615*T22/1000</f>
        <v>0.82656</v>
      </c>
      <c r="U11" s="439" t="n">
        <f aca="false">M11*3.69</f>
        <v>3.69</v>
      </c>
    </row>
    <row r="12" customFormat="false" ht="25.5" hidden="false" customHeight="true" outlineLevel="0" collapsed="false">
      <c r="A12" s="79" t="s">
        <v>318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1470</v>
      </c>
      <c r="G12" s="97"/>
      <c r="H12" s="83" t="s">
        <v>17</v>
      </c>
      <c r="I12" s="83"/>
      <c r="J12" s="83" t="s">
        <v>42</v>
      </c>
      <c r="K12" s="116" t="s">
        <v>326</v>
      </c>
      <c r="L12" s="265" t="n">
        <f aca="false">IF(T23&gt;6000,T23/6000,1)</f>
        <v>2.13933333333333</v>
      </c>
      <c r="M12" s="154" t="n">
        <f aca="false">ROUNDUP(L12,0)</f>
        <v>3</v>
      </c>
      <c r="N12" s="266" t="n">
        <f aca="false">0.11*6*K26</f>
        <v>33</v>
      </c>
      <c r="O12" s="266"/>
      <c r="P12" s="267" t="n">
        <f aca="false">N12*M12</f>
        <v>99</v>
      </c>
      <c r="Q12" s="267"/>
      <c r="R12" s="268" t="str">
        <f aca="false">F5</f>
        <v>BRANCO</v>
      </c>
      <c r="S12" s="96" t="n">
        <v>6000</v>
      </c>
      <c r="T12" s="439" t="n">
        <f aca="false">0.11*T23/1000</f>
        <v>1.41196</v>
      </c>
      <c r="U12" s="439" t="n">
        <f aca="false">M12*0.66</f>
        <v>1.98</v>
      </c>
    </row>
    <row r="13" customFormat="false" ht="25.5" hidden="false" customHeight="true" outlineLevel="0" collapsed="false">
      <c r="A13" s="79" t="s">
        <v>319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439"/>
      <c r="U13" s="439"/>
    </row>
    <row r="14" customFormat="false" ht="25.5" hidden="false" customHeight="true" outlineLevel="0" collapsed="false">
      <c r="A14" s="79" t="s">
        <v>320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443" t="n">
        <f aca="false">F11*E11</f>
        <v>1470</v>
      </c>
      <c r="U14" s="444" t="s">
        <v>317</v>
      </c>
    </row>
    <row r="15" customFormat="false" ht="25.5" hidden="false" customHeight="true" outlineLevel="0" collapsed="false">
      <c r="A15" s="79" t="s">
        <v>318</v>
      </c>
      <c r="B15" s="279" t="s">
        <v>281</v>
      </c>
      <c r="C15" s="279"/>
      <c r="D15" s="279"/>
      <c r="E15" s="46" t="n">
        <f aca="false">D7*1</f>
        <v>1</v>
      </c>
      <c r="F15" s="24" t="n">
        <f aca="false">F14</f>
        <v>2060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443" t="n">
        <f aca="false">F12*E12</f>
        <v>1470</v>
      </c>
      <c r="U15" s="444" t="s">
        <v>318</v>
      </c>
    </row>
    <row r="16" customFormat="false" ht="25.5" hidden="false" customHeight="true" outlineLevel="0" collapsed="false">
      <c r="A16" s="79" t="s">
        <v>322</v>
      </c>
      <c r="B16" s="279" t="s">
        <v>281</v>
      </c>
      <c r="C16" s="279"/>
      <c r="D16" s="279"/>
      <c r="E16" s="24" t="n">
        <f aca="false">D7*1</f>
        <v>1</v>
      </c>
      <c r="F16" s="24" t="n">
        <f aca="false">F14</f>
        <v>2060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443" t="n">
        <f aca="false">F13*E13</f>
        <v>4200</v>
      </c>
      <c r="U16" s="444" t="s">
        <v>319</v>
      </c>
    </row>
    <row r="17" customFormat="false" ht="25.5" hidden="false" customHeight="true" outlineLevel="0" collapsed="false">
      <c r="A17" s="79" t="s">
        <v>323</v>
      </c>
      <c r="B17" s="279" t="s">
        <v>282</v>
      </c>
      <c r="C17" s="279"/>
      <c r="D17" s="279"/>
      <c r="E17" s="24" t="n">
        <f aca="false">D7*2</f>
        <v>2</v>
      </c>
      <c r="F17" s="24" t="n">
        <f aca="false">(B7-156)/2</f>
        <v>672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443" t="n">
        <f aca="false">F14*E14</f>
        <v>4120</v>
      </c>
      <c r="U17" s="444" t="s">
        <v>320</v>
      </c>
    </row>
    <row r="18" customFormat="false" ht="25.5" hidden="false" customHeight="true" outlineLevel="0" collapsed="false">
      <c r="A18" s="79" t="s">
        <v>324</v>
      </c>
      <c r="B18" s="279" t="s">
        <v>283</v>
      </c>
      <c r="C18" s="279"/>
      <c r="D18" s="279"/>
      <c r="E18" s="24" t="n">
        <f aca="false">D7*2</f>
        <v>2</v>
      </c>
      <c r="F18" s="24" t="n">
        <f aca="false">F17</f>
        <v>672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443" t="n">
        <f aca="false">F15*E15</f>
        <v>2060</v>
      </c>
      <c r="U18" s="444" t="s">
        <v>318</v>
      </c>
    </row>
    <row r="19" customFormat="false" ht="22.5" hidden="false" customHeight="true" outlineLevel="0" collapsed="false">
      <c r="A19" s="79" t="s">
        <v>325</v>
      </c>
      <c r="B19" s="279" t="s">
        <v>248</v>
      </c>
      <c r="C19" s="279"/>
      <c r="D19" s="279"/>
      <c r="E19" s="24" t="n">
        <f aca="false">D7*2</f>
        <v>2</v>
      </c>
      <c r="F19" s="24" t="n">
        <f aca="false">F17</f>
        <v>672</v>
      </c>
      <c r="G19" s="24"/>
      <c r="H19" s="83" t="s">
        <v>17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443" t="n">
        <f aca="false">F16*E16</f>
        <v>2060</v>
      </c>
      <c r="U19" s="444" t="s">
        <v>322</v>
      </c>
    </row>
    <row r="20" customFormat="false" ht="22.5" hidden="false" customHeight="true" outlineLevel="0" collapsed="false">
      <c r="A20" s="79" t="s">
        <v>328</v>
      </c>
      <c r="B20" s="279" t="s">
        <v>203</v>
      </c>
      <c r="C20" s="279"/>
      <c r="D20" s="279"/>
      <c r="E20" s="46" t="n">
        <f aca="false">D7*8</f>
        <v>8</v>
      </c>
      <c r="F20" s="24" t="n">
        <f aca="false">F17</f>
        <v>672</v>
      </c>
      <c r="G20" s="24"/>
      <c r="H20" s="83" t="s">
        <v>17</v>
      </c>
      <c r="I20" s="83"/>
      <c r="J20" s="83" t="s">
        <v>329</v>
      </c>
      <c r="K20" s="268"/>
      <c r="L20" s="283"/>
      <c r="M20" s="232"/>
      <c r="N20" s="268"/>
      <c r="O20" s="280"/>
      <c r="P20" s="40"/>
      <c r="Q20" s="40"/>
      <c r="R20" s="268"/>
      <c r="S20" s="96"/>
      <c r="T20" s="443" t="n">
        <f aca="false">F17*E17</f>
        <v>1344</v>
      </c>
      <c r="U20" s="444" t="s">
        <v>323</v>
      </c>
    </row>
    <row r="21" customFormat="false" ht="21" hidden="false" customHeight="true" outlineLevel="0" collapsed="false">
      <c r="A21" s="79" t="s">
        <v>326</v>
      </c>
      <c r="B21" s="80" t="s">
        <v>203</v>
      </c>
      <c r="C21" s="80"/>
      <c r="D21" s="80"/>
      <c r="E21" s="46" t="n">
        <f aca="false">D7*8</f>
        <v>8</v>
      </c>
      <c r="F21" s="24" t="n">
        <f aca="false">(C7-235)/2</f>
        <v>932.5</v>
      </c>
      <c r="G21" s="24"/>
      <c r="H21" s="28" t="s">
        <v>18</v>
      </c>
      <c r="I21" s="28"/>
      <c r="J21" s="83" t="s">
        <v>330</v>
      </c>
      <c r="K21" s="268"/>
      <c r="L21" s="283"/>
      <c r="M21" s="232"/>
      <c r="N21" s="268"/>
      <c r="O21" s="280"/>
      <c r="P21" s="40"/>
      <c r="Q21" s="40"/>
      <c r="R21" s="268"/>
      <c r="S21" s="96"/>
      <c r="T21" s="443" t="n">
        <f aca="false">F18*E18</f>
        <v>1344</v>
      </c>
      <c r="U21" s="444" t="s">
        <v>324</v>
      </c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443" t="n">
        <f aca="false">F19*E19</f>
        <v>1344</v>
      </c>
      <c r="U22" s="444" t="s">
        <v>325</v>
      </c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443" t="n">
        <f aca="false">F20*E20+E21*F21</f>
        <v>12836</v>
      </c>
      <c r="U23" s="444" t="s">
        <v>326</v>
      </c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446"/>
      <c r="U24" s="447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4" t="n">
        <f aca="false">SUM(T3:T12)</f>
        <v>12.244148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1224.4148</v>
      </c>
      <c r="N26" s="302"/>
      <c r="O26" s="303" t="n">
        <v>0.1</v>
      </c>
      <c r="P26" s="85" t="n">
        <f aca="false">K30*O26+K30</f>
        <v>673.42814</v>
      </c>
      <c r="Q26" s="85"/>
      <c r="R26" s="85"/>
      <c r="S26" s="181" t="s">
        <v>131</v>
      </c>
      <c r="T26" s="181"/>
      <c r="U26" s="294" t="n">
        <f aca="false">SUM(U3:U24)</f>
        <v>31.677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449" t="n">
        <f aca="false">U26-U25</f>
        <v>19.432852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1583.85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612.2074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331</v>
      </c>
      <c r="B36" s="426" t="s">
        <v>332</v>
      </c>
      <c r="C36" s="426"/>
      <c r="D36" s="426"/>
      <c r="E36" s="426"/>
      <c r="F36" s="426"/>
      <c r="G36" s="426"/>
      <c r="H36" s="397" t="s">
        <v>64</v>
      </c>
      <c r="I36" s="72" t="n">
        <f aca="false">D7*4</f>
        <v>4</v>
      </c>
      <c r="J36" s="72"/>
      <c r="K36" s="249"/>
      <c r="L36" s="94"/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D7*1</f>
        <v>1</v>
      </c>
      <c r="J37" s="83"/>
      <c r="K37" s="249"/>
      <c r="L37" s="94"/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D7*4</f>
        <v>4</v>
      </c>
      <c r="J38" s="83"/>
      <c r="K38" s="249"/>
      <c r="L38" s="94"/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D7*8</f>
        <v>8</v>
      </c>
      <c r="J39" s="83"/>
      <c r="K39" s="249"/>
      <c r="L39" s="94"/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D7*16</f>
        <v>16</v>
      </c>
      <c r="J40" s="83"/>
      <c r="K40" s="249"/>
      <c r="L40" s="94"/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D7*16</f>
        <v>16</v>
      </c>
      <c r="J41" s="83"/>
      <c r="K41" s="249"/>
      <c r="L41" s="94"/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B7*2+C7*1*D7</f>
        <v>5100</v>
      </c>
      <c r="J42" s="83"/>
      <c r="K42" s="249"/>
      <c r="L42" s="94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4200</v>
      </c>
      <c r="J43" s="428"/>
      <c r="K43" s="249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B7*4+C7*4*D7</f>
        <v>14400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379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369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0.865*6*K26</f>
        <v>259.5</v>
      </c>
      <c r="O3" s="259"/>
      <c r="P3" s="260" t="n">
        <f aca="false">N3*M3</f>
        <v>259.5</v>
      </c>
      <c r="Q3" s="260"/>
      <c r="R3" s="261" t="str">
        <f aca="false">F5</f>
        <v>BRANCO</v>
      </c>
      <c r="S3" s="96" t="n">
        <v>6000</v>
      </c>
      <c r="T3" s="262" t="n">
        <f aca="false">0.865*L36/1000</f>
        <v>0.83905</v>
      </c>
      <c r="U3" s="263" t="n">
        <f aca="false">M3*5.19</f>
        <v>5.19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380</v>
      </c>
      <c r="L4" s="265" t="n">
        <f aca="false">IF(L36&gt;6000,L36/6000,1)</f>
        <v>1</v>
      </c>
      <c r="M4" s="154" t="n">
        <f aca="false">ROUNDUP(L4,0)</f>
        <v>1</v>
      </c>
      <c r="N4" s="266" t="n">
        <f aca="false">0.902*6*K26</f>
        <v>270.6</v>
      </c>
      <c r="O4" s="266"/>
      <c r="P4" s="267" t="n">
        <f aca="false">N4*M4</f>
        <v>270.6</v>
      </c>
      <c r="Q4" s="267"/>
      <c r="R4" s="268" t="str">
        <f aca="false">F5</f>
        <v>BRANCO</v>
      </c>
      <c r="S4" s="96" t="n">
        <v>6000</v>
      </c>
      <c r="T4" s="262" t="n">
        <f aca="false">0.902*L37/1000</f>
        <v>0.87494</v>
      </c>
      <c r="U4" s="262" t="n">
        <f aca="false">M4*5.412</f>
        <v>5.412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371</v>
      </c>
      <c r="L5" s="265" t="n">
        <f aca="false">IF(L37&gt;6000,L37/6000,1)</f>
        <v>1</v>
      </c>
      <c r="M5" s="154" t="n">
        <f aca="false">ROUNDUP(L5,0)</f>
        <v>1</v>
      </c>
      <c r="N5" s="266" t="n">
        <f aca="false">0.683*6*K26</f>
        <v>204.9</v>
      </c>
      <c r="O5" s="266"/>
      <c r="P5" s="267" t="n">
        <f aca="false">N5*M5</f>
        <v>204.9</v>
      </c>
      <c r="Q5" s="267"/>
      <c r="R5" s="268" t="str">
        <f aca="false">F5</f>
        <v>BRANCO</v>
      </c>
      <c r="S5" s="96" t="n">
        <v>6000</v>
      </c>
      <c r="T5" s="262" t="n">
        <f aca="false">0.683*L38/1000</f>
        <v>1.366</v>
      </c>
      <c r="U5" s="262" t="n">
        <f aca="false">M5*4.098</f>
        <v>4.098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381</v>
      </c>
      <c r="L6" s="265" t="n">
        <f aca="false">IF(L38&gt;6000,L38/6000,1)</f>
        <v>1</v>
      </c>
      <c r="M6" s="154" t="n">
        <f aca="false">ROUNDUP(L6,0)</f>
        <v>1</v>
      </c>
      <c r="N6" s="266" t="n">
        <f aca="false">0.35*6*K26</f>
        <v>105</v>
      </c>
      <c r="O6" s="266"/>
      <c r="P6" s="267" t="n">
        <f aca="false">N6*M6</f>
        <v>105</v>
      </c>
      <c r="Q6" s="267"/>
      <c r="R6" s="268" t="str">
        <f aca="false">F5</f>
        <v>BRANCO</v>
      </c>
      <c r="S6" s="96" t="n">
        <v>6000</v>
      </c>
      <c r="T6" s="262" t="n">
        <f aca="false">0.35*L39/1000</f>
        <v>0.672</v>
      </c>
      <c r="U6" s="262" t="n">
        <f aca="false">M6*2.1</f>
        <v>2.1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79" t="s">
        <v>382</v>
      </c>
      <c r="L7" s="265" t="n">
        <f aca="false">IF(L39&gt;6000,L39/6000,1)</f>
        <v>1</v>
      </c>
      <c r="M7" s="154" t="n">
        <f aca="false">ROUNDUP(L7,0)</f>
        <v>1</v>
      </c>
      <c r="N7" s="266" t="n">
        <f aca="false">0.45*6*K26</f>
        <v>135</v>
      </c>
      <c r="O7" s="266"/>
      <c r="P7" s="267" t="n">
        <f aca="false">N7*M7</f>
        <v>135</v>
      </c>
      <c r="Q7" s="267"/>
      <c r="R7" s="268" t="str">
        <f aca="false">F5</f>
        <v>BRANCO</v>
      </c>
      <c r="S7" s="96" t="n">
        <v>6000</v>
      </c>
      <c r="T7" s="262" t="n">
        <f aca="false">0.45*L40/1000</f>
        <v>0.864</v>
      </c>
      <c r="U7" s="262" t="n">
        <f aca="false">M7*2.7</f>
        <v>2.7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D7*3</f>
        <v>3</v>
      </c>
      <c r="G8" s="270"/>
      <c r="H8" s="270"/>
      <c r="I8" s="270"/>
      <c r="J8" s="270"/>
      <c r="K8" s="79" t="s">
        <v>383</v>
      </c>
      <c r="L8" s="265" t="n">
        <f aca="false">IF(L40&gt;6000,L40/6000,1)</f>
        <v>1</v>
      </c>
      <c r="M8" s="154" t="n">
        <f aca="false">ROUNDUP(L8,0)</f>
        <v>1</v>
      </c>
      <c r="N8" s="266" t="n">
        <f aca="false">0.45*6*K26</f>
        <v>135</v>
      </c>
      <c r="O8" s="266"/>
      <c r="P8" s="267" t="n">
        <f aca="false">N8*M8</f>
        <v>135</v>
      </c>
      <c r="Q8" s="267"/>
      <c r="R8" s="268" t="str">
        <f aca="false">F5</f>
        <v>BRANCO</v>
      </c>
      <c r="S8" s="96" t="n">
        <v>6000</v>
      </c>
      <c r="T8" s="262" t="n">
        <f aca="false">0.45*L41/1000</f>
        <v>0.864</v>
      </c>
      <c r="U8" s="262" t="n">
        <f aca="false">2.7*M8</f>
        <v>2.7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(B7-168)/3</f>
        <v>277.333333333333</v>
      </c>
      <c r="F9" s="390" t="n">
        <f aca="false">C7-116</f>
        <v>884</v>
      </c>
      <c r="G9" s="270"/>
      <c r="H9" s="270"/>
      <c r="I9" s="270"/>
      <c r="J9" s="270"/>
      <c r="K9" s="79" t="s">
        <v>323</v>
      </c>
      <c r="L9" s="265" t="n">
        <f aca="false">IF(L41&gt;6000,L41/6000,1)</f>
        <v>1</v>
      </c>
      <c r="M9" s="154" t="n">
        <f aca="false">ROUNDUP(L9,0)</f>
        <v>1</v>
      </c>
      <c r="N9" s="266" t="n">
        <f aca="false">0.4*6*K26</f>
        <v>120</v>
      </c>
      <c r="O9" s="266"/>
      <c r="P9" s="267" t="n">
        <f aca="false">N9*M9</f>
        <v>120</v>
      </c>
      <c r="Q9" s="267"/>
      <c r="R9" s="268" t="str">
        <f aca="false">F5</f>
        <v>BRANCO</v>
      </c>
      <c r="S9" s="96" t="n">
        <v>6000</v>
      </c>
      <c r="T9" s="262" t="n">
        <f aca="false">0.4*L42/1000</f>
        <v>0.68</v>
      </c>
      <c r="U9" s="262" t="n">
        <f aca="false">M9*2.4</f>
        <v>2.4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326</v>
      </c>
      <c r="L10" s="265" t="n">
        <f aca="false">IF(L42&gt;6000,L42/6000,1)</f>
        <v>1</v>
      </c>
      <c r="M10" s="154" t="n">
        <f aca="false">ROUNDUP(L10,0)</f>
        <v>1</v>
      </c>
      <c r="N10" s="277" t="n">
        <f aca="false">0.11*6*K26</f>
        <v>33</v>
      </c>
      <c r="O10" s="277"/>
      <c r="P10" s="267" t="n">
        <f aca="false">N10*M10</f>
        <v>33</v>
      </c>
      <c r="Q10" s="267"/>
      <c r="R10" s="268" t="str">
        <f aca="false">F5</f>
        <v>BRANCO</v>
      </c>
      <c r="S10" s="96" t="n">
        <v>6000</v>
      </c>
      <c r="T10" s="262" t="n">
        <f aca="false">0.11*L43/1000</f>
        <v>0.75856</v>
      </c>
      <c r="U10" s="262" t="n">
        <f aca="false">M10*0.66</f>
        <v>0.66</v>
      </c>
    </row>
    <row r="11" customFormat="false" ht="25.5" hidden="false" customHeight="true" outlineLevel="0" collapsed="false">
      <c r="A11" s="67" t="s">
        <v>369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970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380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970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371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381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C7-40</f>
        <v>960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382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960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383</v>
      </c>
      <c r="B16" s="279" t="s">
        <v>281</v>
      </c>
      <c r="C16" s="279"/>
      <c r="D16" s="279"/>
      <c r="E16" s="24" t="n">
        <f aca="false">D7*2</f>
        <v>2</v>
      </c>
      <c r="F16" s="24" t="n">
        <f aca="false">F14</f>
        <v>960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323</v>
      </c>
      <c r="B17" s="279" t="s">
        <v>314</v>
      </c>
      <c r="C17" s="279"/>
      <c r="D17" s="279"/>
      <c r="E17" s="24" t="n">
        <f aca="false">D7*6</f>
        <v>6</v>
      </c>
      <c r="F17" s="24" t="n">
        <f aca="false">(B7-150)/3</f>
        <v>283.333333333333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326</v>
      </c>
      <c r="B18" s="279" t="s">
        <v>203</v>
      </c>
      <c r="C18" s="279"/>
      <c r="D18" s="279"/>
      <c r="E18" s="24" t="n">
        <f aca="false">D7*6</f>
        <v>6</v>
      </c>
      <c r="F18" s="24" t="n">
        <f aca="false">F17</f>
        <v>283.333333333333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326</v>
      </c>
      <c r="B19" s="279" t="s">
        <v>203</v>
      </c>
      <c r="C19" s="279"/>
      <c r="D19" s="279"/>
      <c r="E19" s="24" t="n">
        <f aca="false">D7*6</f>
        <v>6</v>
      </c>
      <c r="F19" s="24" t="n">
        <f aca="false">C7-134</f>
        <v>866</v>
      </c>
      <c r="G19" s="24"/>
      <c r="H19" s="83" t="s">
        <v>18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6.91855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691.855</v>
      </c>
      <c r="N26" s="302"/>
      <c r="O26" s="303" t="n">
        <v>0.1</v>
      </c>
      <c r="P26" s="85" t="n">
        <f aca="false">K30*O26+K30</f>
        <v>380.52025</v>
      </c>
      <c r="Q26" s="85"/>
      <c r="R26" s="85"/>
      <c r="S26" s="181" t="s">
        <v>131</v>
      </c>
      <c r="T26" s="181"/>
      <c r="U26" s="294" t="n">
        <f aca="false">SUM(U3:U24)</f>
        <v>25.26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18.34145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1263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345.9275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387" t="s">
        <v>378</v>
      </c>
      <c r="L35" s="109" t="n">
        <f aca="false">F11*E11+E12*F12</f>
        <v>1940</v>
      </c>
      <c r="M35" s="109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384</v>
      </c>
      <c r="B36" s="426" t="s">
        <v>385</v>
      </c>
      <c r="C36" s="426"/>
      <c r="D36" s="426"/>
      <c r="E36" s="426"/>
      <c r="F36" s="426"/>
      <c r="G36" s="426"/>
      <c r="H36" s="397" t="s">
        <v>64</v>
      </c>
      <c r="I36" s="72" t="n">
        <f aca="false">D7*6</f>
        <v>6</v>
      </c>
      <c r="J36" s="72"/>
      <c r="K36" s="387" t="s">
        <v>369</v>
      </c>
      <c r="L36" s="133" t="n">
        <f aca="false">F11*E11</f>
        <v>970</v>
      </c>
      <c r="M36" s="387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380</v>
      </c>
      <c r="L37" s="133" t="n">
        <f aca="false">F12*E12</f>
        <v>970</v>
      </c>
      <c r="M37" s="387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D7*6</f>
        <v>6</v>
      </c>
      <c r="J38" s="83"/>
      <c r="K38" s="387" t="s">
        <v>371</v>
      </c>
      <c r="L38" s="133" t="n">
        <f aca="false">F13*E13</f>
        <v>2000</v>
      </c>
      <c r="M38" s="387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D7*12</f>
        <v>12</v>
      </c>
      <c r="J39" s="83"/>
      <c r="K39" s="387" t="s">
        <v>381</v>
      </c>
      <c r="L39" s="133" t="n">
        <f aca="false">F14*E14</f>
        <v>1920</v>
      </c>
      <c r="M39" s="387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D7*12</f>
        <v>12</v>
      </c>
      <c r="J40" s="83"/>
      <c r="K40" s="387" t="s">
        <v>382</v>
      </c>
      <c r="L40" s="133" t="n">
        <f aca="false">F15*E15</f>
        <v>1920</v>
      </c>
      <c r="M40" s="387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D7*24</f>
        <v>24</v>
      </c>
      <c r="J41" s="83"/>
      <c r="K41" s="387" t="s">
        <v>383</v>
      </c>
      <c r="L41" s="133" t="n">
        <f aca="false">F16*E16</f>
        <v>1920</v>
      </c>
      <c r="M41" s="387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B7*2*D7</f>
        <v>2000</v>
      </c>
      <c r="J42" s="83"/>
      <c r="K42" s="387" t="s">
        <v>323</v>
      </c>
      <c r="L42" s="133" t="n">
        <f aca="false">F17*E17</f>
        <v>1700</v>
      </c>
      <c r="M42" s="387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C7*4*D7</f>
        <v>4000</v>
      </c>
      <c r="J43" s="428"/>
      <c r="K43" s="387" t="s">
        <v>326</v>
      </c>
      <c r="L43" s="109" t="n">
        <f aca="false">F18*E18+E19*F19</f>
        <v>6896</v>
      </c>
      <c r="M43" s="387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B7*2+C7*6*D7</f>
        <v>8000</v>
      </c>
      <c r="J44" s="428"/>
      <c r="K44" s="249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311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317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0.6*6*K26</f>
        <v>180</v>
      </c>
      <c r="O3" s="259"/>
      <c r="P3" s="260" t="n">
        <f aca="false">N3*M3</f>
        <v>180</v>
      </c>
      <c r="Q3" s="260"/>
      <c r="R3" s="261" t="str">
        <f aca="false">F5</f>
        <v>BRANCO</v>
      </c>
      <c r="S3" s="96" t="n">
        <v>6000</v>
      </c>
      <c r="T3" s="262" t="n">
        <f aca="false">0.6*L36/1000</f>
        <v>0.582</v>
      </c>
      <c r="U3" s="263" t="n">
        <f aca="false">M3*3.6</f>
        <v>3.6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386</v>
      </c>
      <c r="L4" s="265" t="n">
        <f aca="false">IF(L37&gt;6000,L37/6000,1)</f>
        <v>1</v>
      </c>
      <c r="M4" s="154" t="n">
        <f aca="false">ROUNDUP(L4,0)</f>
        <v>1</v>
      </c>
      <c r="N4" s="266" t="n">
        <f aca="false">0.59*6*K26</f>
        <v>177</v>
      </c>
      <c r="O4" s="266"/>
      <c r="P4" s="267" t="n">
        <f aca="false">N4*M4</f>
        <v>177</v>
      </c>
      <c r="Q4" s="267"/>
      <c r="R4" s="268" t="str">
        <f aca="false">F5</f>
        <v>BRANCO</v>
      </c>
      <c r="S4" s="96" t="n">
        <v>6000</v>
      </c>
      <c r="T4" s="262" t="n">
        <f aca="false">0.59*L37/1000</f>
        <v>0.5723</v>
      </c>
      <c r="U4" s="262" t="n">
        <f aca="false">M4*3.54</f>
        <v>3.54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319</v>
      </c>
      <c r="L5" s="265" t="n">
        <f aca="false">IF(L38&gt;6000,L38/6000,1)</f>
        <v>1</v>
      </c>
      <c r="M5" s="154" t="n">
        <f aca="false">ROUNDUP(L5,0)</f>
        <v>1</v>
      </c>
      <c r="N5" s="266" t="n">
        <f aca="false">0.4*6*K26</f>
        <v>120</v>
      </c>
      <c r="O5" s="266"/>
      <c r="P5" s="267" t="n">
        <f aca="false">N5*M5</f>
        <v>120</v>
      </c>
      <c r="Q5" s="267"/>
      <c r="R5" s="268" t="str">
        <f aca="false">F5</f>
        <v>BRANCO</v>
      </c>
      <c r="S5" s="96" t="n">
        <v>6000</v>
      </c>
      <c r="T5" s="262" t="n">
        <f aca="false">0.4*L38/1000</f>
        <v>0.8</v>
      </c>
      <c r="U5" s="262" t="n">
        <f aca="false">M5*2.4</f>
        <v>2.4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381</v>
      </c>
      <c r="L6" s="265" t="n">
        <f aca="false">IF(L39&gt;6000,L39/6000,1)</f>
        <v>1</v>
      </c>
      <c r="M6" s="154" t="n">
        <f aca="false">ROUNDUP(L6,0)</f>
        <v>1</v>
      </c>
      <c r="N6" s="266" t="n">
        <f aca="false">0.35*6*K26</f>
        <v>105</v>
      </c>
      <c r="O6" s="266"/>
      <c r="P6" s="267" t="n">
        <f aca="false">N6*M6</f>
        <v>105</v>
      </c>
      <c r="Q6" s="267"/>
      <c r="R6" s="268" t="str">
        <f aca="false">F5</f>
        <v>BRANCO</v>
      </c>
      <c r="S6" s="96" t="n">
        <v>6000</v>
      </c>
      <c r="T6" s="262" t="n">
        <f aca="false">0.35*L39/1000</f>
        <v>1.344</v>
      </c>
      <c r="U6" s="262" t="n">
        <f aca="false">M6*2.1</f>
        <v>2.1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116" t="s">
        <v>382</v>
      </c>
      <c r="L7" s="265" t="n">
        <f aca="false">IF(L40&gt;6000,L40/6000,1)</f>
        <v>1</v>
      </c>
      <c r="M7" s="154" t="n">
        <f aca="false">ROUNDUP(L7,0)</f>
        <v>1</v>
      </c>
      <c r="N7" s="266" t="n">
        <f aca="false">0.45*6*K26</f>
        <v>135</v>
      </c>
      <c r="O7" s="266"/>
      <c r="P7" s="267" t="n">
        <f aca="false">N7*M7</f>
        <v>135</v>
      </c>
      <c r="Q7" s="267"/>
      <c r="R7" s="268" t="str">
        <f aca="false">F5</f>
        <v>BRANCO</v>
      </c>
      <c r="S7" s="96" t="n">
        <v>6000</v>
      </c>
      <c r="T7" s="262" t="n">
        <f aca="false">0.45*L40/1000</f>
        <v>0.864</v>
      </c>
      <c r="U7" s="262" t="n">
        <f aca="false">M7*2.7</f>
        <v>2.7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383</v>
      </c>
      <c r="L8" s="265" t="n">
        <f aca="false">IF(L41&gt;6000,L41/6000,1)</f>
        <v>1</v>
      </c>
      <c r="M8" s="154" t="n">
        <f aca="false">ROUNDUP(L8,0)</f>
        <v>1</v>
      </c>
      <c r="N8" s="266" t="n">
        <f aca="false">0.45*6*K26</f>
        <v>135</v>
      </c>
      <c r="O8" s="266"/>
      <c r="P8" s="267" t="n">
        <f aca="false">N8*M8</f>
        <v>135</v>
      </c>
      <c r="Q8" s="267"/>
      <c r="R8" s="268" t="str">
        <f aca="false">F5</f>
        <v>BRANCO</v>
      </c>
      <c r="S8" s="96" t="n">
        <v>6000</v>
      </c>
      <c r="T8" s="262" t="n">
        <f aca="false">0.45*L41/1000</f>
        <v>0.864</v>
      </c>
      <c r="U8" s="262" t="n">
        <f aca="false">2.7*M8</f>
        <v>2.7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(B7-204)/4</f>
        <v>199</v>
      </c>
      <c r="F9" s="390" t="n">
        <f aca="false">C7-116</f>
        <v>884</v>
      </c>
      <c r="G9" s="270"/>
      <c r="H9" s="270"/>
      <c r="I9" s="270"/>
      <c r="J9" s="270"/>
      <c r="K9" s="116" t="s">
        <v>323</v>
      </c>
      <c r="L9" s="265" t="n">
        <f aca="false">IF(L42&gt;6000,L42/6000,1)</f>
        <v>1</v>
      </c>
      <c r="M9" s="154" t="n">
        <f aca="false">ROUNDUP(L9,0)</f>
        <v>1</v>
      </c>
      <c r="N9" s="266" t="n">
        <f aca="false">0.4*6*K26</f>
        <v>120</v>
      </c>
      <c r="O9" s="266"/>
      <c r="P9" s="267" t="n">
        <f aca="false">N9*M9</f>
        <v>120</v>
      </c>
      <c r="Q9" s="267"/>
      <c r="R9" s="268" t="str">
        <f aca="false">F5</f>
        <v>BRANCO</v>
      </c>
      <c r="S9" s="96" t="n">
        <v>6000</v>
      </c>
      <c r="T9" s="262" t="n">
        <f aca="false">0.4*L42/1000</f>
        <v>0.656</v>
      </c>
      <c r="U9" s="262" t="n">
        <f aca="false">M9*2.4</f>
        <v>2.4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326</v>
      </c>
      <c r="L10" s="265" t="n">
        <f aca="false">IF(L43&gt;6000,L43/6000,1)</f>
        <v>1.428</v>
      </c>
      <c r="M10" s="154" t="n">
        <f aca="false">ROUNDUP(L10,0)</f>
        <v>2</v>
      </c>
      <c r="N10" s="277" t="n">
        <f aca="false">0.11*6*K26</f>
        <v>33</v>
      </c>
      <c r="O10" s="277"/>
      <c r="P10" s="267" t="n">
        <f aca="false">N10*M10</f>
        <v>66</v>
      </c>
      <c r="Q10" s="267"/>
      <c r="R10" s="268" t="str">
        <f aca="false">F5</f>
        <v>BRANCO</v>
      </c>
      <c r="S10" s="96" t="n">
        <v>6000</v>
      </c>
      <c r="T10" s="262" t="n">
        <f aca="false">0.11*L43/1000</f>
        <v>0.94248</v>
      </c>
      <c r="U10" s="262" t="n">
        <f aca="false">M10*0.66</f>
        <v>1.32</v>
      </c>
    </row>
    <row r="11" customFormat="false" ht="25.5" hidden="false" customHeight="true" outlineLevel="0" collapsed="false">
      <c r="A11" s="67" t="s">
        <v>317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970</v>
      </c>
      <c r="G11" s="69"/>
      <c r="H11" s="72" t="s">
        <v>17</v>
      </c>
      <c r="I11" s="72"/>
      <c r="J11" s="72" t="s">
        <v>42</v>
      </c>
      <c r="K11" s="116" t="s">
        <v>327</v>
      </c>
      <c r="L11" s="265" t="n">
        <f aca="false">IF(L44&gt;6000,L44/6000,1)</f>
        <v>1</v>
      </c>
      <c r="M11" s="154" t="n">
        <f aca="false">ROUNDUP(L11,0)</f>
        <v>1</v>
      </c>
      <c r="N11" s="266" t="n">
        <f aca="false">0.2*6*K26</f>
        <v>60</v>
      </c>
      <c r="O11" s="266"/>
      <c r="P11" s="267" t="n">
        <f aca="false">N11*M11</f>
        <v>60</v>
      </c>
      <c r="Q11" s="267"/>
      <c r="R11" s="268" t="str">
        <f aca="false">F5</f>
        <v>BRANCO</v>
      </c>
      <c r="S11" s="96" t="n">
        <v>6000</v>
      </c>
      <c r="T11" s="262" t="n">
        <f aca="false">0.2*L44/1000</f>
        <v>0.192</v>
      </c>
      <c r="U11" s="262" t="n">
        <f aca="false">M11*1.2</f>
        <v>1.2</v>
      </c>
    </row>
    <row r="12" customFormat="false" ht="25.5" hidden="false" customHeight="true" outlineLevel="0" collapsed="false">
      <c r="A12" s="79" t="s">
        <v>386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970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319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381</v>
      </c>
      <c r="B14" s="279" t="s">
        <v>281</v>
      </c>
      <c r="C14" s="279"/>
      <c r="D14" s="279"/>
      <c r="E14" s="24" t="n">
        <f aca="false">D7*4</f>
        <v>4</v>
      </c>
      <c r="F14" s="24" t="n">
        <f aca="false">C7-40</f>
        <v>960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382</v>
      </c>
      <c r="B15" s="279" t="s">
        <v>281</v>
      </c>
      <c r="C15" s="279"/>
      <c r="D15" s="279"/>
      <c r="E15" s="46" t="n">
        <f aca="false">D7*2</f>
        <v>2</v>
      </c>
      <c r="F15" s="24" t="n">
        <f aca="false">F14</f>
        <v>960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383</v>
      </c>
      <c r="B16" s="279" t="s">
        <v>281</v>
      </c>
      <c r="C16" s="279"/>
      <c r="D16" s="279"/>
      <c r="E16" s="24" t="n">
        <f aca="false">D7*2</f>
        <v>2</v>
      </c>
      <c r="F16" s="24" t="n">
        <f aca="false">F14</f>
        <v>960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323</v>
      </c>
      <c r="B17" s="279" t="s">
        <v>314</v>
      </c>
      <c r="C17" s="279"/>
      <c r="D17" s="279"/>
      <c r="E17" s="24" t="n">
        <f aca="false">D7*8</f>
        <v>8</v>
      </c>
      <c r="F17" s="24" t="n">
        <f aca="false">(B7-180)/4</f>
        <v>205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326</v>
      </c>
      <c r="B18" s="279" t="s">
        <v>203</v>
      </c>
      <c r="C18" s="279"/>
      <c r="D18" s="279"/>
      <c r="E18" s="24" t="n">
        <f aca="false">D7*8</f>
        <v>8</v>
      </c>
      <c r="F18" s="24" t="n">
        <f aca="false">F17</f>
        <v>205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326</v>
      </c>
      <c r="B19" s="279" t="s">
        <v>203</v>
      </c>
      <c r="C19" s="279"/>
      <c r="D19" s="279"/>
      <c r="E19" s="24" t="n">
        <f aca="false">D7*8</f>
        <v>8</v>
      </c>
      <c r="F19" s="24" t="n">
        <f aca="false">C7-134</f>
        <v>866</v>
      </c>
      <c r="G19" s="24"/>
      <c r="H19" s="83" t="s">
        <v>18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327</v>
      </c>
      <c r="B20" s="279" t="s">
        <v>196</v>
      </c>
      <c r="C20" s="279"/>
      <c r="D20" s="279"/>
      <c r="E20" s="46" t="n">
        <f aca="false">D7*1</f>
        <v>1</v>
      </c>
      <c r="F20" s="24" t="n">
        <f aca="false">F16</f>
        <v>960</v>
      </c>
      <c r="G20" s="24"/>
      <c r="H20" s="83" t="s">
        <v>18</v>
      </c>
      <c r="I20" s="83"/>
      <c r="J20" s="83" t="s">
        <v>42</v>
      </c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6.81678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681.678</v>
      </c>
      <c r="N26" s="302"/>
      <c r="O26" s="303" t="n">
        <v>0.1</v>
      </c>
      <c r="P26" s="85" t="n">
        <f aca="false">K30*O26+K30</f>
        <v>374.9229</v>
      </c>
      <c r="Q26" s="85"/>
      <c r="R26" s="85"/>
      <c r="S26" s="181" t="s">
        <v>131</v>
      </c>
      <c r="T26" s="181"/>
      <c r="U26" s="294" t="n">
        <f aca="false">SUM(U3:U24)</f>
        <v>21.96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15.14322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1098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340.839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249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249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384</v>
      </c>
      <c r="B36" s="426" t="s">
        <v>385</v>
      </c>
      <c r="C36" s="426"/>
      <c r="D36" s="426"/>
      <c r="E36" s="426"/>
      <c r="F36" s="426"/>
      <c r="G36" s="426"/>
      <c r="H36" s="397" t="s">
        <v>64</v>
      </c>
      <c r="I36" s="72" t="n">
        <f aca="false">D7*8</f>
        <v>8</v>
      </c>
      <c r="J36" s="72"/>
      <c r="K36" s="387" t="s">
        <v>317</v>
      </c>
      <c r="L36" s="133" t="n">
        <f aca="false">F11*E11</f>
        <v>970</v>
      </c>
      <c r="M36" s="249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D7*2</f>
        <v>2</v>
      </c>
      <c r="J37" s="83"/>
      <c r="K37" s="387" t="s">
        <v>386</v>
      </c>
      <c r="L37" s="133" t="n">
        <f aca="false">F12*E12</f>
        <v>970</v>
      </c>
      <c r="M37" s="249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D7*8</f>
        <v>8</v>
      </c>
      <c r="J38" s="83"/>
      <c r="K38" s="387" t="s">
        <v>319</v>
      </c>
      <c r="L38" s="133" t="n">
        <f aca="false">F13*E13</f>
        <v>2000</v>
      </c>
      <c r="M38" s="249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D7*16</f>
        <v>16</v>
      </c>
      <c r="J39" s="83"/>
      <c r="K39" s="387" t="s">
        <v>381</v>
      </c>
      <c r="L39" s="133" t="n">
        <f aca="false">F14*E14</f>
        <v>3840</v>
      </c>
      <c r="M39" s="249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D7*16</f>
        <v>16</v>
      </c>
      <c r="J40" s="83"/>
      <c r="K40" s="387" t="s">
        <v>382</v>
      </c>
      <c r="L40" s="133" t="n">
        <f aca="false">F15*E15</f>
        <v>1920</v>
      </c>
      <c r="M40" s="249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D7*24</f>
        <v>24</v>
      </c>
      <c r="J41" s="83"/>
      <c r="K41" s="387" t="s">
        <v>383</v>
      </c>
      <c r="L41" s="133" t="n">
        <f aca="false">F16*E16</f>
        <v>1920</v>
      </c>
      <c r="M41" s="249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B7*2+C7*3*D7</f>
        <v>5000</v>
      </c>
      <c r="J42" s="83"/>
      <c r="K42" s="387" t="s">
        <v>323</v>
      </c>
      <c r="L42" s="133" t="n">
        <f aca="false">F17*E17</f>
        <v>1640</v>
      </c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2000</v>
      </c>
      <c r="J43" s="428"/>
      <c r="K43" s="387" t="s">
        <v>326</v>
      </c>
      <c r="L43" s="109" t="n">
        <f aca="false">F18*E18+E19*F19</f>
        <v>8568</v>
      </c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B7*2+C7*8*D7</f>
        <v>10000</v>
      </c>
      <c r="J44" s="428"/>
      <c r="K44" s="387" t="s">
        <v>327</v>
      </c>
      <c r="L44" s="109" t="n">
        <f aca="false">F20*E20</f>
        <v>960</v>
      </c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316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317</v>
      </c>
      <c r="L3" s="257" t="n">
        <f aca="false">IF(L36&gt;6000,L36/6000,1)</f>
        <v>1</v>
      </c>
      <c r="M3" s="258" t="n">
        <f aca="false">ROUNDUP(L3,0)</f>
        <v>1</v>
      </c>
      <c r="N3" s="259" t="n">
        <f aca="false">0.6*6*K26</f>
        <v>180</v>
      </c>
      <c r="O3" s="259"/>
      <c r="P3" s="260" t="n">
        <f aca="false">N3*M3</f>
        <v>180</v>
      </c>
      <c r="Q3" s="260"/>
      <c r="R3" s="261" t="str">
        <f aca="false">F5</f>
        <v>BRANCO</v>
      </c>
      <c r="S3" s="96" t="n">
        <v>6000</v>
      </c>
      <c r="T3" s="262" t="n">
        <f aca="false">0.6*L36/1000</f>
        <v>0.582</v>
      </c>
      <c r="U3" s="263" t="n">
        <f aca="false">M3*3.6</f>
        <v>3.6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386</v>
      </c>
      <c r="L4" s="265" t="n">
        <f aca="false">IF(L36&gt;6000,L36/6000,1)</f>
        <v>1</v>
      </c>
      <c r="M4" s="154" t="n">
        <f aca="false">ROUNDUP(L4,0)</f>
        <v>1</v>
      </c>
      <c r="N4" s="266" t="n">
        <f aca="false">0.59*6*K26</f>
        <v>177</v>
      </c>
      <c r="O4" s="266"/>
      <c r="P4" s="267" t="n">
        <f aca="false">N4*M4</f>
        <v>177</v>
      </c>
      <c r="Q4" s="267"/>
      <c r="R4" s="268" t="str">
        <f aca="false">F5</f>
        <v>BRANCO</v>
      </c>
      <c r="S4" s="96" t="n">
        <v>6000</v>
      </c>
      <c r="T4" s="262" t="n">
        <f aca="false">0.59*L37/1000</f>
        <v>0.5723</v>
      </c>
      <c r="U4" s="262" t="n">
        <f aca="false">M4*3.54</f>
        <v>3.54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319</v>
      </c>
      <c r="L5" s="265" t="n">
        <f aca="false">IF(L37&gt;6000,L37/6000,1)</f>
        <v>1</v>
      </c>
      <c r="M5" s="154" t="n">
        <f aca="false">ROUNDUP(L5,0)</f>
        <v>1</v>
      </c>
      <c r="N5" s="266" t="n">
        <f aca="false">0.4*6*K26</f>
        <v>120</v>
      </c>
      <c r="O5" s="266"/>
      <c r="P5" s="267" t="n">
        <f aca="false">N5*M5</f>
        <v>120</v>
      </c>
      <c r="Q5" s="267"/>
      <c r="R5" s="268" t="str">
        <f aca="false">F5</f>
        <v>BRANCO</v>
      </c>
      <c r="S5" s="96" t="n">
        <v>6000</v>
      </c>
      <c r="T5" s="262" t="n">
        <f aca="false">0.4*L38/1000</f>
        <v>0.8</v>
      </c>
      <c r="U5" s="262" t="n">
        <f aca="false">M5*2.4</f>
        <v>2.4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381</v>
      </c>
      <c r="L6" s="265" t="n">
        <f aca="false">IF(L38&gt;6000,L38/6000,1)</f>
        <v>1</v>
      </c>
      <c r="M6" s="154" t="n">
        <f aca="false">ROUNDUP(L6,0)</f>
        <v>1</v>
      </c>
      <c r="N6" s="266" t="n">
        <f aca="false">0.35*6*K26</f>
        <v>105</v>
      </c>
      <c r="O6" s="266"/>
      <c r="P6" s="267" t="n">
        <f aca="false">N6*M6</f>
        <v>105</v>
      </c>
      <c r="Q6" s="267"/>
      <c r="R6" s="268" t="str">
        <f aca="false">F5</f>
        <v>BRANCO</v>
      </c>
      <c r="S6" s="96" t="n">
        <v>6000</v>
      </c>
      <c r="T6" s="262" t="n">
        <f aca="false">0.35*L39/1000</f>
        <v>0.672</v>
      </c>
      <c r="U6" s="262" t="n">
        <f aca="false">M6*2.1</f>
        <v>2.1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79" t="s">
        <v>382</v>
      </c>
      <c r="L7" s="265" t="n">
        <f aca="false">IF(L39&gt;6000,L39/6000,1)</f>
        <v>1</v>
      </c>
      <c r="M7" s="154" t="n">
        <f aca="false">ROUNDUP(L7,0)</f>
        <v>1</v>
      </c>
      <c r="N7" s="266" t="n">
        <f aca="false">0.45*6*K26</f>
        <v>135</v>
      </c>
      <c r="O7" s="266"/>
      <c r="P7" s="267" t="n">
        <f aca="false">N7*M7</f>
        <v>135</v>
      </c>
      <c r="Q7" s="267"/>
      <c r="R7" s="268" t="str">
        <f aca="false">F5</f>
        <v>BRANCO</v>
      </c>
      <c r="S7" s="96" t="n">
        <v>6000</v>
      </c>
      <c r="T7" s="262" t="n">
        <f aca="false">0.45*L40/1000</f>
        <v>0.432</v>
      </c>
      <c r="U7" s="262" t="n">
        <f aca="false">M7*2.7</f>
        <v>2.7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79" t="s">
        <v>383</v>
      </c>
      <c r="L8" s="265" t="n">
        <f aca="false">IF(L40&gt;6000,L40/6000,1)</f>
        <v>1</v>
      </c>
      <c r="M8" s="154" t="n">
        <f aca="false">ROUNDUP(L8,0)</f>
        <v>1</v>
      </c>
      <c r="N8" s="266" t="n">
        <f aca="false">0.45*6*K26</f>
        <v>135</v>
      </c>
      <c r="O8" s="266"/>
      <c r="P8" s="267" t="n">
        <f aca="false">N8*M8</f>
        <v>135</v>
      </c>
      <c r="Q8" s="267"/>
      <c r="R8" s="268" t="str">
        <f aca="false">F5</f>
        <v>BRANCO</v>
      </c>
      <c r="S8" s="96" t="n">
        <v>6000</v>
      </c>
      <c r="T8" s="262" t="n">
        <f aca="false">0.45*L41/1000</f>
        <v>0.432</v>
      </c>
      <c r="U8" s="262" t="n">
        <f aca="false">2.7*M8</f>
        <v>2.7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(B7-120)/2</f>
        <v>440</v>
      </c>
      <c r="F9" s="390" t="n">
        <f aca="false">C7-116</f>
        <v>884</v>
      </c>
      <c r="G9" s="270"/>
      <c r="H9" s="270"/>
      <c r="I9" s="270"/>
      <c r="J9" s="270"/>
      <c r="K9" s="79" t="s">
        <v>323</v>
      </c>
      <c r="L9" s="265" t="n">
        <f aca="false">IF(L41&gt;6000,L41/6000,1)</f>
        <v>1</v>
      </c>
      <c r="M9" s="154" t="n">
        <f aca="false">ROUNDUP(L9,0)</f>
        <v>1</v>
      </c>
      <c r="N9" s="266" t="n">
        <f aca="false">0.4*6*K26</f>
        <v>120</v>
      </c>
      <c r="O9" s="266"/>
      <c r="P9" s="267" t="n">
        <f aca="false">N9*M9</f>
        <v>120</v>
      </c>
      <c r="Q9" s="267"/>
      <c r="R9" s="268" t="str">
        <f aca="false">F5</f>
        <v>BRANCO</v>
      </c>
      <c r="S9" s="96" t="n">
        <v>6000</v>
      </c>
      <c r="T9" s="262" t="n">
        <f aca="false">0.4*L42/1000</f>
        <v>0.7136</v>
      </c>
      <c r="U9" s="262" t="n">
        <f aca="false">M9*2.4</f>
        <v>2.4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326</v>
      </c>
      <c r="L10" s="265" t="n">
        <f aca="false">IF(L42&gt;6000,L42/6000,1)</f>
        <v>1</v>
      </c>
      <c r="M10" s="154" t="n">
        <f aca="false">ROUNDUP(L10,0)</f>
        <v>1</v>
      </c>
      <c r="N10" s="277" t="n">
        <f aca="false">0.11*6*K26</f>
        <v>33</v>
      </c>
      <c r="O10" s="277"/>
      <c r="P10" s="267" t="n">
        <f aca="false">N10*M10</f>
        <v>33</v>
      </c>
      <c r="Q10" s="267"/>
      <c r="R10" s="268" t="str">
        <f aca="false">F5</f>
        <v>BRANCO</v>
      </c>
      <c r="S10" s="96" t="n">
        <v>6000</v>
      </c>
      <c r="T10" s="262" t="n">
        <f aca="false">0.11*L43/1000</f>
        <v>0.57728</v>
      </c>
      <c r="U10" s="262" t="n">
        <f aca="false">M10*0.66</f>
        <v>0.66</v>
      </c>
    </row>
    <row r="11" customFormat="false" ht="25.5" hidden="false" customHeight="true" outlineLevel="0" collapsed="false">
      <c r="A11" s="67" t="s">
        <v>317</v>
      </c>
      <c r="B11" s="278" t="s">
        <v>258</v>
      </c>
      <c r="C11" s="278"/>
      <c r="D11" s="278"/>
      <c r="E11" s="15" t="n">
        <f aca="false">D7*1</f>
        <v>1</v>
      </c>
      <c r="F11" s="69" t="n">
        <f aca="false">B7-30</f>
        <v>970</v>
      </c>
      <c r="G11" s="69"/>
      <c r="H11" s="72" t="s">
        <v>17</v>
      </c>
      <c r="I11" s="72"/>
      <c r="J11" s="72" t="s">
        <v>42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386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970</v>
      </c>
      <c r="G12" s="97"/>
      <c r="H12" s="83" t="s">
        <v>17</v>
      </c>
      <c r="I12" s="83"/>
      <c r="J12" s="83" t="s">
        <v>42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319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381</v>
      </c>
      <c r="B14" s="279" t="s">
        <v>281</v>
      </c>
      <c r="C14" s="279"/>
      <c r="D14" s="279"/>
      <c r="E14" s="24" t="n">
        <f aca="false">D7*2</f>
        <v>2</v>
      </c>
      <c r="F14" s="24" t="n">
        <f aca="false">C7-40</f>
        <v>960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382</v>
      </c>
      <c r="B15" s="279" t="s">
        <v>281</v>
      </c>
      <c r="C15" s="279"/>
      <c r="D15" s="279"/>
      <c r="E15" s="46" t="n">
        <f aca="false">D7*1</f>
        <v>1</v>
      </c>
      <c r="F15" s="24" t="n">
        <f aca="false">F14</f>
        <v>960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383</v>
      </c>
      <c r="B16" s="279" t="s">
        <v>281</v>
      </c>
      <c r="C16" s="279"/>
      <c r="D16" s="279"/>
      <c r="E16" s="24" t="n">
        <f aca="false">D7*1</f>
        <v>1</v>
      </c>
      <c r="F16" s="24" t="n">
        <f aca="false">F14</f>
        <v>960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323</v>
      </c>
      <c r="B17" s="279" t="s">
        <v>314</v>
      </c>
      <c r="C17" s="279"/>
      <c r="D17" s="279"/>
      <c r="E17" s="24" t="n">
        <f aca="false">D7*4</f>
        <v>4</v>
      </c>
      <c r="F17" s="24" t="n">
        <f aca="false">(B7-108)/2</f>
        <v>446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326</v>
      </c>
      <c r="B18" s="279" t="s">
        <v>203</v>
      </c>
      <c r="C18" s="279"/>
      <c r="D18" s="279"/>
      <c r="E18" s="24" t="n">
        <f aca="false">D7*4</f>
        <v>4</v>
      </c>
      <c r="F18" s="24" t="n">
        <f aca="false">F17</f>
        <v>446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326</v>
      </c>
      <c r="B19" s="279" t="s">
        <v>203</v>
      </c>
      <c r="C19" s="279"/>
      <c r="D19" s="279"/>
      <c r="E19" s="24" t="n">
        <f aca="false">D7*4</f>
        <v>4</v>
      </c>
      <c r="F19" s="24" t="n">
        <f aca="false">C7-134</f>
        <v>866</v>
      </c>
      <c r="G19" s="24"/>
      <c r="H19" s="83" t="s">
        <v>18</v>
      </c>
      <c r="I19" s="83"/>
      <c r="J19" s="83" t="s">
        <v>42</v>
      </c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4.78118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478.118</v>
      </c>
      <c r="N26" s="302"/>
      <c r="O26" s="303" t="n">
        <v>0.1</v>
      </c>
      <c r="P26" s="85" t="n">
        <f aca="false">K30*O26+K30</f>
        <v>262.9649</v>
      </c>
      <c r="Q26" s="85"/>
      <c r="R26" s="85"/>
      <c r="S26" s="181" t="s">
        <v>131</v>
      </c>
      <c r="T26" s="181"/>
      <c r="U26" s="294" t="n">
        <f aca="false">SUM(U3:U24)</f>
        <v>20.1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15.31882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1005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239.059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387" t="s">
        <v>378</v>
      </c>
      <c r="L35" s="109" t="n">
        <f aca="false">F11*E11+E12*F12</f>
        <v>1940</v>
      </c>
      <c r="M35" s="109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384</v>
      </c>
      <c r="B36" s="426" t="s">
        <v>385</v>
      </c>
      <c r="C36" s="426"/>
      <c r="D36" s="426"/>
      <c r="E36" s="426"/>
      <c r="F36" s="426"/>
      <c r="G36" s="426"/>
      <c r="H36" s="397" t="s">
        <v>64</v>
      </c>
      <c r="I36" s="72" t="n">
        <f aca="false">D7*4</f>
        <v>4</v>
      </c>
      <c r="J36" s="72"/>
      <c r="K36" s="387" t="s">
        <v>317</v>
      </c>
      <c r="L36" s="133" t="n">
        <f aca="false">F11*E11</f>
        <v>970</v>
      </c>
      <c r="M36" s="387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333</v>
      </c>
      <c r="B37" s="427" t="s">
        <v>334</v>
      </c>
      <c r="C37" s="427"/>
      <c r="D37" s="427"/>
      <c r="E37" s="427"/>
      <c r="F37" s="427"/>
      <c r="G37" s="427"/>
      <c r="H37" s="96" t="s">
        <v>64</v>
      </c>
      <c r="I37" s="83" t="n">
        <f aca="false">D7*1</f>
        <v>1</v>
      </c>
      <c r="J37" s="83"/>
      <c r="K37" s="387" t="s">
        <v>386</v>
      </c>
      <c r="L37" s="133" t="n">
        <f aca="false">F12*E12</f>
        <v>970</v>
      </c>
      <c r="M37" s="387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335</v>
      </c>
      <c r="B38" s="427" t="s">
        <v>336</v>
      </c>
      <c r="C38" s="427"/>
      <c r="D38" s="427"/>
      <c r="E38" s="427"/>
      <c r="F38" s="427"/>
      <c r="G38" s="427"/>
      <c r="H38" s="96" t="s">
        <v>64</v>
      </c>
      <c r="I38" s="83" t="n">
        <f aca="false">D7*4</f>
        <v>4</v>
      </c>
      <c r="J38" s="83"/>
      <c r="K38" s="387" t="s">
        <v>319</v>
      </c>
      <c r="L38" s="133" t="n">
        <f aca="false">F13*E13</f>
        <v>2000</v>
      </c>
      <c r="M38" s="387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337</v>
      </c>
      <c r="B39" s="427" t="s">
        <v>338</v>
      </c>
      <c r="C39" s="427"/>
      <c r="D39" s="427"/>
      <c r="E39" s="427"/>
      <c r="F39" s="427"/>
      <c r="G39" s="427"/>
      <c r="H39" s="96" t="s">
        <v>64</v>
      </c>
      <c r="I39" s="83" t="n">
        <f aca="false">D7*8</f>
        <v>8</v>
      </c>
      <c r="J39" s="83"/>
      <c r="K39" s="387" t="s">
        <v>381</v>
      </c>
      <c r="L39" s="133" t="n">
        <f aca="false">F14*E14</f>
        <v>1920</v>
      </c>
      <c r="M39" s="387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339</v>
      </c>
      <c r="B40" s="427" t="s">
        <v>340</v>
      </c>
      <c r="C40" s="427"/>
      <c r="D40" s="427"/>
      <c r="E40" s="427"/>
      <c r="F40" s="427"/>
      <c r="G40" s="427"/>
      <c r="H40" s="96" t="s">
        <v>64</v>
      </c>
      <c r="I40" s="83" t="n">
        <f aca="false">D7*8</f>
        <v>8</v>
      </c>
      <c r="J40" s="83"/>
      <c r="K40" s="387" t="s">
        <v>382</v>
      </c>
      <c r="L40" s="133" t="n">
        <f aca="false">F15*E15</f>
        <v>960</v>
      </c>
      <c r="M40" s="387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341</v>
      </c>
      <c r="B41" s="427" t="s">
        <v>342</v>
      </c>
      <c r="C41" s="427"/>
      <c r="D41" s="427"/>
      <c r="E41" s="427"/>
      <c r="F41" s="427"/>
      <c r="G41" s="427"/>
      <c r="H41" s="96" t="s">
        <v>64</v>
      </c>
      <c r="I41" s="83" t="n">
        <f aca="false">D7*16</f>
        <v>16</v>
      </c>
      <c r="J41" s="83"/>
      <c r="K41" s="387" t="s">
        <v>383</v>
      </c>
      <c r="L41" s="133" t="n">
        <f aca="false">F16*E16</f>
        <v>960</v>
      </c>
      <c r="M41" s="387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343</v>
      </c>
      <c r="B42" s="427" t="s">
        <v>344</v>
      </c>
      <c r="C42" s="427"/>
      <c r="D42" s="427"/>
      <c r="E42" s="427"/>
      <c r="F42" s="427"/>
      <c r="G42" s="427"/>
      <c r="H42" s="96" t="s">
        <v>46</v>
      </c>
      <c r="I42" s="83" t="n">
        <f aca="false">B7*2+C7*1*D7</f>
        <v>3000</v>
      </c>
      <c r="J42" s="83"/>
      <c r="K42" s="387" t="s">
        <v>323</v>
      </c>
      <c r="L42" s="133" t="n">
        <f aca="false">F17*E17</f>
        <v>1784</v>
      </c>
      <c r="M42" s="387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345</v>
      </c>
      <c r="B43" s="427" t="s">
        <v>346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2000</v>
      </c>
      <c r="J43" s="428"/>
      <c r="K43" s="387" t="s">
        <v>326</v>
      </c>
      <c r="L43" s="109" t="n">
        <f aca="false">F18*E18+E19*F19</f>
        <v>5248</v>
      </c>
      <c r="M43" s="387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347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B7*2+C7*4*D7</f>
        <v>6000</v>
      </c>
      <c r="J44" s="428"/>
      <c r="K44" s="387"/>
      <c r="L44" s="109"/>
      <c r="M44" s="387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387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388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0.664*6*K26</f>
        <v>199.2</v>
      </c>
      <c r="O3" s="259"/>
      <c r="P3" s="260" t="n">
        <f aca="false">N3*M3</f>
        <v>199.2</v>
      </c>
      <c r="Q3" s="260"/>
      <c r="R3" s="261" t="str">
        <f aca="false">F5</f>
        <v>BRANCO</v>
      </c>
      <c r="S3" s="96" t="n">
        <v>6000</v>
      </c>
      <c r="T3" s="262" t="n">
        <f aca="false">0.664*L37/1000</f>
        <v>3.4528</v>
      </c>
      <c r="U3" s="263" t="n">
        <f aca="false">M3*3.984</f>
        <v>3.984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389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0.93*6*K26</f>
        <v>279</v>
      </c>
      <c r="O4" s="266"/>
      <c r="P4" s="267" t="n">
        <f aca="false">N4*M4</f>
        <v>279</v>
      </c>
      <c r="Q4" s="267"/>
      <c r="R4" s="268" t="str">
        <f aca="false">F5</f>
        <v>BRANCO</v>
      </c>
      <c r="S4" s="96" t="n">
        <v>6000</v>
      </c>
      <c r="T4" s="262" t="n">
        <f aca="false">0.93*L38/1000</f>
        <v>3.82788</v>
      </c>
      <c r="U4" s="262" t="n">
        <f aca="false">M4*5.58</f>
        <v>5.58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390</v>
      </c>
      <c r="L5" s="265" t="n">
        <f aca="false">IF(L39&gt;6000,L39/6000,1)</f>
        <v>1</v>
      </c>
      <c r="M5" s="154" t="n">
        <f aca="false">ROUNDUP(L5,0)</f>
        <v>1</v>
      </c>
      <c r="N5" s="266" t="n">
        <f aca="false">0.759*6*K26</f>
        <v>227.7</v>
      </c>
      <c r="O5" s="266"/>
      <c r="P5" s="267" t="n">
        <f aca="false">N5*M5</f>
        <v>227.7</v>
      </c>
      <c r="Q5" s="267"/>
      <c r="R5" s="268" t="str">
        <f aca="false">F5</f>
        <v>BRANCO</v>
      </c>
      <c r="S5" s="96" t="n">
        <v>6000</v>
      </c>
      <c r="T5" s="262" t="n">
        <f aca="false">0.759*L39/1000</f>
        <v>0.621621</v>
      </c>
      <c r="U5" s="262" t="n">
        <f aca="false">M5*4.554</f>
        <v>4.554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391</v>
      </c>
      <c r="L6" s="265" t="n">
        <f aca="false">IF(L40&gt;6000,L40/6000,1)</f>
        <v>1</v>
      </c>
      <c r="M6" s="154" t="n">
        <f aca="false">ROUNDUP(L6,0)</f>
        <v>1</v>
      </c>
      <c r="N6" s="266" t="n">
        <f aca="false">1.229*6*K26</f>
        <v>368.7</v>
      </c>
      <c r="O6" s="266"/>
      <c r="P6" s="267" t="n">
        <f aca="false">N6*M6</f>
        <v>368.7</v>
      </c>
      <c r="Q6" s="267"/>
      <c r="R6" s="268" t="str">
        <f aca="false">F5</f>
        <v>BRANCO</v>
      </c>
      <c r="S6" s="96" t="n">
        <v>6000</v>
      </c>
      <c r="T6" s="262" t="n">
        <f aca="false">1.229*L40/1000</f>
        <v>1.006551</v>
      </c>
      <c r="U6" s="262" t="n">
        <f aca="false">M6*7.374</f>
        <v>7.374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392</v>
      </c>
      <c r="L7" s="265" t="n">
        <f aca="false">IF(L41&gt;6000,L41/6000,1)</f>
        <v>1</v>
      </c>
      <c r="M7" s="154" t="n">
        <f aca="false">ROUNDUP(L7,0)</f>
        <v>1</v>
      </c>
      <c r="N7" s="266" t="n">
        <f aca="false">0.167*6*K26</f>
        <v>50.1</v>
      </c>
      <c r="O7" s="266"/>
      <c r="P7" s="267" t="n">
        <f aca="false">N7*M7</f>
        <v>50.1</v>
      </c>
      <c r="Q7" s="267"/>
      <c r="R7" s="268" t="str">
        <f aca="false">F5</f>
        <v>BRANCO</v>
      </c>
      <c r="S7" s="96" t="n">
        <v>6000</v>
      </c>
      <c r="T7" s="262" t="n">
        <f aca="false">0.167*L41/1000</f>
        <v>0.273546</v>
      </c>
      <c r="U7" s="262" t="n">
        <f aca="false">M7*1.002</f>
        <v>1.002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1050</v>
      </c>
      <c r="D8" s="274"/>
      <c r="E8" s="20" t="s">
        <v>16</v>
      </c>
      <c r="F8" s="39"/>
      <c r="G8" s="270"/>
      <c r="H8" s="270"/>
      <c r="I8" s="270"/>
      <c r="J8" s="270"/>
      <c r="K8" s="116" t="s">
        <v>393</v>
      </c>
      <c r="L8" s="265" t="n">
        <f aca="false">IF(L42&gt;6000,L42/6000,1)</f>
        <v>1</v>
      </c>
      <c r="M8" s="154" t="n">
        <f aca="false">ROUNDUP(L8,0)</f>
        <v>1</v>
      </c>
      <c r="N8" s="266" t="n">
        <f aca="false">0.158*6*K26</f>
        <v>47.4</v>
      </c>
      <c r="O8" s="266"/>
      <c r="P8" s="267" t="n">
        <f aca="false">N8*M8</f>
        <v>47.4</v>
      </c>
      <c r="Q8" s="267"/>
      <c r="R8" s="268" t="str">
        <f aca="false">F5</f>
        <v>BRANCO</v>
      </c>
      <c r="S8" s="96" t="n">
        <v>6000</v>
      </c>
      <c r="T8" s="262" t="n">
        <f aca="false">0.158*L42/1000</f>
        <v>0.600084</v>
      </c>
      <c r="U8" s="262" t="n">
        <f aca="false">M8*0.948</f>
        <v>0.948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1050</v>
      </c>
      <c r="D9" s="275"/>
      <c r="E9" s="389"/>
      <c r="F9" s="390"/>
      <c r="G9" s="270"/>
      <c r="H9" s="270"/>
      <c r="I9" s="270"/>
      <c r="J9" s="270"/>
      <c r="K9" s="116" t="s">
        <v>115</v>
      </c>
      <c r="L9" s="265" t="n">
        <f aca="false">IF(L43&gt;6000,L43/6000,1)</f>
        <v>2.60272727272727</v>
      </c>
      <c r="M9" s="154" t="n">
        <f aca="false">ROUNDUP(L9,0)</f>
        <v>3</v>
      </c>
      <c r="N9" s="266" t="n">
        <f aca="false">0.706*6*K26</f>
        <v>211.8</v>
      </c>
      <c r="O9" s="266"/>
      <c r="P9" s="267" t="n">
        <f aca="false">N9*M9</f>
        <v>635.4</v>
      </c>
      <c r="Q9" s="267"/>
      <c r="R9" s="268" t="str">
        <f aca="false">F5</f>
        <v>BRANCO</v>
      </c>
      <c r="S9" s="96" t="n">
        <v>6000</v>
      </c>
      <c r="T9" s="262" t="n">
        <f aca="false">0.706*L43/1000</f>
        <v>11.0251527272727</v>
      </c>
      <c r="U9" s="262" t="n">
        <f aca="false">M9*4.236</f>
        <v>12.708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453"/>
      <c r="Q10" s="453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388</v>
      </c>
      <c r="B11" s="278" t="s">
        <v>187</v>
      </c>
      <c r="C11" s="278"/>
      <c r="D11" s="278"/>
      <c r="E11" s="15" t="n">
        <f aca="false">D7*1</f>
        <v>1</v>
      </c>
      <c r="F11" s="69" t="n">
        <f aca="false">B7</f>
        <v>1000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388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389</v>
      </c>
      <c r="B13" s="279" t="s">
        <v>394</v>
      </c>
      <c r="C13" s="279"/>
      <c r="D13" s="279"/>
      <c r="E13" s="24" t="n">
        <f aca="false">D7*2</f>
        <v>2</v>
      </c>
      <c r="F13" s="97" t="n">
        <f aca="false">C7-42</f>
        <v>2058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390</v>
      </c>
      <c r="B14" s="279" t="s">
        <v>282</v>
      </c>
      <c r="C14" s="279"/>
      <c r="D14" s="279"/>
      <c r="E14" s="24" t="n">
        <f aca="false">D7*1</f>
        <v>1</v>
      </c>
      <c r="F14" s="24" t="n">
        <f aca="false">B7-181</f>
        <v>819</v>
      </c>
      <c r="G14" s="24"/>
      <c r="H14" s="83" t="s">
        <v>17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391</v>
      </c>
      <c r="B15" s="279" t="s">
        <v>283</v>
      </c>
      <c r="C15" s="279"/>
      <c r="D15" s="279"/>
      <c r="E15" s="24" t="n">
        <f aca="false">E14</f>
        <v>1</v>
      </c>
      <c r="F15" s="24" t="n">
        <f aca="false">F14</f>
        <v>819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392</v>
      </c>
      <c r="B16" s="279" t="s">
        <v>203</v>
      </c>
      <c r="C16" s="279"/>
      <c r="D16" s="279"/>
      <c r="E16" s="24" t="n">
        <f aca="false">D7*2</f>
        <v>2</v>
      </c>
      <c r="F16" s="24" t="n">
        <f aca="false">F15</f>
        <v>819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393</v>
      </c>
      <c r="B17" s="279" t="s">
        <v>203</v>
      </c>
      <c r="C17" s="279"/>
      <c r="D17" s="279"/>
      <c r="E17" s="24" t="n">
        <f aca="false">E16</f>
        <v>2</v>
      </c>
      <c r="F17" s="24" t="n">
        <f aca="false">C7-201</f>
        <v>1899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115</v>
      </c>
      <c r="B18" s="279" t="s">
        <v>395</v>
      </c>
      <c r="C18" s="279"/>
      <c r="D18" s="279"/>
      <c r="E18" s="24" t="n">
        <f aca="false">(C7/110)*D7</f>
        <v>19.0909090909091</v>
      </c>
      <c r="F18" s="24" t="n">
        <f aca="false">B7-182</f>
        <v>818</v>
      </c>
      <c r="G18" s="24"/>
      <c r="H18" s="83" t="s">
        <v>17</v>
      </c>
      <c r="I18" s="83"/>
      <c r="J18" s="83" t="s">
        <v>42</v>
      </c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20.8076347272727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2080.76347272727</v>
      </c>
      <c r="N26" s="302"/>
      <c r="O26" s="303" t="n">
        <v>0.1</v>
      </c>
      <c r="P26" s="85" t="n">
        <f aca="false">K30*O26+K30</f>
        <v>1144.41991</v>
      </c>
      <c r="Q26" s="85"/>
      <c r="R26" s="85"/>
      <c r="S26" s="181" t="s">
        <v>131</v>
      </c>
      <c r="T26" s="181"/>
      <c r="U26" s="294" t="n">
        <f aca="false">SUM(U3:U24)</f>
        <v>36.15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15.3423652727273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1807.5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1040.38173636364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30" t="s">
        <v>207</v>
      </c>
      <c r="J35" s="30"/>
      <c r="K35" s="454"/>
      <c r="L35" s="455"/>
      <c r="M35" s="455"/>
      <c r="N35" s="455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396</v>
      </c>
      <c r="B36" s="426" t="s">
        <v>238</v>
      </c>
      <c r="C36" s="426"/>
      <c r="D36" s="426"/>
      <c r="E36" s="426"/>
      <c r="F36" s="426"/>
      <c r="G36" s="426"/>
      <c r="H36" s="397" t="s">
        <v>46</v>
      </c>
      <c r="I36" s="72" t="n">
        <f aca="false">C7*2+B7*1*D7</f>
        <v>5200</v>
      </c>
      <c r="J36" s="72"/>
      <c r="K36" s="454"/>
      <c r="L36" s="456"/>
      <c r="M36" s="454"/>
      <c r="N36" s="456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397</v>
      </c>
      <c r="B37" s="427" t="s">
        <v>267</v>
      </c>
      <c r="C37" s="427"/>
      <c r="D37" s="427"/>
      <c r="E37" s="427"/>
      <c r="F37" s="427"/>
      <c r="G37" s="427"/>
      <c r="H37" s="96" t="s">
        <v>46</v>
      </c>
      <c r="I37" s="83" t="n">
        <f aca="false">C7*2+B7*1*D7</f>
        <v>5200</v>
      </c>
      <c r="J37" s="83"/>
      <c r="K37" s="387" t="s">
        <v>388</v>
      </c>
      <c r="L37" s="133" t="n">
        <f aca="false">F11*E11+E12*F12</f>
        <v>5200</v>
      </c>
      <c r="M37" s="454"/>
      <c r="N37" s="456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398</v>
      </c>
      <c r="B38" s="427" t="s">
        <v>399</v>
      </c>
      <c r="C38" s="427"/>
      <c r="D38" s="427"/>
      <c r="E38" s="427"/>
      <c r="F38" s="427"/>
      <c r="G38" s="427"/>
      <c r="H38" s="96" t="s">
        <v>64</v>
      </c>
      <c r="I38" s="83" t="n">
        <f aca="false">D7*3</f>
        <v>3</v>
      </c>
      <c r="J38" s="83"/>
      <c r="K38" s="387" t="s">
        <v>389</v>
      </c>
      <c r="L38" s="133" t="n">
        <f aca="false">F13*E13</f>
        <v>4116</v>
      </c>
      <c r="M38" s="454"/>
      <c r="N38" s="456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400</v>
      </c>
      <c r="B39" s="427" t="s">
        <v>261</v>
      </c>
      <c r="C39" s="427"/>
      <c r="D39" s="427"/>
      <c r="E39" s="427"/>
      <c r="F39" s="427"/>
      <c r="G39" s="427"/>
      <c r="H39" s="96" t="s">
        <v>64</v>
      </c>
      <c r="I39" s="83" t="n">
        <f aca="false">D7*1</f>
        <v>1</v>
      </c>
      <c r="J39" s="83"/>
      <c r="K39" s="387" t="s">
        <v>390</v>
      </c>
      <c r="L39" s="133" t="n">
        <f aca="false">F14*E14</f>
        <v>819</v>
      </c>
      <c r="M39" s="454"/>
      <c r="N39" s="456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401</v>
      </c>
      <c r="B40" s="427" t="s">
        <v>402</v>
      </c>
      <c r="C40" s="427"/>
      <c r="D40" s="427"/>
      <c r="E40" s="427"/>
      <c r="F40" s="427"/>
      <c r="G40" s="427"/>
      <c r="H40" s="96" t="s">
        <v>64</v>
      </c>
      <c r="I40" s="83" t="n">
        <f aca="false">D7*1</f>
        <v>1</v>
      </c>
      <c r="J40" s="83"/>
      <c r="K40" s="387" t="s">
        <v>391</v>
      </c>
      <c r="L40" s="133" t="n">
        <f aca="false">F15*E15</f>
        <v>819</v>
      </c>
      <c r="M40" s="454"/>
      <c r="N40" s="456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403</v>
      </c>
      <c r="B41" s="427" t="s">
        <v>254</v>
      </c>
      <c r="C41" s="427"/>
      <c r="D41" s="427"/>
      <c r="E41" s="427"/>
      <c r="F41" s="427"/>
      <c r="G41" s="427"/>
      <c r="H41" s="96" t="s">
        <v>64</v>
      </c>
      <c r="I41" s="83" t="n">
        <f aca="false">D7*1</f>
        <v>1</v>
      </c>
      <c r="J41" s="83"/>
      <c r="K41" s="387" t="s">
        <v>392</v>
      </c>
      <c r="L41" s="133" t="n">
        <f aca="false">F16*E16</f>
        <v>1638</v>
      </c>
      <c r="M41" s="454"/>
      <c r="N41" s="456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404</v>
      </c>
      <c r="B42" s="427" t="s">
        <v>348</v>
      </c>
      <c r="C42" s="427"/>
      <c r="D42" s="427"/>
      <c r="E42" s="427"/>
      <c r="F42" s="427"/>
      <c r="G42" s="427"/>
      <c r="H42" s="96" t="s">
        <v>46</v>
      </c>
      <c r="I42" s="83" t="n">
        <f aca="false">B7*2+C7*2*D7</f>
        <v>6200</v>
      </c>
      <c r="J42" s="83"/>
      <c r="K42" s="387" t="s">
        <v>393</v>
      </c>
      <c r="L42" s="133" t="n">
        <f aca="false">F17*E17</f>
        <v>3798</v>
      </c>
      <c r="M42" s="454"/>
      <c r="N42" s="456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405</v>
      </c>
      <c r="B43" s="427" t="s">
        <v>406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4200</v>
      </c>
      <c r="J43" s="428"/>
      <c r="K43" s="109" t="s">
        <v>115</v>
      </c>
      <c r="L43" s="109" t="n">
        <f aca="false">F18*E18</f>
        <v>15616.3636363636</v>
      </c>
      <c r="M43" s="454"/>
      <c r="N43" s="455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407</v>
      </c>
      <c r="B44" s="427" t="s">
        <v>408</v>
      </c>
      <c r="C44" s="427"/>
      <c r="D44" s="427"/>
      <c r="E44" s="427"/>
      <c r="F44" s="427"/>
      <c r="G44" s="427"/>
      <c r="H44" s="96" t="s">
        <v>46</v>
      </c>
      <c r="I44" s="428" t="n">
        <f aca="false">B7*2*D7</f>
        <v>2000</v>
      </c>
      <c r="J44" s="428"/>
      <c r="K44" s="455"/>
      <c r="L44" s="455"/>
      <c r="M44" s="454"/>
      <c r="N44" s="456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409</v>
      </c>
      <c r="B45" s="427" t="s">
        <v>410</v>
      </c>
      <c r="C45" s="427"/>
      <c r="D45" s="427"/>
      <c r="E45" s="427"/>
      <c r="F45" s="427"/>
      <c r="G45" s="427"/>
      <c r="H45" s="96" t="s">
        <v>64</v>
      </c>
      <c r="I45" s="428" t="n">
        <f aca="false">D7*8</f>
        <v>8</v>
      </c>
      <c r="J45" s="428"/>
      <c r="K45" s="455"/>
      <c r="L45" s="455"/>
      <c r="M45" s="455"/>
      <c r="N45" s="455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411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388</v>
      </c>
      <c r="L3" s="257" t="n">
        <f aca="false">IF(L37&gt;6000,L37/6000,1)</f>
        <v>1</v>
      </c>
      <c r="M3" s="258" t="n">
        <f aca="false">ROUNDUP(L3,0)</f>
        <v>1</v>
      </c>
      <c r="N3" s="259" t="n">
        <f aca="false">0.664*6*K26</f>
        <v>199.2</v>
      </c>
      <c r="O3" s="259"/>
      <c r="P3" s="260" t="n">
        <f aca="false">N3*M3</f>
        <v>199.2</v>
      </c>
      <c r="Q3" s="260"/>
      <c r="R3" s="261" t="str">
        <f aca="false">F5</f>
        <v>BRANCO</v>
      </c>
      <c r="S3" s="96" t="n">
        <v>6000</v>
      </c>
      <c r="T3" s="262" t="n">
        <f aca="false">0.664*L37/1000</f>
        <v>3.4528</v>
      </c>
      <c r="U3" s="263" t="n">
        <f aca="false">M3*3.984</f>
        <v>3.984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389</v>
      </c>
      <c r="L4" s="265" t="n">
        <f aca="false">IF(L38&gt;6000,L38/6000,1)</f>
        <v>1</v>
      </c>
      <c r="M4" s="154" t="n">
        <f aca="false">ROUNDUP(L4,0)</f>
        <v>1</v>
      </c>
      <c r="N4" s="266" t="n">
        <f aca="false">0.93*6*K26</f>
        <v>279</v>
      </c>
      <c r="O4" s="266"/>
      <c r="P4" s="267" t="n">
        <f aca="false">N4*M4</f>
        <v>279</v>
      </c>
      <c r="Q4" s="267"/>
      <c r="R4" s="268" t="str">
        <f aca="false">F5</f>
        <v>BRANCO</v>
      </c>
      <c r="S4" s="96" t="n">
        <v>6000</v>
      </c>
      <c r="T4" s="262" t="n">
        <f aca="false">0.93*L38/1000</f>
        <v>3.82788</v>
      </c>
      <c r="U4" s="262" t="n">
        <f aca="false">M4*5.58</f>
        <v>5.58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390</v>
      </c>
      <c r="L5" s="265" t="n">
        <f aca="false">IF(L39&gt;6000,L39/6000,1)</f>
        <v>1</v>
      </c>
      <c r="M5" s="154" t="n">
        <f aca="false">ROUNDUP(L5,0)</f>
        <v>1</v>
      </c>
      <c r="N5" s="266" t="n">
        <f aca="false">0.759*6*K26</f>
        <v>227.7</v>
      </c>
      <c r="O5" s="266"/>
      <c r="P5" s="267" t="n">
        <f aca="false">N5*M5</f>
        <v>227.7</v>
      </c>
      <c r="Q5" s="267"/>
      <c r="R5" s="268" t="str">
        <f aca="false">F5</f>
        <v>BRANCO</v>
      </c>
      <c r="S5" s="96" t="n">
        <v>6000</v>
      </c>
      <c r="T5" s="262" t="n">
        <f aca="false">0.759*L39/1000</f>
        <v>0.621621</v>
      </c>
      <c r="U5" s="262" t="n">
        <f aca="false">M5*4.554</f>
        <v>4.554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391</v>
      </c>
      <c r="L6" s="265" t="n">
        <f aca="false">IF(L40&gt;6000,L40/6000,1)</f>
        <v>1</v>
      </c>
      <c r="M6" s="154" t="n">
        <f aca="false">ROUNDUP(L6,0)</f>
        <v>1</v>
      </c>
      <c r="N6" s="266" t="n">
        <f aca="false">1.229*6*K26</f>
        <v>368.7</v>
      </c>
      <c r="O6" s="266"/>
      <c r="P6" s="267" t="n">
        <f aca="false">N6*M6</f>
        <v>368.7</v>
      </c>
      <c r="Q6" s="267"/>
      <c r="R6" s="268" t="str">
        <f aca="false">F5</f>
        <v>BRANCO</v>
      </c>
      <c r="S6" s="96" t="n">
        <v>6000</v>
      </c>
      <c r="T6" s="262" t="n">
        <f aca="false">1.229*L40/1000</f>
        <v>1.006551</v>
      </c>
      <c r="U6" s="262" t="n">
        <f aca="false">M6*7.374</f>
        <v>7.374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392</v>
      </c>
      <c r="L7" s="265" t="n">
        <f aca="false">IF(L41&gt;6000,L41/6000,1)</f>
        <v>1</v>
      </c>
      <c r="M7" s="154" t="n">
        <f aca="false">ROUNDUP(L7,0)</f>
        <v>1</v>
      </c>
      <c r="N7" s="266" t="n">
        <f aca="false">0.167*6*K26</f>
        <v>50.1</v>
      </c>
      <c r="O7" s="266"/>
      <c r="P7" s="267" t="n">
        <f aca="false">N7*M7</f>
        <v>50.1</v>
      </c>
      <c r="Q7" s="267"/>
      <c r="R7" s="268" t="str">
        <f aca="false">F5</f>
        <v>BRANCO</v>
      </c>
      <c r="S7" s="96" t="n">
        <v>6000</v>
      </c>
      <c r="T7" s="262" t="n">
        <f aca="false">0.167*L41/1000</f>
        <v>0.273546</v>
      </c>
      <c r="U7" s="262" t="n">
        <f aca="false">M7*1.002</f>
        <v>1.002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1050</v>
      </c>
      <c r="D8" s="274"/>
      <c r="E8" s="20" t="s">
        <v>16</v>
      </c>
      <c r="F8" s="39" t="n">
        <f aca="false">D7*1</f>
        <v>1</v>
      </c>
      <c r="G8" s="270"/>
      <c r="H8" s="270"/>
      <c r="I8" s="270"/>
      <c r="J8" s="270"/>
      <c r="K8" s="116" t="s">
        <v>393</v>
      </c>
      <c r="L8" s="265" t="n">
        <f aca="false">IF(L42&gt;6000,L42/6000,1)</f>
        <v>1</v>
      </c>
      <c r="M8" s="154" t="n">
        <f aca="false">ROUNDUP(L8,0)</f>
        <v>1</v>
      </c>
      <c r="N8" s="266" t="n">
        <f aca="false">0.158*6*K26</f>
        <v>47.4</v>
      </c>
      <c r="O8" s="266"/>
      <c r="P8" s="267" t="n">
        <f aca="false">N8*M8</f>
        <v>47.4</v>
      </c>
      <c r="Q8" s="267"/>
      <c r="R8" s="268" t="str">
        <f aca="false">F5</f>
        <v>BRANCO</v>
      </c>
      <c r="S8" s="96" t="n">
        <v>6000</v>
      </c>
      <c r="T8" s="262" t="n">
        <f aca="false">0.158*L42/1000</f>
        <v>0.600084</v>
      </c>
      <c r="U8" s="262" t="n">
        <f aca="false">M8*0.948</f>
        <v>0.948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1050</v>
      </c>
      <c r="D9" s="275"/>
      <c r="E9" s="389" t="n">
        <f aca="false">B7-187</f>
        <v>813</v>
      </c>
      <c r="F9" s="390" t="n">
        <f aca="false">C7-175</f>
        <v>1925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453"/>
      <c r="Q10" s="453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388</v>
      </c>
      <c r="B11" s="278" t="s">
        <v>187</v>
      </c>
      <c r="C11" s="278"/>
      <c r="D11" s="278"/>
      <c r="E11" s="15" t="n">
        <f aca="false">D7*1</f>
        <v>1</v>
      </c>
      <c r="F11" s="69" t="n">
        <f aca="false">B7</f>
        <v>1000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388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389</v>
      </c>
      <c r="B13" s="279" t="s">
        <v>394</v>
      </c>
      <c r="C13" s="279"/>
      <c r="D13" s="279"/>
      <c r="E13" s="24" t="n">
        <f aca="false">D7*2</f>
        <v>2</v>
      </c>
      <c r="F13" s="97" t="n">
        <f aca="false">C7-42</f>
        <v>2058</v>
      </c>
      <c r="G13" s="97"/>
      <c r="H13" s="83" t="s">
        <v>18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390</v>
      </c>
      <c r="B14" s="279" t="s">
        <v>282</v>
      </c>
      <c r="C14" s="279"/>
      <c r="D14" s="279"/>
      <c r="E14" s="24" t="n">
        <f aca="false">D7*1</f>
        <v>1</v>
      </c>
      <c r="F14" s="24" t="n">
        <f aca="false">B7-181</f>
        <v>819</v>
      </c>
      <c r="G14" s="24"/>
      <c r="H14" s="83" t="s">
        <v>17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391</v>
      </c>
      <c r="B15" s="279" t="s">
        <v>283</v>
      </c>
      <c r="C15" s="279"/>
      <c r="D15" s="279"/>
      <c r="E15" s="24" t="n">
        <f aca="false">E14</f>
        <v>1</v>
      </c>
      <c r="F15" s="24" t="n">
        <f aca="false">F14</f>
        <v>819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392</v>
      </c>
      <c r="B16" s="279" t="s">
        <v>203</v>
      </c>
      <c r="C16" s="279"/>
      <c r="D16" s="279"/>
      <c r="E16" s="24" t="n">
        <f aca="false">D7*2</f>
        <v>2</v>
      </c>
      <c r="F16" s="24" t="n">
        <f aca="false">F15</f>
        <v>819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393</v>
      </c>
      <c r="B17" s="279" t="s">
        <v>203</v>
      </c>
      <c r="C17" s="279"/>
      <c r="D17" s="279"/>
      <c r="E17" s="24" t="n">
        <f aca="false">E16</f>
        <v>2</v>
      </c>
      <c r="F17" s="24" t="n">
        <f aca="false">C7-201</f>
        <v>1899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9.782482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978.2482</v>
      </c>
      <c r="N26" s="302"/>
      <c r="O26" s="303" t="n">
        <v>0.1</v>
      </c>
      <c r="P26" s="85" t="n">
        <f aca="false">K30*O26+K30</f>
        <v>538.03651</v>
      </c>
      <c r="Q26" s="85"/>
      <c r="R26" s="85"/>
      <c r="S26" s="181" t="s">
        <v>131</v>
      </c>
      <c r="T26" s="181"/>
      <c r="U26" s="294" t="n">
        <f aca="false">SUM(U3:U24)</f>
        <v>23.442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13.659518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1172.1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489.1241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30" t="s">
        <v>207</v>
      </c>
      <c r="J35" s="30"/>
      <c r="K35" s="387"/>
      <c r="L35" s="109"/>
      <c r="M35" s="109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396</v>
      </c>
      <c r="B36" s="426" t="s">
        <v>238</v>
      </c>
      <c r="C36" s="426"/>
      <c r="D36" s="426"/>
      <c r="E36" s="426"/>
      <c r="F36" s="426"/>
      <c r="G36" s="426"/>
      <c r="H36" s="397" t="s">
        <v>46</v>
      </c>
      <c r="I36" s="72" t="n">
        <f aca="false">C7*2+B7*1*D7</f>
        <v>5200</v>
      </c>
      <c r="J36" s="72"/>
      <c r="K36" s="387"/>
      <c r="L36" s="133"/>
      <c r="M36" s="387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397</v>
      </c>
      <c r="B37" s="427" t="s">
        <v>267</v>
      </c>
      <c r="C37" s="427"/>
      <c r="D37" s="427"/>
      <c r="E37" s="427"/>
      <c r="F37" s="427"/>
      <c r="G37" s="427"/>
      <c r="H37" s="96" t="s">
        <v>46</v>
      </c>
      <c r="I37" s="83" t="n">
        <f aca="false">C7*2+B7*1*D7</f>
        <v>5200</v>
      </c>
      <c r="J37" s="83"/>
      <c r="K37" s="387" t="s">
        <v>388</v>
      </c>
      <c r="L37" s="133" t="n">
        <f aca="false">F11*E11+E12*F12</f>
        <v>5200</v>
      </c>
      <c r="M37" s="387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398</v>
      </c>
      <c r="B38" s="427" t="s">
        <v>399</v>
      </c>
      <c r="C38" s="427"/>
      <c r="D38" s="427"/>
      <c r="E38" s="427"/>
      <c r="F38" s="427"/>
      <c r="G38" s="427"/>
      <c r="H38" s="96" t="s">
        <v>64</v>
      </c>
      <c r="I38" s="83" t="n">
        <f aca="false">D7*3</f>
        <v>3</v>
      </c>
      <c r="J38" s="83"/>
      <c r="K38" s="387" t="s">
        <v>389</v>
      </c>
      <c r="L38" s="133" t="n">
        <f aca="false">F13*E13</f>
        <v>4116</v>
      </c>
      <c r="M38" s="387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400</v>
      </c>
      <c r="B39" s="427" t="s">
        <v>261</v>
      </c>
      <c r="C39" s="427"/>
      <c r="D39" s="427"/>
      <c r="E39" s="427"/>
      <c r="F39" s="427"/>
      <c r="G39" s="427"/>
      <c r="H39" s="96" t="s">
        <v>64</v>
      </c>
      <c r="I39" s="83" t="n">
        <f aca="false">D7*1</f>
        <v>1</v>
      </c>
      <c r="J39" s="83"/>
      <c r="K39" s="387" t="s">
        <v>390</v>
      </c>
      <c r="L39" s="133" t="n">
        <f aca="false">F14*E14</f>
        <v>819</v>
      </c>
      <c r="M39" s="387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401</v>
      </c>
      <c r="B40" s="427" t="s">
        <v>402</v>
      </c>
      <c r="C40" s="427"/>
      <c r="D40" s="427"/>
      <c r="E40" s="427"/>
      <c r="F40" s="427"/>
      <c r="G40" s="427"/>
      <c r="H40" s="96" t="s">
        <v>64</v>
      </c>
      <c r="I40" s="83" t="n">
        <f aca="false">D7*1</f>
        <v>1</v>
      </c>
      <c r="J40" s="83"/>
      <c r="K40" s="387" t="s">
        <v>391</v>
      </c>
      <c r="L40" s="133" t="n">
        <f aca="false">F15*E15</f>
        <v>819</v>
      </c>
      <c r="M40" s="387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403</v>
      </c>
      <c r="B41" s="427" t="s">
        <v>254</v>
      </c>
      <c r="C41" s="427"/>
      <c r="D41" s="427"/>
      <c r="E41" s="427"/>
      <c r="F41" s="427"/>
      <c r="G41" s="427"/>
      <c r="H41" s="96" t="s">
        <v>64</v>
      </c>
      <c r="I41" s="83" t="n">
        <f aca="false">D7*1</f>
        <v>1</v>
      </c>
      <c r="J41" s="83"/>
      <c r="K41" s="387" t="s">
        <v>392</v>
      </c>
      <c r="L41" s="133" t="n">
        <f aca="false">F16*E16</f>
        <v>1638</v>
      </c>
      <c r="M41" s="387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404</v>
      </c>
      <c r="B42" s="427" t="s">
        <v>348</v>
      </c>
      <c r="C42" s="427"/>
      <c r="D42" s="427"/>
      <c r="E42" s="427"/>
      <c r="F42" s="427"/>
      <c r="G42" s="427"/>
      <c r="H42" s="96" t="s">
        <v>46</v>
      </c>
      <c r="I42" s="83" t="n">
        <f aca="false">B7*2+C7*2*D7</f>
        <v>6200</v>
      </c>
      <c r="J42" s="83"/>
      <c r="K42" s="387" t="s">
        <v>393</v>
      </c>
      <c r="L42" s="133" t="n">
        <f aca="false">F17*E17</f>
        <v>3798</v>
      </c>
      <c r="M42" s="387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 t="s">
        <v>405</v>
      </c>
      <c r="B43" s="427" t="s">
        <v>406</v>
      </c>
      <c r="C43" s="427"/>
      <c r="D43" s="427"/>
      <c r="E43" s="427"/>
      <c r="F43" s="427"/>
      <c r="G43" s="427"/>
      <c r="H43" s="96" t="s">
        <v>46</v>
      </c>
      <c r="I43" s="428" t="n">
        <f aca="false">C7*2*D7</f>
        <v>4200</v>
      </c>
      <c r="J43" s="428"/>
      <c r="K43" s="93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 t="s">
        <v>407</v>
      </c>
      <c r="B44" s="427" t="s">
        <v>408</v>
      </c>
      <c r="C44" s="427"/>
      <c r="D44" s="427"/>
      <c r="E44" s="427"/>
      <c r="F44" s="427"/>
      <c r="G44" s="427"/>
      <c r="H44" s="96" t="s">
        <v>46</v>
      </c>
      <c r="I44" s="428" t="n">
        <f aca="false">B7*2*D7</f>
        <v>2000</v>
      </c>
      <c r="J44" s="428"/>
      <c r="K44" s="93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 t="s">
        <v>409</v>
      </c>
      <c r="B45" s="427" t="s">
        <v>410</v>
      </c>
      <c r="C45" s="427"/>
      <c r="D45" s="427"/>
      <c r="E45" s="427"/>
      <c r="F45" s="427"/>
      <c r="G45" s="427"/>
      <c r="H45" s="96" t="s">
        <v>64</v>
      </c>
      <c r="I45" s="428" t="n">
        <f aca="false">D7*8</f>
        <v>8</v>
      </c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66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tr">
        <f aca="false">A11</f>
        <v>2X1/2</v>
      </c>
      <c r="L3" s="14"/>
      <c r="M3" s="15" t="n">
        <f aca="false">ROUNDUP(P30,0)</f>
        <v>1</v>
      </c>
      <c r="N3" s="16" t="n">
        <v>120</v>
      </c>
      <c r="O3" s="16"/>
      <c r="P3" s="16" t="n">
        <f aca="false">N3*M3</f>
        <v>120</v>
      </c>
      <c r="Q3" s="16"/>
      <c r="R3" s="17" t="str">
        <f aca="false">F5</f>
        <v>BRANCO</v>
      </c>
      <c r="S3" s="18" t="n">
        <v>6000</v>
      </c>
      <c r="T3" s="19" t="n">
        <f aca="false">F11*E11+E12*F12+O21*P21</f>
        <v>2600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A13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F5</f>
        <v>BRANCO</v>
      </c>
      <c r="S4" s="27" t="n">
        <v>6000</v>
      </c>
      <c r="T4" s="28" t="n">
        <f aca="false">E13*F13+E14*F14</f>
        <v>2576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20" t="s">
        <v>67</v>
      </c>
      <c r="E5" s="20"/>
      <c r="F5" s="143" t="s">
        <v>15</v>
      </c>
      <c r="G5" s="143"/>
      <c r="H5" s="144"/>
      <c r="I5" s="144"/>
      <c r="J5" s="144"/>
      <c r="K5" s="22" t="str">
        <f aca="false">A15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F5</f>
        <v>BRANCO</v>
      </c>
      <c r="S5" s="27" t="n">
        <v>6000</v>
      </c>
      <c r="T5" s="28" t="n">
        <f aca="false">E15*F15</f>
        <v>353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20" t="s">
        <v>16</v>
      </c>
      <c r="E6" s="20"/>
      <c r="F6" s="145" t="s">
        <v>17</v>
      </c>
      <c r="G6" s="146" t="s">
        <v>18</v>
      </c>
      <c r="H6" s="144"/>
      <c r="I6" s="144"/>
      <c r="J6" s="144"/>
      <c r="K6" s="41" t="s">
        <v>68</v>
      </c>
      <c r="L6" s="23"/>
      <c r="M6" s="24" t="n">
        <f aca="false">ROUNDUP(P33,0)</f>
        <v>1</v>
      </c>
      <c r="N6" s="25" t="n">
        <v>120</v>
      </c>
      <c r="O6" s="25"/>
      <c r="P6" s="25" t="n">
        <f aca="false">N6*M6</f>
        <v>120</v>
      </c>
      <c r="Q6" s="25"/>
      <c r="R6" s="26" t="str">
        <f aca="false">F5</f>
        <v>BRANCO</v>
      </c>
      <c r="S6" s="27" t="n">
        <v>6000</v>
      </c>
      <c r="T6" s="28" t="n">
        <f aca="false">E16*F16</f>
        <v>188</v>
      </c>
      <c r="U6" s="28"/>
    </row>
    <row r="7" customFormat="false" ht="27" hidden="false" customHeight="true" outlineLevel="0" collapsed="false">
      <c r="A7" s="42" t="n">
        <v>1</v>
      </c>
      <c r="B7" s="42" t="n">
        <v>500</v>
      </c>
      <c r="C7" s="42" t="n">
        <v>800</v>
      </c>
      <c r="D7" s="147" t="s">
        <v>69</v>
      </c>
      <c r="E7" s="147"/>
      <c r="F7" s="148" t="n">
        <f aca="false">F13-4</f>
        <v>490</v>
      </c>
      <c r="G7" s="149" t="n">
        <f aca="false">F14-4</f>
        <v>790</v>
      </c>
      <c r="H7" s="144"/>
      <c r="I7" s="144"/>
      <c r="J7" s="144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48"/>
      <c r="U7" s="49"/>
    </row>
    <row r="8" customFormat="false" ht="24" hidden="false" customHeight="true" outlineLevel="0" collapsed="false">
      <c r="A8" s="116" t="s">
        <v>23</v>
      </c>
      <c r="B8" s="116"/>
      <c r="C8" s="150"/>
      <c r="D8" s="150"/>
      <c r="E8" s="151"/>
      <c r="F8" s="152" t="n">
        <f aca="false">A7*1</f>
        <v>1</v>
      </c>
      <c r="G8" s="152"/>
      <c r="H8" s="144"/>
      <c r="I8" s="144"/>
      <c r="J8" s="144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48"/>
      <c r="U8" s="49"/>
    </row>
    <row r="9" customFormat="false" ht="26.25" hidden="false" customHeight="true" outlineLevel="0" collapsed="false">
      <c r="A9" s="116"/>
      <c r="B9" s="116"/>
      <c r="C9" s="150"/>
      <c r="D9" s="150"/>
      <c r="E9" s="151"/>
      <c r="F9" s="153"/>
      <c r="G9" s="154"/>
      <c r="H9" s="144"/>
      <c r="I9" s="144"/>
      <c r="J9" s="144"/>
      <c r="K9" s="52"/>
      <c r="L9" s="45"/>
      <c r="M9" s="46"/>
      <c r="N9" s="25"/>
      <c r="O9" s="25"/>
      <c r="P9" s="25"/>
      <c r="Q9" s="25"/>
      <c r="R9" s="47"/>
      <c r="S9" s="27"/>
      <c r="T9" s="48"/>
      <c r="U9" s="4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65"/>
      <c r="U10" s="66"/>
    </row>
    <row r="11" customFormat="false" ht="25.5" hidden="false" customHeight="true" outlineLevel="0" collapsed="false">
      <c r="A11" s="67" t="s">
        <v>31</v>
      </c>
      <c r="B11" s="68" t="s">
        <v>32</v>
      </c>
      <c r="C11" s="68"/>
      <c r="D11" s="68"/>
      <c r="E11" s="69" t="n">
        <f aca="false">A7*2</f>
        <v>2</v>
      </c>
      <c r="F11" s="156" t="n">
        <f aca="false">B7</f>
        <v>500</v>
      </c>
      <c r="G11" s="156"/>
      <c r="H11" s="72" t="s">
        <v>17</v>
      </c>
      <c r="I11" s="72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80" t="s">
        <v>39</v>
      </c>
      <c r="C12" s="80"/>
      <c r="D12" s="80"/>
      <c r="E12" s="46" t="n">
        <f aca="false">A7*2</f>
        <v>2</v>
      </c>
      <c r="F12" s="157" t="n">
        <f aca="false">C7</f>
        <v>800</v>
      </c>
      <c r="G12" s="157"/>
      <c r="H12" s="83" t="s">
        <v>18</v>
      </c>
      <c r="I12" s="83"/>
      <c r="J12" s="83" t="s">
        <v>33</v>
      </c>
      <c r="K12" s="84" t="n">
        <f aca="false">P3+P4+P5+P6+P7+P8+P9+P10</f>
        <v>472</v>
      </c>
      <c r="L12" s="84"/>
      <c r="M12" s="84" t="n">
        <f aca="false">I35</f>
        <v>39.8</v>
      </c>
      <c r="N12" s="84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811.8</v>
      </c>
      <c r="U12" s="84"/>
    </row>
    <row r="13" customFormat="false" ht="25.5" hidden="false" customHeight="true" outlineLevel="0" collapsed="false">
      <c r="A13" s="79" t="s">
        <v>43</v>
      </c>
      <c r="B13" s="80" t="s">
        <v>44</v>
      </c>
      <c r="C13" s="80"/>
      <c r="D13" s="80"/>
      <c r="E13" s="46" t="n">
        <f aca="false">A7*2</f>
        <v>2</v>
      </c>
      <c r="F13" s="158" t="n">
        <f aca="false">B7-6</f>
        <v>494</v>
      </c>
      <c r="G13" s="158"/>
      <c r="H13" s="83" t="s">
        <v>17</v>
      </c>
      <c r="I13" s="83"/>
      <c r="J13" s="83" t="s">
        <v>33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80" t="s">
        <v>45</v>
      </c>
      <c r="C14" s="80"/>
      <c r="D14" s="80"/>
      <c r="E14" s="46" t="n">
        <f aca="false">A7*2</f>
        <v>2</v>
      </c>
      <c r="F14" s="158" t="n">
        <f aca="false">C7-6</f>
        <v>794</v>
      </c>
      <c r="G14" s="158"/>
      <c r="H14" s="83" t="s">
        <v>18</v>
      </c>
      <c r="I14" s="83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46</v>
      </c>
      <c r="B15" s="80" t="s">
        <v>47</v>
      </c>
      <c r="C15" s="80"/>
      <c r="D15" s="80"/>
      <c r="E15" s="46" t="n">
        <f aca="false">A7*1</f>
        <v>1</v>
      </c>
      <c r="F15" s="158" t="n">
        <f aca="false">F13-141</f>
        <v>353</v>
      </c>
      <c r="G15" s="158"/>
      <c r="H15" s="83" t="s">
        <v>17</v>
      </c>
      <c r="I15" s="83"/>
      <c r="J15" s="83" t="s">
        <v>42</v>
      </c>
    </row>
    <row r="16" customFormat="false" ht="25.5" hidden="false" customHeight="true" outlineLevel="0" collapsed="false">
      <c r="A16" s="79" t="s">
        <v>68</v>
      </c>
      <c r="B16" s="80" t="s">
        <v>70</v>
      </c>
      <c r="C16" s="80"/>
      <c r="D16" s="80"/>
      <c r="E16" s="46" t="n">
        <f aca="false">A7*4</f>
        <v>4</v>
      </c>
      <c r="F16" s="158" t="n">
        <f aca="false">A7*47</f>
        <v>47</v>
      </c>
      <c r="G16" s="158"/>
      <c r="H16" s="83" t="s">
        <v>71</v>
      </c>
      <c r="I16" s="83"/>
      <c r="J16" s="83" t="s">
        <v>42</v>
      </c>
      <c r="K16" s="93"/>
      <c r="L16" s="93"/>
      <c r="M16" s="93"/>
    </row>
    <row r="17" customFormat="false" ht="25.5" hidden="false" customHeight="true" outlineLevel="0" collapsed="false">
      <c r="A17" s="47"/>
      <c r="B17" s="52"/>
      <c r="D17" s="23"/>
      <c r="E17" s="47"/>
      <c r="H17" s="52"/>
      <c r="I17" s="23"/>
      <c r="J17" s="47"/>
      <c r="M17" s="94"/>
      <c r="N17" s="95"/>
      <c r="O17" s="95"/>
    </row>
    <row r="18" customFormat="false" ht="25.5" hidden="false" customHeight="true" outlineLevel="0" collapsed="false">
      <c r="A18" s="79"/>
      <c r="B18" s="80"/>
      <c r="C18" s="80"/>
      <c r="D18" s="80"/>
      <c r="E18" s="47"/>
      <c r="H18" s="83"/>
      <c r="I18" s="83"/>
      <c r="J18" s="83"/>
      <c r="N18" s="98"/>
      <c r="O18" s="98"/>
    </row>
    <row r="19" customFormat="false" ht="22.5" hidden="false" customHeight="true" outlineLevel="0" collapsed="false">
      <c r="A19" s="79"/>
      <c r="B19" s="80"/>
      <c r="C19" s="80"/>
      <c r="D19" s="80"/>
      <c r="E19" s="46"/>
      <c r="F19" s="158"/>
      <c r="G19" s="158"/>
      <c r="H19" s="83"/>
      <c r="I19" s="83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159"/>
      <c r="G20" s="159"/>
      <c r="H20" s="103"/>
      <c r="I20" s="103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160" t="s">
        <v>38</v>
      </c>
      <c r="K21" s="161"/>
      <c r="L21" s="162"/>
      <c r="M21" s="162"/>
      <c r="N21" s="162"/>
      <c r="O21" s="153"/>
      <c r="P21" s="157"/>
      <c r="Q21" s="157"/>
      <c r="R21" s="163"/>
      <c r="S21" s="163"/>
      <c r="T21" s="164"/>
      <c r="U21" s="109"/>
    </row>
    <row r="22" customFormat="false" ht="17.25" hidden="false" customHeight="true" outlineLevel="0" collapsed="false">
      <c r="A22" s="67" t="n">
        <v>1234567</v>
      </c>
      <c r="B22" s="110" t="s">
        <v>60</v>
      </c>
      <c r="C22" s="111"/>
      <c r="D22" s="111"/>
      <c r="E22" s="112"/>
      <c r="F22" s="19" t="s">
        <v>59</v>
      </c>
      <c r="G22" s="19"/>
      <c r="H22" s="72" t="n">
        <f aca="false">A7*16</f>
        <v>16</v>
      </c>
      <c r="I22" s="165" t="n">
        <v>0.1</v>
      </c>
      <c r="J22" s="166" t="n">
        <f aca="false">H22*I22</f>
        <v>1.6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79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83" t="n">
        <f aca="false">A7*1</f>
        <v>1</v>
      </c>
      <c r="I23" s="167" t="n">
        <v>8</v>
      </c>
      <c r="J23" s="168" t="n">
        <f aca="false">H23*I23</f>
        <v>8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79" t="s">
        <v>61</v>
      </c>
      <c r="B24" s="127" t="s">
        <v>62</v>
      </c>
      <c r="C24" s="127"/>
      <c r="D24" s="127"/>
      <c r="E24" s="119"/>
      <c r="F24" s="120" t="s">
        <v>55</v>
      </c>
      <c r="G24" s="120"/>
      <c r="H24" s="83" t="n">
        <f aca="false">A7*1</f>
        <v>1</v>
      </c>
      <c r="I24" s="167" t="n">
        <v>18</v>
      </c>
      <c r="J24" s="168" t="n">
        <f aca="false">H24*I24</f>
        <v>18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79" t="s">
        <v>55</v>
      </c>
      <c r="B25" s="128" t="s">
        <v>63</v>
      </c>
      <c r="C25" s="128"/>
      <c r="D25" s="128"/>
      <c r="E25" s="128"/>
      <c r="F25" s="120" t="s">
        <v>64</v>
      </c>
      <c r="G25" s="120"/>
      <c r="H25" s="83" t="n">
        <f aca="false">A7*4</f>
        <v>4</v>
      </c>
      <c r="I25" s="167" t="n">
        <v>0.05</v>
      </c>
      <c r="J25" s="168" t="n">
        <f aca="false">H25*I25</f>
        <v>0.2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69" t="s">
        <v>72</v>
      </c>
      <c r="B26" s="52" t="s">
        <v>73</v>
      </c>
      <c r="E26" s="23"/>
      <c r="F26" s="120" t="s">
        <v>64</v>
      </c>
      <c r="G26" s="120"/>
      <c r="H26" s="83" t="n">
        <f aca="false">A7*2</f>
        <v>2</v>
      </c>
      <c r="I26" s="167" t="n">
        <v>6</v>
      </c>
      <c r="J26" s="168" t="n">
        <f aca="false">H26*I26</f>
        <v>12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47"/>
      <c r="B27" s="52"/>
      <c r="E27" s="23"/>
      <c r="F27" s="52"/>
      <c r="G27" s="23"/>
      <c r="H27" s="83"/>
      <c r="I27" s="167"/>
      <c r="J27" s="168"/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79"/>
      <c r="B28" s="117"/>
      <c r="C28" s="118"/>
      <c r="D28" s="118"/>
      <c r="E28" s="119"/>
      <c r="F28" s="52"/>
      <c r="G28" s="23"/>
      <c r="H28" s="83"/>
      <c r="I28" s="167"/>
      <c r="J28" s="168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79"/>
      <c r="B29" s="117"/>
      <c r="C29" s="118"/>
      <c r="D29" s="118"/>
      <c r="E29" s="119"/>
      <c r="F29" s="52"/>
      <c r="G29" s="23"/>
      <c r="H29" s="83"/>
      <c r="I29" s="167"/>
      <c r="J29" s="168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79"/>
      <c r="B30" s="131"/>
      <c r="C30" s="132"/>
      <c r="D30" s="132"/>
      <c r="E30" s="119"/>
      <c r="F30" s="52"/>
      <c r="G30" s="23"/>
      <c r="H30" s="83"/>
      <c r="I30" s="167"/>
      <c r="J30" s="168"/>
      <c r="K30" s="93"/>
      <c r="L30" s="93"/>
      <c r="M30" s="93"/>
      <c r="P30" s="133" t="n">
        <f aca="false">IF(T3&gt;6000,T3/6000,1)</f>
        <v>1</v>
      </c>
      <c r="S30" s="93"/>
      <c r="T30" s="93"/>
      <c r="U30" s="93"/>
    </row>
    <row r="31" customFormat="false" ht="17.25" hidden="false" customHeight="true" outlineLevel="0" collapsed="false">
      <c r="A31" s="79"/>
      <c r="B31" s="131"/>
      <c r="C31" s="132"/>
      <c r="D31" s="132"/>
      <c r="E31" s="119"/>
      <c r="F31" s="52"/>
      <c r="G31" s="23"/>
      <c r="H31" s="83"/>
      <c r="I31" s="167"/>
      <c r="J31" s="168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79"/>
      <c r="B32" s="131"/>
      <c r="C32" s="132"/>
      <c r="D32" s="132"/>
      <c r="E32" s="119"/>
      <c r="F32" s="52"/>
      <c r="G32" s="23"/>
      <c r="H32" s="83"/>
      <c r="I32" s="167"/>
      <c r="J32" s="168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79"/>
      <c r="B33" s="131"/>
      <c r="C33" s="132"/>
      <c r="D33" s="132"/>
      <c r="E33" s="119"/>
      <c r="F33" s="52"/>
      <c r="G33" s="23"/>
      <c r="H33" s="83"/>
      <c r="I33" s="170"/>
      <c r="J33" s="171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79"/>
      <c r="B34" s="131"/>
      <c r="C34" s="132"/>
      <c r="D34" s="132"/>
      <c r="E34" s="119"/>
      <c r="F34" s="52"/>
      <c r="G34" s="23"/>
      <c r="H34" s="83"/>
      <c r="I34" s="172" t="s">
        <v>38</v>
      </c>
      <c r="J34" s="172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73"/>
      <c r="B35" s="136"/>
      <c r="C35" s="137"/>
      <c r="D35" s="137"/>
      <c r="E35" s="138"/>
      <c r="F35" s="139"/>
      <c r="G35" s="140"/>
      <c r="H35" s="103"/>
      <c r="I35" s="174" t="n">
        <f aca="false">SUM(J22:J33)</f>
        <v>39.8</v>
      </c>
      <c r="J35" s="174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103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D5:E5"/>
    <mergeCell ref="F5:G5"/>
    <mergeCell ref="H5:J9"/>
    <mergeCell ref="N5:O5"/>
    <mergeCell ref="P5:Q5"/>
    <mergeCell ref="T5:U5"/>
    <mergeCell ref="D6:E6"/>
    <mergeCell ref="N6:O6"/>
    <mergeCell ref="P6:Q6"/>
    <mergeCell ref="T6:U6"/>
    <mergeCell ref="D7:E7"/>
    <mergeCell ref="N7:O7"/>
    <mergeCell ref="P7:Q7"/>
    <mergeCell ref="A8:B8"/>
    <mergeCell ref="C8:D8"/>
    <mergeCell ref="F8:G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B16:D16"/>
    <mergeCell ref="F16:G16"/>
    <mergeCell ref="H16:I16"/>
    <mergeCell ref="N17:O17"/>
    <mergeCell ref="B18:D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L21:N21"/>
    <mergeCell ref="P21:Q21"/>
    <mergeCell ref="R21:S21"/>
    <mergeCell ref="F22:G22"/>
    <mergeCell ref="F23:G23"/>
    <mergeCell ref="B24:D24"/>
    <mergeCell ref="F24:G24"/>
    <mergeCell ref="B25:E25"/>
    <mergeCell ref="F25:G25"/>
    <mergeCell ref="F26:G26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412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116" t="s">
        <v>378</v>
      </c>
      <c r="L3" s="257" t="n">
        <f aca="false">IF(L35&gt;6000,L35/6000,1)</f>
        <v>1</v>
      </c>
      <c r="M3" s="258" t="n">
        <f aca="false">ROUNDUP(L3,0)</f>
        <v>1</v>
      </c>
      <c r="N3" s="259" t="n">
        <f aca="false">0.405*6*K26</f>
        <v>121.5</v>
      </c>
      <c r="O3" s="259"/>
      <c r="P3" s="260" t="n">
        <f aca="false">N3*M3</f>
        <v>121.5</v>
      </c>
      <c r="Q3" s="260"/>
      <c r="R3" s="261" t="str">
        <f aca="false">F5</f>
        <v>BRANCO</v>
      </c>
      <c r="S3" s="96" t="n">
        <v>6000</v>
      </c>
      <c r="T3" s="262" t="n">
        <f aca="false">0.405*L35/1000</f>
        <v>0.81</v>
      </c>
      <c r="U3" s="263" t="n">
        <f aca="false">M3*2.43</f>
        <v>2.43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413</v>
      </c>
      <c r="L4" s="265" t="n">
        <f aca="false">IF(L36&gt;6000,L36/6000,1)</f>
        <v>1</v>
      </c>
      <c r="M4" s="154" t="n">
        <f aca="false">ROUNDUP(L4,0)</f>
        <v>1</v>
      </c>
      <c r="N4" s="266" t="n">
        <f aca="false">0.529*6*K26</f>
        <v>158.7</v>
      </c>
      <c r="O4" s="266"/>
      <c r="P4" s="267" t="n">
        <f aca="false">N4*M4</f>
        <v>158.7</v>
      </c>
      <c r="Q4" s="267"/>
      <c r="R4" s="268" t="str">
        <f aca="false">F5</f>
        <v>BRANCO</v>
      </c>
      <c r="S4" s="96" t="n">
        <v>6000</v>
      </c>
      <c r="T4" s="262" t="n">
        <f aca="false">0.529*L36/1000</f>
        <v>0.998752</v>
      </c>
      <c r="U4" s="262" t="n">
        <f aca="false">M4*3.174</f>
        <v>3.174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414</v>
      </c>
      <c r="L5" s="265" t="n">
        <f aca="false">IF(L37&gt;6000,L37/6000,1)</f>
        <v>1</v>
      </c>
      <c r="M5" s="154" t="n">
        <f aca="false">ROUNDUP(L5,0)</f>
        <v>1</v>
      </c>
      <c r="N5" s="266" t="n">
        <f aca="false">0.158*6*K26</f>
        <v>47.4</v>
      </c>
      <c r="O5" s="266"/>
      <c r="P5" s="267" t="n">
        <f aca="false">N5*M5</f>
        <v>47.4</v>
      </c>
      <c r="Q5" s="267"/>
      <c r="R5" s="268" t="str">
        <f aca="false">F5</f>
        <v>BRANCO</v>
      </c>
      <c r="S5" s="96" t="n">
        <v>6000</v>
      </c>
      <c r="T5" s="262" t="n">
        <f aca="false">0.158*L37/1000</f>
        <v>0.079</v>
      </c>
      <c r="U5" s="262" t="n">
        <f aca="false">M5*0.948</f>
        <v>0.948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392</v>
      </c>
      <c r="L6" s="265" t="n">
        <f aca="false">IF(L38&gt;6000,L38/6000,1)</f>
        <v>1</v>
      </c>
      <c r="M6" s="154" t="n">
        <f aca="false">ROUNDUP(L6,0)</f>
        <v>1</v>
      </c>
      <c r="N6" s="266" t="n">
        <f aca="false">0.167*6*K26</f>
        <v>50.1</v>
      </c>
      <c r="O6" s="266"/>
      <c r="P6" s="267" t="n">
        <f aca="false">N6*M6</f>
        <v>50.1</v>
      </c>
      <c r="Q6" s="267"/>
      <c r="R6" s="268" t="str">
        <f aca="false">F5</f>
        <v>BRANCO</v>
      </c>
      <c r="S6" s="96" t="n">
        <v>6000</v>
      </c>
      <c r="T6" s="262" t="n">
        <f aca="false">0.167*L38/1000</f>
        <v>0.260186</v>
      </c>
      <c r="U6" s="262" t="n">
        <f aca="false">M6*1.002</f>
        <v>1.002</v>
      </c>
    </row>
    <row r="7" customFormat="false" ht="27" hidden="false" customHeight="true" outlineLevel="0" collapsed="false">
      <c r="A7" s="271" t="n">
        <v>500</v>
      </c>
      <c r="B7" s="272" t="n">
        <v>500</v>
      </c>
      <c r="C7" s="272" t="n">
        <v>500</v>
      </c>
      <c r="D7" s="272" t="n">
        <v>1</v>
      </c>
      <c r="E7" s="276" t="n">
        <f aca="false">(B7*C7)/10^6</f>
        <v>0.25</v>
      </c>
      <c r="F7" s="276"/>
      <c r="G7" s="270"/>
      <c r="H7" s="270"/>
      <c r="I7" s="270"/>
      <c r="J7" s="270"/>
      <c r="K7" s="116"/>
      <c r="L7" s="265"/>
      <c r="M7" s="154"/>
      <c r="N7" s="266"/>
      <c r="O7" s="266"/>
      <c r="P7" s="267"/>
      <c r="Q7" s="267"/>
      <c r="R7" s="268"/>
      <c r="S7" s="96"/>
      <c r="T7" s="262"/>
      <c r="U7" s="262"/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125</v>
      </c>
      <c r="D8" s="274"/>
      <c r="E8" s="20" t="s">
        <v>16</v>
      </c>
      <c r="F8" s="39" t="n">
        <f aca="false">D7*1</f>
        <v>1</v>
      </c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125</v>
      </c>
      <c r="D9" s="275"/>
      <c r="E9" s="389" t="n">
        <f aca="false">B7-100</f>
        <v>400</v>
      </c>
      <c r="F9" s="390" t="n">
        <f aca="false">C7-100</f>
        <v>400</v>
      </c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453"/>
      <c r="Q10" s="453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378</v>
      </c>
      <c r="B11" s="278" t="s">
        <v>415</v>
      </c>
      <c r="C11" s="278"/>
      <c r="D11" s="278"/>
      <c r="E11" s="15" t="n">
        <f aca="false">D7*2</f>
        <v>2</v>
      </c>
      <c r="F11" s="69" t="n">
        <f aca="false">B7</f>
        <v>500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378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500</v>
      </c>
      <c r="G12" s="97"/>
      <c r="H12" s="83" t="s">
        <v>18</v>
      </c>
      <c r="I12" s="83"/>
      <c r="J12" s="83" t="s">
        <v>33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413</v>
      </c>
      <c r="B13" s="279" t="s">
        <v>358</v>
      </c>
      <c r="C13" s="279"/>
      <c r="D13" s="279"/>
      <c r="E13" s="24" t="n">
        <f aca="false">D7*2</f>
        <v>2</v>
      </c>
      <c r="F13" s="97" t="n">
        <f aca="false">B7-28</f>
        <v>472</v>
      </c>
      <c r="G13" s="97"/>
      <c r="H13" s="83" t="s">
        <v>17</v>
      </c>
      <c r="I13" s="83"/>
      <c r="J13" s="83" t="s">
        <v>33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413</v>
      </c>
      <c r="B14" s="279" t="s">
        <v>359</v>
      </c>
      <c r="C14" s="279"/>
      <c r="D14" s="279"/>
      <c r="E14" s="24" t="n">
        <f aca="false">D7*2</f>
        <v>2</v>
      </c>
      <c r="F14" s="24" t="n">
        <f aca="false">F13</f>
        <v>472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414</v>
      </c>
      <c r="B15" s="279" t="s">
        <v>416</v>
      </c>
      <c r="C15" s="279"/>
      <c r="D15" s="279"/>
      <c r="E15" s="46" t="n">
        <f aca="false">D7*1</f>
        <v>1</v>
      </c>
      <c r="F15" s="24" t="n">
        <f aca="false">B7</f>
        <v>500</v>
      </c>
      <c r="G15" s="24"/>
      <c r="H15" s="83" t="s">
        <v>17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392</v>
      </c>
      <c r="B16" s="279" t="s">
        <v>203</v>
      </c>
      <c r="C16" s="279"/>
      <c r="D16" s="279"/>
      <c r="E16" s="24" t="n">
        <f aca="false">D7*2</f>
        <v>2</v>
      </c>
      <c r="F16" s="24" t="n">
        <f aca="false">B7-96</f>
        <v>404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392</v>
      </c>
      <c r="B17" s="279" t="s">
        <v>203</v>
      </c>
      <c r="C17" s="279"/>
      <c r="D17" s="279"/>
      <c r="E17" s="24" t="n">
        <f aca="false">D7*2</f>
        <v>2</v>
      </c>
      <c r="F17" s="24" t="n">
        <f aca="false">C7-125</f>
        <v>375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2.147938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214.7938</v>
      </c>
      <c r="N26" s="302"/>
      <c r="O26" s="303" t="n">
        <v>0.1</v>
      </c>
      <c r="P26" s="85" t="n">
        <f aca="false">K30*O26+K30</f>
        <v>118.13659</v>
      </c>
      <c r="Q26" s="85"/>
      <c r="R26" s="85"/>
      <c r="S26" s="181" t="s">
        <v>131</v>
      </c>
      <c r="T26" s="181"/>
      <c r="U26" s="294" t="n">
        <f aca="false">SUM(U3:U24)</f>
        <v>7.554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5.406062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377.7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107.3969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/>
      <c r="L34" s="109"/>
      <c r="M34" s="109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387" t="s">
        <v>378</v>
      </c>
      <c r="L35" s="109" t="n">
        <f aca="false">F11*E11+E12*F12</f>
        <v>2000</v>
      </c>
      <c r="M35" s="109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417</v>
      </c>
      <c r="B36" s="426" t="s">
        <v>365</v>
      </c>
      <c r="C36" s="426"/>
      <c r="D36" s="426"/>
      <c r="E36" s="426"/>
      <c r="F36" s="426"/>
      <c r="G36" s="426"/>
      <c r="H36" s="397" t="s">
        <v>64</v>
      </c>
      <c r="I36" s="72" t="n">
        <f aca="false">D7*2</f>
        <v>2</v>
      </c>
      <c r="J36" s="72"/>
      <c r="K36" s="387" t="s">
        <v>413</v>
      </c>
      <c r="L36" s="133" t="n">
        <f aca="false">F13*E13+E14*F14</f>
        <v>1888</v>
      </c>
      <c r="M36" s="387"/>
      <c r="N36" s="94"/>
      <c r="O36" s="93"/>
      <c r="P36" s="153"/>
      <c r="Q36" s="249"/>
      <c r="R36" s="249"/>
      <c r="S36" s="93"/>
      <c r="T36" s="93"/>
      <c r="U36" s="93"/>
    </row>
    <row r="37" customFormat="false" ht="27" hidden="false" customHeight="true" outlineLevel="0" collapsed="false">
      <c r="A37" s="319" t="s">
        <v>418</v>
      </c>
      <c r="B37" s="427" t="s">
        <v>363</v>
      </c>
      <c r="C37" s="427"/>
      <c r="D37" s="427"/>
      <c r="E37" s="427"/>
      <c r="F37" s="427"/>
      <c r="G37" s="427"/>
      <c r="H37" s="96" t="s">
        <v>64</v>
      </c>
      <c r="I37" s="83" t="n">
        <f aca="false">D7*1</f>
        <v>1</v>
      </c>
      <c r="J37" s="83"/>
      <c r="K37" s="387" t="s">
        <v>414</v>
      </c>
      <c r="L37" s="133" t="n">
        <f aca="false">F15*E15</f>
        <v>500</v>
      </c>
      <c r="M37" s="387"/>
      <c r="N37" s="94"/>
      <c r="O37" s="93"/>
      <c r="P37" s="153"/>
      <c r="Q37" s="249"/>
      <c r="R37" s="249"/>
      <c r="S37" s="93"/>
      <c r="T37" s="93"/>
      <c r="U37" s="93"/>
    </row>
    <row r="38" customFormat="false" ht="23.25" hidden="false" customHeight="true" outlineLevel="0" collapsed="false">
      <c r="A38" s="319" t="s">
        <v>419</v>
      </c>
      <c r="B38" s="427" t="s">
        <v>420</v>
      </c>
      <c r="C38" s="427"/>
      <c r="D38" s="427"/>
      <c r="E38" s="427"/>
      <c r="F38" s="427"/>
      <c r="G38" s="427"/>
      <c r="H38" s="96" t="s">
        <v>64</v>
      </c>
      <c r="I38" s="83" t="n">
        <f aca="false">D7*4</f>
        <v>4</v>
      </c>
      <c r="J38" s="83"/>
      <c r="K38" s="387" t="s">
        <v>392</v>
      </c>
      <c r="L38" s="133" t="n">
        <f aca="false">F16*E16+E17*F17</f>
        <v>1558</v>
      </c>
      <c r="M38" s="387"/>
      <c r="N38" s="94"/>
      <c r="O38" s="93"/>
      <c r="P38" s="153"/>
      <c r="Q38" s="249"/>
      <c r="R38" s="249"/>
      <c r="S38" s="93"/>
      <c r="T38" s="93"/>
      <c r="U38" s="93"/>
    </row>
    <row r="39" customFormat="false" ht="23.25" hidden="false" customHeight="true" outlineLevel="0" collapsed="false">
      <c r="A39" s="319" t="s">
        <v>421</v>
      </c>
      <c r="B39" s="427" t="s">
        <v>422</v>
      </c>
      <c r="C39" s="427"/>
      <c r="D39" s="427"/>
      <c r="E39" s="427"/>
      <c r="F39" s="427"/>
      <c r="G39" s="427"/>
      <c r="H39" s="96" t="s">
        <v>46</v>
      </c>
      <c r="I39" s="83" t="n">
        <f aca="false">B7*4+C7*4*D7</f>
        <v>4000</v>
      </c>
      <c r="J39" s="83"/>
      <c r="K39" s="387"/>
      <c r="L39" s="133"/>
      <c r="M39" s="387"/>
      <c r="N39" s="94"/>
      <c r="O39" s="93"/>
      <c r="P39" s="153"/>
      <c r="Q39" s="249"/>
      <c r="R39" s="249"/>
      <c r="S39" s="93"/>
      <c r="T39" s="93"/>
      <c r="U39" s="93"/>
    </row>
    <row r="40" customFormat="false" ht="23.25" hidden="false" customHeight="true" outlineLevel="0" collapsed="false">
      <c r="A40" s="319" t="s">
        <v>423</v>
      </c>
      <c r="B40" s="427" t="s">
        <v>424</v>
      </c>
      <c r="C40" s="427"/>
      <c r="D40" s="427"/>
      <c r="E40" s="427"/>
      <c r="F40" s="427"/>
      <c r="G40" s="427"/>
      <c r="H40" s="96" t="s">
        <v>46</v>
      </c>
      <c r="I40" s="83" t="n">
        <f aca="false">B7*1*D7</f>
        <v>500</v>
      </c>
      <c r="J40" s="83"/>
      <c r="K40" s="387"/>
      <c r="L40" s="133"/>
      <c r="M40" s="387"/>
      <c r="N40" s="94"/>
      <c r="O40" s="93"/>
      <c r="P40" s="153"/>
      <c r="Q40" s="249"/>
      <c r="R40" s="249"/>
      <c r="S40" s="93"/>
      <c r="T40" s="93"/>
      <c r="U40" s="93"/>
    </row>
    <row r="41" customFormat="false" ht="23.25" hidden="false" customHeight="true" outlineLevel="0" collapsed="false">
      <c r="A41" s="319" t="s">
        <v>405</v>
      </c>
      <c r="B41" s="427" t="s">
        <v>406</v>
      </c>
      <c r="C41" s="427"/>
      <c r="D41" s="427"/>
      <c r="E41" s="427"/>
      <c r="F41" s="427"/>
      <c r="G41" s="427"/>
      <c r="H41" s="96" t="s">
        <v>46</v>
      </c>
      <c r="I41" s="83" t="n">
        <f aca="false">B7*2+C7*2*D7</f>
        <v>2000</v>
      </c>
      <c r="J41" s="83"/>
      <c r="K41" s="387"/>
      <c r="L41" s="133"/>
      <c r="M41" s="387"/>
      <c r="N41" s="94"/>
      <c r="O41" s="93"/>
      <c r="P41" s="153"/>
      <c r="Q41" s="249"/>
      <c r="R41" s="249"/>
      <c r="S41" s="93"/>
      <c r="T41" s="93"/>
      <c r="U41" s="93"/>
    </row>
    <row r="42" customFormat="false" ht="23.25" hidden="false" customHeight="true" outlineLevel="0" collapsed="false">
      <c r="A42" s="319" t="s">
        <v>404</v>
      </c>
      <c r="B42" s="427" t="s">
        <v>348</v>
      </c>
      <c r="C42" s="427"/>
      <c r="D42" s="427"/>
      <c r="E42" s="427"/>
      <c r="F42" s="427"/>
      <c r="G42" s="427"/>
      <c r="H42" s="96" t="s">
        <v>46</v>
      </c>
      <c r="I42" s="83" t="n">
        <f aca="false">B7*2+C7*2*D7</f>
        <v>2000</v>
      </c>
      <c r="J42" s="83"/>
      <c r="K42" s="249"/>
      <c r="L42" s="94"/>
      <c r="M42" s="249"/>
      <c r="N42" s="94"/>
      <c r="O42" s="93"/>
      <c r="P42" s="153"/>
      <c r="Q42" s="249"/>
      <c r="R42" s="249"/>
      <c r="S42" s="93"/>
      <c r="T42" s="93"/>
      <c r="U42" s="93"/>
    </row>
    <row r="43" customFormat="false" ht="23.25" hidden="false" customHeight="true" outlineLevel="0" collapsed="false">
      <c r="A43" s="319"/>
      <c r="B43" s="427"/>
      <c r="C43" s="427"/>
      <c r="D43" s="427"/>
      <c r="E43" s="427"/>
      <c r="F43" s="427"/>
      <c r="G43" s="427"/>
      <c r="H43" s="96"/>
      <c r="I43" s="428"/>
      <c r="J43" s="428"/>
      <c r="K43" s="93"/>
      <c r="L43" s="93"/>
      <c r="M43" s="249"/>
      <c r="N43" s="93"/>
      <c r="O43" s="93"/>
      <c r="P43" s="153"/>
      <c r="Q43" s="249"/>
      <c r="R43" s="249"/>
      <c r="S43" s="93"/>
      <c r="T43" s="93"/>
      <c r="U43" s="93"/>
    </row>
    <row r="44" customFormat="false" ht="23.25" hidden="false" customHeight="true" outlineLevel="0" collapsed="false">
      <c r="A44" s="319"/>
      <c r="B44" s="427"/>
      <c r="C44" s="427"/>
      <c r="D44" s="427"/>
      <c r="E44" s="427"/>
      <c r="F44" s="427"/>
      <c r="G44" s="427"/>
      <c r="H44" s="96"/>
      <c r="I44" s="428"/>
      <c r="J44" s="428"/>
      <c r="K44" s="93"/>
      <c r="L44" s="93"/>
      <c r="M44" s="249"/>
      <c r="N44" s="94"/>
      <c r="O44" s="93"/>
      <c r="P44" s="153"/>
      <c r="Q44" s="249"/>
      <c r="R44" s="249"/>
      <c r="S44" s="93"/>
      <c r="T44" s="93"/>
      <c r="U44" s="93"/>
    </row>
    <row r="45" customFormat="false" ht="23.25" hidden="false" customHeight="true" outlineLevel="0" collapsed="false">
      <c r="A45" s="319"/>
      <c r="B45" s="427"/>
      <c r="C45" s="427"/>
      <c r="D45" s="427"/>
      <c r="E45" s="427"/>
      <c r="F45" s="427"/>
      <c r="G45" s="427"/>
      <c r="H45" s="96"/>
      <c r="I45" s="428"/>
      <c r="J45" s="428"/>
      <c r="K45" s="93"/>
      <c r="L45" s="93"/>
      <c r="M45" s="93"/>
      <c r="N45" s="93"/>
      <c r="O45" s="93"/>
      <c r="P45" s="153"/>
      <c r="Q45" s="249"/>
      <c r="R45" s="249"/>
      <c r="S45" s="93"/>
      <c r="T45" s="93"/>
      <c r="U45" s="93"/>
    </row>
    <row r="46" customFormat="false" ht="23.25" hidden="false" customHeight="true" outlineLevel="0" collapsed="false">
      <c r="A46" s="319"/>
      <c r="B46" s="431"/>
      <c r="C46" s="431"/>
      <c r="D46" s="431"/>
      <c r="E46" s="431"/>
      <c r="F46" s="431"/>
      <c r="G46" s="431"/>
      <c r="H46" s="96"/>
      <c r="I46" s="428"/>
      <c r="J46" s="428"/>
      <c r="K46" s="93"/>
      <c r="L46" s="93"/>
      <c r="M46" s="93"/>
      <c r="N46" s="93"/>
      <c r="O46" s="93"/>
      <c r="P46" s="153"/>
      <c r="Q46" s="249"/>
      <c r="R46" s="432"/>
      <c r="S46" s="93"/>
      <c r="T46" s="93"/>
      <c r="U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93"/>
      <c r="M47" s="93"/>
      <c r="N47" s="93"/>
      <c r="O47" s="93"/>
      <c r="P47" s="93"/>
      <c r="Q47" s="249"/>
      <c r="R47" s="93"/>
      <c r="S47" s="93"/>
      <c r="T47" s="93"/>
      <c r="U47" s="93"/>
    </row>
    <row r="48" customFormat="false" ht="23.25" hidden="false" customHeight="true" outlineLevel="0" collapsed="false">
      <c r="A48" s="128"/>
      <c r="B48" s="433"/>
      <c r="C48" s="433"/>
      <c r="D48" s="433"/>
      <c r="E48" s="433"/>
      <c r="F48" s="433"/>
      <c r="G48" s="433"/>
      <c r="H48" s="26"/>
      <c r="I48" s="434"/>
      <c r="J48" s="434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428"/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5"/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/>
      <c r="B51" s="431"/>
      <c r="C51" s="431"/>
      <c r="D51" s="431"/>
      <c r="E51" s="431"/>
      <c r="F51" s="431"/>
      <c r="G51" s="431"/>
      <c r="H51" s="96"/>
      <c r="I51" s="120"/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/>
      <c r="B52" s="431"/>
      <c r="C52" s="431"/>
      <c r="D52" s="431"/>
      <c r="E52" s="431"/>
      <c r="F52" s="431"/>
      <c r="G52" s="431"/>
      <c r="H52" s="96"/>
      <c r="I52" s="120"/>
      <c r="J52" s="120"/>
      <c r="K52" s="93"/>
      <c r="L52" s="93"/>
      <c r="M52" s="93"/>
      <c r="N52" s="93"/>
      <c r="O52" s="93"/>
      <c r="P52" s="93"/>
      <c r="Q52" s="93"/>
      <c r="R52" s="93"/>
      <c r="S52" s="93"/>
      <c r="T52" s="93"/>
    </row>
    <row r="53" customFormat="false" ht="23.25" hidden="false" customHeight="true" outlineLevel="0" collapsed="false">
      <c r="A53" s="128"/>
      <c r="B53" s="431"/>
      <c r="C53" s="431"/>
      <c r="D53" s="431"/>
      <c r="E53" s="431"/>
      <c r="F53" s="431"/>
      <c r="G53" s="431"/>
      <c r="H53" s="96"/>
      <c r="I53" s="435"/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/>
      <c r="B54" s="436"/>
      <c r="C54" s="436"/>
      <c r="D54" s="436"/>
      <c r="E54" s="436"/>
      <c r="F54" s="436"/>
      <c r="G54" s="436"/>
      <c r="H54" s="290"/>
      <c r="I54" s="290"/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" t="s">
        <v>425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57" t="s">
        <v>9</v>
      </c>
      <c r="T2" s="252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426</v>
      </c>
      <c r="L3" s="458" t="n">
        <f aca="false">IF(R36&gt;6000,R36/6000,1)</f>
        <v>1</v>
      </c>
      <c r="M3" s="459" t="n">
        <f aca="false">ROUNDUP(L3,0)</f>
        <v>1</v>
      </c>
      <c r="N3" s="259" t="n">
        <f aca="false">2.273*6*K26</f>
        <v>681.9</v>
      </c>
      <c r="O3" s="259"/>
      <c r="P3" s="260" t="n">
        <f aca="false">N3*M3</f>
        <v>681.9</v>
      </c>
      <c r="Q3" s="260"/>
      <c r="R3" s="261" t="str">
        <f aca="false">F5</f>
        <v>BRANCO</v>
      </c>
      <c r="S3" s="96" t="n">
        <v>6000</v>
      </c>
      <c r="T3" s="262" t="n">
        <f aca="false">R36*2.273/1000</f>
        <v>4.482356</v>
      </c>
      <c r="U3" s="263" t="n">
        <f aca="false">M3*13.738</f>
        <v>13.738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427</v>
      </c>
      <c r="L4" s="460" t="n">
        <f aca="false">IF(R37&gt;6000,R37/6000,1)</f>
        <v>1</v>
      </c>
      <c r="M4" s="461" t="n">
        <f aca="false">ROUNDUP(L4,0)</f>
        <v>1</v>
      </c>
      <c r="N4" s="266" t="n">
        <f aca="false">1.25*6*K26</f>
        <v>375</v>
      </c>
      <c r="O4" s="266"/>
      <c r="P4" s="267" t="n">
        <f aca="false">N4*M4</f>
        <v>375</v>
      </c>
      <c r="Q4" s="267"/>
      <c r="R4" s="268" t="str">
        <f aca="false">F5</f>
        <v>BRANCO</v>
      </c>
      <c r="S4" s="96" t="n">
        <v>6000</v>
      </c>
      <c r="T4" s="262" t="n">
        <f aca="false">R37*1.25/1000</f>
        <v>5.25</v>
      </c>
      <c r="U4" s="262" t="n">
        <f aca="false">M4*7.5</f>
        <v>7.5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428</v>
      </c>
      <c r="L5" s="460" t="n">
        <f aca="false">IF(R38&gt;6000,R38/6000,1)</f>
        <v>1</v>
      </c>
      <c r="M5" s="461" t="n">
        <f aca="false">ROUNDUP(L5,0)</f>
        <v>1</v>
      </c>
      <c r="N5" s="266" t="n">
        <f aca="false">2.12*6*K26</f>
        <v>636</v>
      </c>
      <c r="O5" s="266"/>
      <c r="P5" s="267" t="n">
        <f aca="false">N5*M5</f>
        <v>636</v>
      </c>
      <c r="Q5" s="267"/>
      <c r="R5" s="268" t="str">
        <f aca="false">F5</f>
        <v>BRANCO</v>
      </c>
      <c r="S5" s="96" t="n">
        <v>6000</v>
      </c>
      <c r="T5" s="262" t="n">
        <f aca="false">R38*2.12/1000</f>
        <v>4.18064</v>
      </c>
      <c r="U5" s="262" t="n">
        <f aca="false">M5*12.72</f>
        <v>12.72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429</v>
      </c>
      <c r="L6" s="460" t="n">
        <f aca="false">IF(R39&gt;6000,R39/6000,1)</f>
        <v>1</v>
      </c>
      <c r="M6" s="461" t="n">
        <f aca="false">ROUNDUP(L6,0)</f>
        <v>1</v>
      </c>
      <c r="N6" s="266" t="n">
        <f aca="false">0.455*6*K26</f>
        <v>136.5</v>
      </c>
      <c r="O6" s="266"/>
      <c r="P6" s="267" t="n">
        <f aca="false">N6*M6</f>
        <v>136.5</v>
      </c>
      <c r="Q6" s="267"/>
      <c r="R6" s="268" t="str">
        <f aca="false">F5</f>
        <v>BRANCO</v>
      </c>
      <c r="S6" s="96" t="n">
        <v>6000</v>
      </c>
      <c r="T6" s="262" t="n">
        <f aca="false">R39*0.455/1000</f>
        <v>1.8837</v>
      </c>
      <c r="U6" s="262" t="n">
        <f aca="false">M6*2.73</f>
        <v>2.73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79" t="s">
        <v>430</v>
      </c>
      <c r="L7" s="460" t="n">
        <f aca="false">IF(R40&gt;6000,R40/6000,1)</f>
        <v>1</v>
      </c>
      <c r="M7" s="461" t="n">
        <f aca="false">ROUNDUP(L7,0)</f>
        <v>1</v>
      </c>
      <c r="N7" s="266" t="n">
        <f aca="false">0.677*6*K26</f>
        <v>203.1</v>
      </c>
      <c r="O7" s="266"/>
      <c r="P7" s="267" t="n">
        <f aca="false">N7*M7</f>
        <v>203.1</v>
      </c>
      <c r="Q7" s="267"/>
      <c r="R7" s="268" t="str">
        <f aca="false">F5</f>
        <v>BRANCO</v>
      </c>
      <c r="S7" s="96" t="n">
        <v>6000</v>
      </c>
      <c r="T7" s="262" t="n">
        <f aca="false">R40*0.677/1000</f>
        <v>0.59576</v>
      </c>
      <c r="U7" s="262" t="n">
        <f aca="false">M7*4.062</f>
        <v>4.062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79" t="s">
        <v>391</v>
      </c>
      <c r="L8" s="460" t="n">
        <f aca="false">IF(R41&gt;6000,R41/6000,1)</f>
        <v>1</v>
      </c>
      <c r="M8" s="461" t="n">
        <f aca="false">ROUNDUP(L8,0)</f>
        <v>1</v>
      </c>
      <c r="N8" s="266" t="n">
        <f aca="false">1.229*6*K26</f>
        <v>368.7</v>
      </c>
      <c r="O8" s="266"/>
      <c r="P8" s="267" t="n">
        <f aca="false">N8*M8</f>
        <v>368.7</v>
      </c>
      <c r="Q8" s="267"/>
      <c r="R8" s="268" t="str">
        <f aca="false">F5</f>
        <v>BRANCO</v>
      </c>
      <c r="S8" s="96" t="n">
        <v>6000</v>
      </c>
      <c r="T8" s="262" t="n">
        <f aca="false">R41*1.229/1000</f>
        <v>1.08152</v>
      </c>
      <c r="U8" s="262" t="n">
        <f aca="false">M8*7.334</f>
        <v>7.334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(B7-264)/4</f>
        <v>434</v>
      </c>
      <c r="F9" s="390" t="n">
        <f aca="false">C7-183</f>
        <v>1917</v>
      </c>
      <c r="G9" s="270"/>
      <c r="H9" s="270"/>
      <c r="I9" s="270"/>
      <c r="J9" s="270"/>
      <c r="K9" s="79" t="s">
        <v>431</v>
      </c>
      <c r="L9" s="460" t="n">
        <f aca="false">IF(R42&gt;6000,R42/6000,1)</f>
        <v>1</v>
      </c>
      <c r="M9" s="461" t="n">
        <f aca="false">ROUNDUP(L9,0)</f>
        <v>1</v>
      </c>
      <c r="N9" s="266" t="n">
        <f aca="false">1.01*6*K26</f>
        <v>303</v>
      </c>
      <c r="O9" s="266"/>
      <c r="P9" s="267" t="n">
        <f aca="false">N9*M9</f>
        <v>303</v>
      </c>
      <c r="Q9" s="267"/>
      <c r="R9" s="268" t="str">
        <f aca="false">R8</f>
        <v>BRANCO</v>
      </c>
      <c r="S9" s="96" t="n">
        <v>6000</v>
      </c>
      <c r="T9" s="262" t="n">
        <f aca="false">R42*1.01/1000</f>
        <v>4.13898</v>
      </c>
      <c r="U9" s="262" t="n">
        <f aca="false">M9*6.06</f>
        <v>6.06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432</v>
      </c>
      <c r="L10" s="460" t="n">
        <f aca="false">IF(R43&gt;6000,R43/6000,1)</f>
        <v>1.0245</v>
      </c>
      <c r="M10" s="461" t="n">
        <f aca="false">ROUNDUP(L10,0)</f>
        <v>2</v>
      </c>
      <c r="N10" s="277" t="n">
        <f aca="false">1.733*6*K26</f>
        <v>519.9</v>
      </c>
      <c r="O10" s="277"/>
      <c r="P10" s="453" t="n">
        <f aca="false">N10*M10</f>
        <v>1039.8</v>
      </c>
      <c r="Q10" s="453"/>
      <c r="R10" s="268" t="str">
        <f aca="false">F5</f>
        <v>BRANCO</v>
      </c>
      <c r="S10" s="96" t="n">
        <v>6000</v>
      </c>
      <c r="T10" s="262" t="n">
        <f aca="false">R43*1.733/1000</f>
        <v>10.652751</v>
      </c>
      <c r="U10" s="262" t="n">
        <f aca="false">M10*10.398</f>
        <v>20.796</v>
      </c>
    </row>
    <row r="11" customFormat="false" ht="25.5" hidden="false" customHeight="true" outlineLevel="0" collapsed="false">
      <c r="A11" s="67" t="s">
        <v>426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B7-28</f>
        <v>1972</v>
      </c>
      <c r="G11" s="69"/>
      <c r="H11" s="72" t="s">
        <v>17</v>
      </c>
      <c r="I11" s="72"/>
      <c r="J11" s="72" t="s">
        <v>42</v>
      </c>
      <c r="K11" s="79" t="s">
        <v>433</v>
      </c>
      <c r="L11" s="460" t="n">
        <f aca="false">IF(R44&gt;6000,R44/6000,1)</f>
        <v>1.0245</v>
      </c>
      <c r="M11" s="461" t="n">
        <f aca="false">ROUNDUP(L11,0)</f>
        <v>2</v>
      </c>
      <c r="N11" s="266" t="n">
        <f aca="false">0.905*6*K26</f>
        <v>271.5</v>
      </c>
      <c r="O11" s="266"/>
      <c r="P11" s="267" t="n">
        <f aca="false">N11*M11</f>
        <v>543</v>
      </c>
      <c r="Q11" s="267"/>
      <c r="R11" s="268" t="str">
        <f aca="false">F5</f>
        <v>BRANCO</v>
      </c>
      <c r="S11" s="96" t="n">
        <v>6000</v>
      </c>
      <c r="T11" s="262" t="n">
        <f aca="false">R44*0.905/1000</f>
        <v>5.563035</v>
      </c>
      <c r="U11" s="262" t="n">
        <f aca="false">M11*5.43</f>
        <v>10.86</v>
      </c>
    </row>
    <row r="12" customFormat="false" ht="25.5" hidden="false" customHeight="true" outlineLevel="0" collapsed="false">
      <c r="A12" s="79" t="s">
        <v>427</v>
      </c>
      <c r="B12" s="279" t="s">
        <v>192</v>
      </c>
      <c r="C12" s="279"/>
      <c r="D12" s="279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42</v>
      </c>
      <c r="K12" s="79" t="s">
        <v>392</v>
      </c>
      <c r="L12" s="460" t="n">
        <f aca="false">IF(R45&gt;6000,R45/6000,1)</f>
        <v>3.11066666666667</v>
      </c>
      <c r="M12" s="461" t="n">
        <f aca="false">ROUNDUP(L12,0)</f>
        <v>4</v>
      </c>
      <c r="N12" s="266" t="n">
        <f aca="false">0.167*6*K26</f>
        <v>50.1</v>
      </c>
      <c r="O12" s="266"/>
      <c r="P12" s="267" t="n">
        <f aca="false">N12*M12</f>
        <v>200.4</v>
      </c>
      <c r="Q12" s="267"/>
      <c r="R12" s="268" t="str">
        <f aca="false">F5</f>
        <v>BRANCO</v>
      </c>
      <c r="S12" s="96" t="n">
        <v>6000</v>
      </c>
      <c r="T12" s="262" t="n">
        <f aca="false">R45*0.167/1000</f>
        <v>3.116888</v>
      </c>
      <c r="U12" s="262" t="n">
        <f aca="false">M12*1.002</f>
        <v>4.008</v>
      </c>
    </row>
    <row r="13" customFormat="false" ht="25.5" hidden="false" customHeight="true" outlineLevel="0" collapsed="false">
      <c r="A13" s="79" t="s">
        <v>428</v>
      </c>
      <c r="B13" s="279" t="s">
        <v>434</v>
      </c>
      <c r="C13" s="279"/>
      <c r="D13" s="279"/>
      <c r="E13" s="24" t="n">
        <f aca="false">D7*1</f>
        <v>1</v>
      </c>
      <c r="F13" s="97" t="n">
        <f aca="false">F11</f>
        <v>1972</v>
      </c>
      <c r="G13" s="97"/>
      <c r="H13" s="83" t="s">
        <v>17</v>
      </c>
      <c r="I13" s="83"/>
      <c r="J13" s="83" t="s">
        <v>42</v>
      </c>
      <c r="K13" s="79" t="s">
        <v>374</v>
      </c>
      <c r="L13" s="460" t="n">
        <f aca="false">IF(R46&gt;6000,R46/6000,1)</f>
        <v>1</v>
      </c>
      <c r="M13" s="461" t="n">
        <f aca="false">ROUNDUP(L13,0)</f>
        <v>1</v>
      </c>
      <c r="N13" s="266" t="n">
        <f aca="false">0.267*6*K26</f>
        <v>80.1</v>
      </c>
      <c r="O13" s="266"/>
      <c r="P13" s="267" t="n">
        <f aca="false">N13*M13</f>
        <v>80.1</v>
      </c>
      <c r="Q13" s="267"/>
      <c r="R13" s="268" t="str">
        <f aca="false">F5</f>
        <v>BRANCO</v>
      </c>
      <c r="S13" s="96" t="n">
        <v>6000</v>
      </c>
      <c r="T13" s="262" t="n">
        <f aca="false">R46*0.267/1000</f>
        <v>0.54468</v>
      </c>
      <c r="U13" s="262" t="n">
        <f aca="false">M13*1.602</f>
        <v>1.602</v>
      </c>
    </row>
    <row r="14" customFormat="false" ht="25.5" hidden="false" customHeight="true" outlineLevel="0" collapsed="false">
      <c r="A14" s="79" t="s">
        <v>429</v>
      </c>
      <c r="B14" s="279" t="s">
        <v>196</v>
      </c>
      <c r="C14" s="279"/>
      <c r="D14" s="279"/>
      <c r="E14" s="24" t="n">
        <f aca="false">D7*2</f>
        <v>2</v>
      </c>
      <c r="F14" s="24" t="n">
        <f aca="false">C7-30</f>
        <v>2070</v>
      </c>
      <c r="G14" s="24"/>
      <c r="H14" s="83" t="s">
        <v>18</v>
      </c>
      <c r="I14" s="83"/>
      <c r="J14" s="83" t="s">
        <v>42</v>
      </c>
      <c r="K14" s="79"/>
      <c r="L14" s="460"/>
      <c r="M14" s="461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430</v>
      </c>
      <c r="B15" s="279" t="s">
        <v>282</v>
      </c>
      <c r="C15" s="279"/>
      <c r="D15" s="279"/>
      <c r="E15" s="46" t="n">
        <f aca="false">D7*2</f>
        <v>2</v>
      </c>
      <c r="F15" s="24" t="n">
        <f aca="false">(B7-240)/4</f>
        <v>440</v>
      </c>
      <c r="G15" s="24"/>
      <c r="H15" s="83" t="s">
        <v>17</v>
      </c>
      <c r="I15" s="83"/>
      <c r="J15" s="83" t="s">
        <v>42</v>
      </c>
      <c r="K15" s="79"/>
      <c r="L15" s="462"/>
      <c r="M15" s="240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391</v>
      </c>
      <c r="B16" s="279" t="s">
        <v>283</v>
      </c>
      <c r="C16" s="279"/>
      <c r="D16" s="279"/>
      <c r="E16" s="24" t="n">
        <f aca="false">D7*2</f>
        <v>2</v>
      </c>
      <c r="F16" s="24" t="n">
        <f aca="false">F15</f>
        <v>440</v>
      </c>
      <c r="G16" s="24"/>
      <c r="H16" s="83" t="s">
        <v>17</v>
      </c>
      <c r="I16" s="83"/>
      <c r="J16" s="83" t="s">
        <v>42</v>
      </c>
      <c r="K16" s="83"/>
      <c r="L16" s="462"/>
      <c r="M16" s="240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431</v>
      </c>
      <c r="B17" s="279" t="s">
        <v>435</v>
      </c>
      <c r="C17" s="279"/>
      <c r="D17" s="279"/>
      <c r="E17" s="24" t="n">
        <f aca="false">D7*2</f>
        <v>2</v>
      </c>
      <c r="F17" s="24" t="n">
        <f aca="false">C7-51</f>
        <v>2049</v>
      </c>
      <c r="G17" s="24"/>
      <c r="H17" s="83" t="s">
        <v>18</v>
      </c>
      <c r="I17" s="83"/>
      <c r="J17" s="83" t="s">
        <v>42</v>
      </c>
      <c r="K17" s="83"/>
      <c r="L17" s="462"/>
      <c r="M17" s="240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 t="s">
        <v>432</v>
      </c>
      <c r="B18" s="279" t="s">
        <v>435</v>
      </c>
      <c r="C18" s="279"/>
      <c r="D18" s="279"/>
      <c r="E18" s="24" t="n">
        <f aca="false">D7*3</f>
        <v>3</v>
      </c>
      <c r="F18" s="24" t="n">
        <f aca="false">F17</f>
        <v>2049</v>
      </c>
      <c r="G18" s="24"/>
      <c r="H18" s="83" t="s">
        <v>17</v>
      </c>
      <c r="I18" s="83"/>
      <c r="J18" s="83" t="s">
        <v>42</v>
      </c>
      <c r="K18" s="363"/>
      <c r="L18" s="462"/>
      <c r="M18" s="463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 t="s">
        <v>433</v>
      </c>
      <c r="B19" s="279" t="s">
        <v>435</v>
      </c>
      <c r="C19" s="279"/>
      <c r="D19" s="279"/>
      <c r="E19" s="24" t="n">
        <f aca="false">D7*3</f>
        <v>3</v>
      </c>
      <c r="F19" s="24" t="n">
        <f aca="false">F18</f>
        <v>2049</v>
      </c>
      <c r="G19" s="24"/>
      <c r="H19" s="83" t="s">
        <v>17</v>
      </c>
      <c r="I19" s="83"/>
      <c r="J19" s="83" t="s">
        <v>42</v>
      </c>
      <c r="K19" s="96"/>
      <c r="L19" s="464"/>
      <c r="M19" s="463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 t="s">
        <v>392</v>
      </c>
      <c r="B20" s="279" t="s">
        <v>203</v>
      </c>
      <c r="C20" s="279"/>
      <c r="D20" s="279"/>
      <c r="E20" s="46" t="n">
        <f aca="false">D7*8</f>
        <v>8</v>
      </c>
      <c r="F20" s="24" t="n">
        <f aca="false">F15</f>
        <v>440</v>
      </c>
      <c r="G20" s="24"/>
      <c r="H20" s="83" t="s">
        <v>18</v>
      </c>
      <c r="I20" s="83"/>
      <c r="J20" s="83" t="s">
        <v>42</v>
      </c>
      <c r="K20" s="96"/>
      <c r="L20" s="464"/>
      <c r="M20" s="463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 t="s">
        <v>392</v>
      </c>
      <c r="B21" s="80" t="s">
        <v>203</v>
      </c>
      <c r="C21" s="80"/>
      <c r="D21" s="80"/>
      <c r="E21" s="46" t="n">
        <f aca="false">D7*8</f>
        <v>8</v>
      </c>
      <c r="F21" s="24" t="n">
        <f aca="false">C7-207</f>
        <v>1893</v>
      </c>
      <c r="G21" s="24"/>
      <c r="H21" s="28" t="s">
        <v>17</v>
      </c>
      <c r="I21" s="28"/>
      <c r="J21" s="83" t="s">
        <v>42</v>
      </c>
      <c r="K21" s="96"/>
      <c r="L21" s="464"/>
      <c r="M21" s="463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 t="s">
        <v>374</v>
      </c>
      <c r="B22" s="80" t="s">
        <v>436</v>
      </c>
      <c r="C22" s="80"/>
      <c r="D22" s="80"/>
      <c r="E22" s="46" t="n">
        <f aca="false">D7*1</f>
        <v>1</v>
      </c>
      <c r="F22" s="24" t="n">
        <f aca="false">B7+40</f>
        <v>2040</v>
      </c>
      <c r="G22" s="24"/>
      <c r="H22" s="83" t="s">
        <v>17</v>
      </c>
      <c r="I22" s="83"/>
      <c r="J22" s="83" t="s">
        <v>42</v>
      </c>
      <c r="K22" s="96"/>
      <c r="L22" s="464"/>
      <c r="M22" s="463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451"/>
      <c r="L23" s="464"/>
      <c r="M23" s="463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465"/>
      <c r="M24" s="466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41.49031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4149.031</v>
      </c>
      <c r="N26" s="302"/>
      <c r="O26" s="303" t="n">
        <v>0.1</v>
      </c>
      <c r="P26" s="85" t="n">
        <f aca="false">K30*O26+K30</f>
        <v>2281.96705</v>
      </c>
      <c r="Q26" s="85"/>
      <c r="R26" s="85"/>
      <c r="S26" s="181" t="s">
        <v>131</v>
      </c>
      <c r="T26" s="181"/>
      <c r="U26" s="294" t="n">
        <f aca="false">SUM(U3:U24)</f>
        <v>91.41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49.91969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4570.5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2074.5155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105" t="s">
        <v>26</v>
      </c>
      <c r="C35" s="105"/>
      <c r="D35" s="105"/>
      <c r="E35" s="105"/>
      <c r="F35" s="105"/>
      <c r="G35" s="105"/>
      <c r="H35" s="106" t="s">
        <v>5</v>
      </c>
      <c r="I35" s="20" t="s">
        <v>207</v>
      </c>
      <c r="J35" s="20"/>
      <c r="K35" s="93"/>
      <c r="L35" s="93"/>
      <c r="M35" s="93"/>
      <c r="N35" s="93"/>
      <c r="O35" s="93"/>
      <c r="P35" s="109"/>
      <c r="Q35" s="109"/>
      <c r="R35" s="109"/>
      <c r="S35" s="109"/>
      <c r="T35" s="93"/>
      <c r="U35" s="93"/>
    </row>
    <row r="36" customFormat="false" ht="27" hidden="false" customHeight="true" outlineLevel="0" collapsed="false">
      <c r="A36" s="313" t="s">
        <v>437</v>
      </c>
      <c r="B36" s="426" t="s">
        <v>438</v>
      </c>
      <c r="C36" s="426"/>
      <c r="D36" s="426"/>
      <c r="E36" s="426"/>
      <c r="F36" s="426"/>
      <c r="G36" s="426"/>
      <c r="H36" s="397" t="s">
        <v>64</v>
      </c>
      <c r="I36" s="72" t="n">
        <f aca="false">D7*2</f>
        <v>2</v>
      </c>
      <c r="J36" s="72"/>
      <c r="K36" s="249"/>
      <c r="L36" s="94"/>
      <c r="M36" s="249"/>
      <c r="N36" s="94"/>
      <c r="O36" s="93"/>
      <c r="P36" s="467"/>
      <c r="Q36" s="387" t="s">
        <v>426</v>
      </c>
      <c r="R36" s="387" t="n">
        <f aca="false">F11*E11</f>
        <v>1972</v>
      </c>
      <c r="S36" s="109"/>
      <c r="T36" s="93"/>
      <c r="U36" s="93"/>
    </row>
    <row r="37" customFormat="false" ht="27" hidden="false" customHeight="true" outlineLevel="0" collapsed="false">
      <c r="A37" s="319" t="s">
        <v>439</v>
      </c>
      <c r="B37" s="427" t="s">
        <v>440</v>
      </c>
      <c r="C37" s="427"/>
      <c r="D37" s="427"/>
      <c r="E37" s="427"/>
      <c r="F37" s="427"/>
      <c r="G37" s="427"/>
      <c r="H37" s="96" t="s">
        <v>64</v>
      </c>
      <c r="I37" s="83" t="n">
        <f aca="false">D7*16</f>
        <v>16</v>
      </c>
      <c r="J37" s="83"/>
      <c r="K37" s="249"/>
      <c r="L37" s="94"/>
      <c r="M37" s="249"/>
      <c r="N37" s="94"/>
      <c r="O37" s="93"/>
      <c r="P37" s="467"/>
      <c r="Q37" s="387" t="s">
        <v>427</v>
      </c>
      <c r="R37" s="387" t="n">
        <f aca="false">F12*E12</f>
        <v>4200</v>
      </c>
      <c r="S37" s="109"/>
      <c r="T37" s="93"/>
      <c r="U37" s="93"/>
    </row>
    <row r="38" customFormat="false" ht="23.25" hidden="false" customHeight="true" outlineLevel="0" collapsed="false">
      <c r="A38" s="319" t="s">
        <v>441</v>
      </c>
      <c r="B38" s="427" t="s">
        <v>442</v>
      </c>
      <c r="C38" s="427"/>
      <c r="D38" s="427"/>
      <c r="E38" s="427"/>
      <c r="F38" s="427"/>
      <c r="G38" s="427"/>
      <c r="H38" s="96" t="s">
        <v>64</v>
      </c>
      <c r="I38" s="83" t="n">
        <f aca="false">D7*3</f>
        <v>3</v>
      </c>
      <c r="J38" s="83"/>
      <c r="K38" s="249"/>
      <c r="L38" s="94"/>
      <c r="M38" s="249"/>
      <c r="N38" s="94"/>
      <c r="O38" s="93"/>
      <c r="P38" s="467"/>
      <c r="Q38" s="387" t="s">
        <v>428</v>
      </c>
      <c r="R38" s="387" t="n">
        <f aca="false">F13*E13</f>
        <v>1972</v>
      </c>
      <c r="S38" s="109"/>
      <c r="T38" s="93"/>
      <c r="U38" s="93"/>
    </row>
    <row r="39" customFormat="false" ht="23.25" hidden="false" customHeight="true" outlineLevel="0" collapsed="false">
      <c r="A39" s="319" t="s">
        <v>443</v>
      </c>
      <c r="B39" s="427" t="s">
        <v>230</v>
      </c>
      <c r="C39" s="427"/>
      <c r="D39" s="427"/>
      <c r="E39" s="427"/>
      <c r="F39" s="427"/>
      <c r="G39" s="427"/>
      <c r="H39" s="96" t="s">
        <v>64</v>
      </c>
      <c r="I39" s="83" t="n">
        <f aca="false">D7*3</f>
        <v>3</v>
      </c>
      <c r="J39" s="83"/>
      <c r="K39" s="249"/>
      <c r="L39" s="94"/>
      <c r="M39" s="249"/>
      <c r="N39" s="94"/>
      <c r="O39" s="93"/>
      <c r="P39" s="467"/>
      <c r="Q39" s="387" t="s">
        <v>429</v>
      </c>
      <c r="R39" s="387" t="n">
        <f aca="false">F14*E14</f>
        <v>4140</v>
      </c>
      <c r="S39" s="109"/>
      <c r="T39" s="93"/>
      <c r="U39" s="93"/>
    </row>
    <row r="40" customFormat="false" ht="23.25" hidden="false" customHeight="true" outlineLevel="0" collapsed="false">
      <c r="A40" s="319" t="s">
        <v>444</v>
      </c>
      <c r="B40" s="427" t="s">
        <v>289</v>
      </c>
      <c r="C40" s="427"/>
      <c r="D40" s="427"/>
      <c r="E40" s="427"/>
      <c r="F40" s="427"/>
      <c r="G40" s="427"/>
      <c r="H40" s="96" t="s">
        <v>64</v>
      </c>
      <c r="I40" s="83" t="n">
        <f aca="false">D7*12</f>
        <v>12</v>
      </c>
      <c r="J40" s="83"/>
      <c r="K40" s="249"/>
      <c r="L40" s="94"/>
      <c r="M40" s="249"/>
      <c r="N40" s="94"/>
      <c r="O40" s="93"/>
      <c r="P40" s="467"/>
      <c r="Q40" s="387" t="s">
        <v>430</v>
      </c>
      <c r="R40" s="387" t="n">
        <f aca="false">F15*E15</f>
        <v>880</v>
      </c>
      <c r="S40" s="109"/>
      <c r="T40" s="93"/>
      <c r="U40" s="93"/>
    </row>
    <row r="41" customFormat="false" ht="23.25" hidden="false" customHeight="true" outlineLevel="0" collapsed="false">
      <c r="A41" s="319" t="s">
        <v>445</v>
      </c>
      <c r="B41" s="427" t="s">
        <v>446</v>
      </c>
      <c r="C41" s="427"/>
      <c r="D41" s="427"/>
      <c r="E41" s="427"/>
      <c r="F41" s="427"/>
      <c r="G41" s="427"/>
      <c r="H41" s="96" t="s">
        <v>64</v>
      </c>
      <c r="I41" s="83" t="n">
        <f aca="false">D7*16</f>
        <v>16</v>
      </c>
      <c r="J41" s="83"/>
      <c r="K41" s="249"/>
      <c r="L41" s="94"/>
      <c r="M41" s="249"/>
      <c r="N41" s="94"/>
      <c r="O41" s="93"/>
      <c r="P41" s="467"/>
      <c r="Q41" s="387" t="s">
        <v>391</v>
      </c>
      <c r="R41" s="387" t="n">
        <f aca="false">F16*E16</f>
        <v>880</v>
      </c>
      <c r="S41" s="109"/>
      <c r="T41" s="93"/>
      <c r="U41" s="93"/>
    </row>
    <row r="42" customFormat="false" ht="23.25" hidden="false" customHeight="true" outlineLevel="0" collapsed="false">
      <c r="A42" s="319" t="s">
        <v>447</v>
      </c>
      <c r="B42" s="427" t="s">
        <v>340</v>
      </c>
      <c r="C42" s="427"/>
      <c r="D42" s="427"/>
      <c r="E42" s="427"/>
      <c r="F42" s="427"/>
      <c r="G42" s="427"/>
      <c r="H42" s="96" t="s">
        <v>64</v>
      </c>
      <c r="I42" s="83" t="n">
        <f aca="false">D7*8</f>
        <v>8</v>
      </c>
      <c r="J42" s="83"/>
      <c r="K42" s="249"/>
      <c r="L42" s="94"/>
      <c r="M42" s="249"/>
      <c r="N42" s="94"/>
      <c r="O42" s="93"/>
      <c r="P42" s="467"/>
      <c r="Q42" s="387" t="s">
        <v>431</v>
      </c>
      <c r="R42" s="387" t="n">
        <f aca="false">F17*E17</f>
        <v>4098</v>
      </c>
      <c r="S42" s="109"/>
      <c r="T42" s="93"/>
      <c r="U42" s="93"/>
    </row>
    <row r="43" customFormat="false" ht="23.25" hidden="false" customHeight="true" outlineLevel="0" collapsed="false">
      <c r="A43" s="319" t="s">
        <v>448</v>
      </c>
      <c r="B43" s="427" t="s">
        <v>449</v>
      </c>
      <c r="C43" s="427"/>
      <c r="D43" s="427"/>
      <c r="E43" s="427"/>
      <c r="F43" s="427"/>
      <c r="G43" s="427"/>
      <c r="H43" s="96" t="s">
        <v>64</v>
      </c>
      <c r="I43" s="428" t="n">
        <f aca="false">D7*8</f>
        <v>8</v>
      </c>
      <c r="J43" s="428"/>
      <c r="K43" s="93"/>
      <c r="L43" s="93"/>
      <c r="M43" s="249"/>
      <c r="N43" s="93"/>
      <c r="O43" s="93"/>
      <c r="P43" s="467"/>
      <c r="Q43" s="387" t="s">
        <v>432</v>
      </c>
      <c r="R43" s="387" t="n">
        <f aca="false">F18*E18</f>
        <v>6147</v>
      </c>
      <c r="S43" s="109"/>
      <c r="T43" s="93"/>
      <c r="U43" s="93"/>
    </row>
    <row r="44" customFormat="false" ht="23.25" hidden="false" customHeight="true" outlineLevel="0" collapsed="false">
      <c r="A44" s="319" t="s">
        <v>450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B7*4+C7*8*D7</f>
        <v>24800</v>
      </c>
      <c r="J44" s="428"/>
      <c r="K44" s="93"/>
      <c r="L44" s="93"/>
      <c r="M44" s="249"/>
      <c r="N44" s="94"/>
      <c r="O44" s="93"/>
      <c r="P44" s="467"/>
      <c r="Q44" s="387" t="s">
        <v>433</v>
      </c>
      <c r="R44" s="387" t="n">
        <f aca="false">F19*E19</f>
        <v>6147</v>
      </c>
      <c r="S44" s="109"/>
      <c r="T44" s="93"/>
      <c r="U44" s="93"/>
    </row>
    <row r="45" customFormat="false" ht="23.25" hidden="false" customHeight="true" outlineLevel="0" collapsed="false">
      <c r="A45" s="319" t="s">
        <v>407</v>
      </c>
      <c r="B45" s="427" t="s">
        <v>451</v>
      </c>
      <c r="C45" s="427"/>
      <c r="D45" s="427"/>
      <c r="E45" s="427"/>
      <c r="F45" s="427"/>
      <c r="G45" s="427"/>
      <c r="H45" s="96" t="s">
        <v>46</v>
      </c>
      <c r="I45" s="428" t="n">
        <f aca="false">B7*2*D7</f>
        <v>4000</v>
      </c>
      <c r="J45" s="428"/>
      <c r="K45" s="93"/>
      <c r="L45" s="93"/>
      <c r="M45" s="93"/>
      <c r="N45" s="93"/>
      <c r="O45" s="93"/>
      <c r="P45" s="467"/>
      <c r="Q45" s="387" t="s">
        <v>392</v>
      </c>
      <c r="R45" s="387" t="n">
        <f aca="false">F20*E20+E21*F21</f>
        <v>18664</v>
      </c>
      <c r="S45" s="109"/>
      <c r="T45" s="93"/>
      <c r="U45" s="93"/>
    </row>
    <row r="46" customFormat="false" ht="23.25" hidden="false" customHeight="true" outlineLevel="0" collapsed="false">
      <c r="A46" s="319" t="s">
        <v>405</v>
      </c>
      <c r="B46" s="431" t="s">
        <v>452</v>
      </c>
      <c r="C46" s="431"/>
      <c r="D46" s="431"/>
      <c r="E46" s="431"/>
      <c r="F46" s="431"/>
      <c r="G46" s="431"/>
      <c r="H46" s="96" t="s">
        <v>46</v>
      </c>
      <c r="I46" s="428" t="n">
        <f aca="false">C7*8*D7</f>
        <v>16800</v>
      </c>
      <c r="J46" s="428"/>
      <c r="K46" s="93"/>
      <c r="L46" s="93"/>
      <c r="M46" s="93"/>
      <c r="N46" s="93"/>
      <c r="O46" s="93"/>
      <c r="P46" s="467"/>
      <c r="Q46" s="387" t="s">
        <v>374</v>
      </c>
      <c r="R46" s="468" t="n">
        <f aca="false">F22*E22</f>
        <v>2040</v>
      </c>
      <c r="S46" s="109"/>
      <c r="T46" s="93"/>
      <c r="U46" s="93"/>
    </row>
    <row r="47" customFormat="false" ht="23.25" hidden="false" customHeight="true" outlineLevel="0" collapsed="false">
      <c r="A47" s="319" t="s">
        <v>453</v>
      </c>
      <c r="B47" s="431" t="s">
        <v>454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109"/>
      <c r="Q47" s="387"/>
      <c r="R47" s="109"/>
      <c r="S47" s="109"/>
      <c r="T47" s="93"/>
      <c r="U47" s="93"/>
    </row>
    <row r="48" customFormat="false" ht="23.25" hidden="false" customHeight="true" outlineLevel="0" collapsed="false">
      <c r="A48" s="128" t="s">
        <v>455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D7*2</f>
        <v>2</v>
      </c>
      <c r="J48" s="434"/>
      <c r="K48" s="93"/>
      <c r="L48" s="93"/>
      <c r="M48" s="93"/>
      <c r="N48" s="93"/>
      <c r="O48" s="93"/>
      <c r="P48" s="109"/>
      <c r="Q48" s="109"/>
      <c r="R48" s="109"/>
      <c r="S48" s="109"/>
      <c r="T48" s="93"/>
      <c r="U48" s="93"/>
    </row>
    <row r="49" customFormat="false" ht="23.25" hidden="false" customHeight="true" outlineLevel="0" collapsed="false">
      <c r="A49" s="128" t="s">
        <v>397</v>
      </c>
      <c r="B49" s="431" t="s">
        <v>456</v>
      </c>
      <c r="C49" s="431"/>
      <c r="D49" s="431"/>
      <c r="E49" s="431"/>
      <c r="F49" s="431"/>
      <c r="G49" s="431"/>
      <c r="H49" s="96" t="s">
        <v>46</v>
      </c>
      <c r="I49" s="428" t="n">
        <f aca="false">C7*8*D7</f>
        <v>16800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 t="s">
        <v>457</v>
      </c>
      <c r="B50" s="431" t="s">
        <v>458</v>
      </c>
      <c r="C50" s="431"/>
      <c r="D50" s="431"/>
      <c r="E50" s="431"/>
      <c r="F50" s="431"/>
      <c r="G50" s="431"/>
      <c r="H50" s="96" t="s">
        <v>64</v>
      </c>
      <c r="I50" s="435" t="n">
        <f aca="false">D7*1</f>
        <v>1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 t="s">
        <v>459</v>
      </c>
      <c r="B51" s="431" t="s">
        <v>460</v>
      </c>
      <c r="C51" s="431"/>
      <c r="D51" s="431"/>
      <c r="E51" s="431"/>
      <c r="F51" s="431"/>
      <c r="G51" s="431"/>
      <c r="H51" s="96" t="s">
        <v>64</v>
      </c>
      <c r="I51" s="120" t="n">
        <f aca="false">D7*14</f>
        <v>14</v>
      </c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128" t="s">
        <v>461</v>
      </c>
      <c r="B52" s="431" t="s">
        <v>462</v>
      </c>
      <c r="C52" s="431"/>
      <c r="D52" s="431"/>
      <c r="E52" s="431"/>
      <c r="F52" s="431"/>
      <c r="G52" s="431"/>
      <c r="H52" s="96" t="s">
        <v>64</v>
      </c>
      <c r="I52" s="120" t="n">
        <f aca="false">D7*24</f>
        <v>24</v>
      </c>
      <c r="J52" s="120"/>
      <c r="K52" s="93"/>
      <c r="L52" s="109"/>
      <c r="M52" s="109"/>
      <c r="N52" s="109"/>
      <c r="O52" s="109"/>
      <c r="P52" s="109"/>
      <c r="Q52" s="109"/>
      <c r="R52" s="109"/>
    </row>
    <row r="53" customFormat="false" ht="23.25" hidden="false" customHeight="true" outlineLevel="0" collapsed="false">
      <c r="A53" s="128" t="s">
        <v>463</v>
      </c>
      <c r="B53" s="431" t="s">
        <v>464</v>
      </c>
      <c r="C53" s="431"/>
      <c r="D53" s="431"/>
      <c r="E53" s="431"/>
      <c r="F53" s="431"/>
      <c r="G53" s="431"/>
      <c r="H53" s="96" t="s">
        <v>46</v>
      </c>
      <c r="I53" s="435" t="n">
        <f aca="false">B7*4*D7</f>
        <v>8000</v>
      </c>
      <c r="J53" s="43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A54" s="379" t="s">
        <v>465</v>
      </c>
      <c r="B54" s="436" t="s">
        <v>466</v>
      </c>
      <c r="C54" s="436"/>
      <c r="D54" s="436"/>
      <c r="E54" s="436"/>
      <c r="F54" s="436"/>
      <c r="G54" s="436"/>
      <c r="H54" s="290" t="s">
        <v>64</v>
      </c>
      <c r="I54" s="290" t="n">
        <f aca="false">D7*3</f>
        <v>3</v>
      </c>
      <c r="J54" s="290"/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6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467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468</v>
      </c>
      <c r="L3" s="257" t="n">
        <f aca="false">IF(S36&gt;6000,S36/6000,1)</f>
        <v>1</v>
      </c>
      <c r="M3" s="395" t="n">
        <f aca="false">ROUNDUP(L3,0)</f>
        <v>1</v>
      </c>
      <c r="N3" s="259" t="n">
        <f aca="false">1.244*6*K26</f>
        <v>373.2</v>
      </c>
      <c r="O3" s="259"/>
      <c r="P3" s="259" t="n">
        <f aca="false">N3*M3</f>
        <v>373.2</v>
      </c>
      <c r="Q3" s="259"/>
      <c r="R3" s="397" t="str">
        <f aca="false">F5</f>
        <v>BRANCO</v>
      </c>
      <c r="S3" s="261" t="n">
        <v>6000</v>
      </c>
      <c r="T3" s="439" t="n">
        <f aca="false">1.244*S36/1000</f>
        <v>2.453168</v>
      </c>
      <c r="U3" s="263" t="n">
        <f aca="false">M3*7.464</f>
        <v>7.464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469</v>
      </c>
      <c r="L4" s="265" t="n">
        <f aca="false">IF(S37&gt;6000,S37/6000,1)</f>
        <v>1</v>
      </c>
      <c r="M4" s="91" t="n">
        <f aca="false">ROUNDUP(L4,0)</f>
        <v>1</v>
      </c>
      <c r="N4" s="266" t="n">
        <f aca="false">1.133*6*K26</f>
        <v>339.9</v>
      </c>
      <c r="O4" s="266"/>
      <c r="P4" s="266" t="n">
        <f aca="false">N4*M4</f>
        <v>339.9</v>
      </c>
      <c r="Q4" s="266"/>
      <c r="R4" s="96" t="str">
        <f aca="false">F5</f>
        <v>BRANCO</v>
      </c>
      <c r="S4" s="268" t="n">
        <v>6000</v>
      </c>
      <c r="T4" s="439" t="n">
        <f aca="false">1.133*S37/1000</f>
        <v>2.234276</v>
      </c>
      <c r="U4" s="262" t="n">
        <f aca="false">M4*6.798</f>
        <v>6.798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470</v>
      </c>
      <c r="L5" s="265" t="n">
        <f aca="false">IF(S38&gt;6000,S38/6000,1)</f>
        <v>1</v>
      </c>
      <c r="M5" s="91" t="n">
        <f aca="false">ROUNDUP(L5,0)</f>
        <v>1</v>
      </c>
      <c r="N5" s="266" t="n">
        <f aca="false">0.206*6*K26</f>
        <v>61.8</v>
      </c>
      <c r="O5" s="266"/>
      <c r="P5" s="266" t="n">
        <f aca="false">N5*M5</f>
        <v>61.8</v>
      </c>
      <c r="Q5" s="266"/>
      <c r="R5" s="96" t="str">
        <f aca="false">F5</f>
        <v>BRANCO</v>
      </c>
      <c r="S5" s="268" t="n">
        <v>6000</v>
      </c>
      <c r="T5" s="439" t="n">
        <f aca="false">0.206*S38/1000</f>
        <v>0.85284</v>
      </c>
      <c r="U5" s="262" t="n">
        <f aca="false">M5*1.236</f>
        <v>1.236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471</v>
      </c>
      <c r="L6" s="265" t="n">
        <f aca="false">IF(S39&gt;6000,S39/6000,1)</f>
        <v>1</v>
      </c>
      <c r="M6" s="91" t="n">
        <f aca="false">ROUNDUP(L6,0)</f>
        <v>1</v>
      </c>
      <c r="N6" s="266" t="n">
        <f aca="false">0.957*6*K26</f>
        <v>287.1</v>
      </c>
      <c r="O6" s="266"/>
      <c r="P6" s="266" t="n">
        <f aca="false">N6*M6</f>
        <v>287.1</v>
      </c>
      <c r="Q6" s="266"/>
      <c r="R6" s="96" t="str">
        <f aca="false">F5</f>
        <v>BRANCO</v>
      </c>
      <c r="S6" s="268" t="n">
        <v>6000</v>
      </c>
      <c r="T6" s="439" t="n">
        <f aca="false">0.957*S39/1000</f>
        <v>4.0194</v>
      </c>
      <c r="U6" s="262" t="n">
        <f aca="false">M6*5.742</f>
        <v>5.742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79" t="s">
        <v>472</v>
      </c>
      <c r="L7" s="265" t="n">
        <f aca="false">IF(S40&gt;6000,S40/6000,1)</f>
        <v>1</v>
      </c>
      <c r="M7" s="91" t="n">
        <f aca="false">ROUNDUP(L7,0)</f>
        <v>1</v>
      </c>
      <c r="N7" s="266" t="n">
        <f aca="false">0.811*6*K26</f>
        <v>243.3</v>
      </c>
      <c r="O7" s="266"/>
      <c r="P7" s="266" t="n">
        <f aca="false">N7*M7</f>
        <v>243.3</v>
      </c>
      <c r="Q7" s="266"/>
      <c r="R7" s="96" t="str">
        <f aca="false">F5</f>
        <v>BRANCO</v>
      </c>
      <c r="S7" s="268" t="n">
        <v>6000</v>
      </c>
      <c r="T7" s="439" t="n">
        <f aca="false">0.811*S40/1000</f>
        <v>3.3251</v>
      </c>
      <c r="U7" s="262" t="n">
        <f aca="false">M7*4.866</f>
        <v>4.866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79" t="s">
        <v>432</v>
      </c>
      <c r="L8" s="265" t="n">
        <f aca="false">IF(S41&gt;6000,S41/6000,1)</f>
        <v>1</v>
      </c>
      <c r="M8" s="91" t="n">
        <f aca="false">ROUNDUP(L8,0)</f>
        <v>1</v>
      </c>
      <c r="N8" s="266" t="n">
        <f aca="false">1.733*6*K26</f>
        <v>519.9</v>
      </c>
      <c r="O8" s="266"/>
      <c r="P8" s="266" t="n">
        <f aca="false">N8*M8</f>
        <v>519.9</v>
      </c>
      <c r="Q8" s="266"/>
      <c r="R8" s="96" t="str">
        <f aca="false">F5</f>
        <v>BRANCO</v>
      </c>
      <c r="S8" s="268" t="n">
        <v>6000</v>
      </c>
      <c r="T8" s="439" t="n">
        <f aca="false">1.733*S41/1000</f>
        <v>3.55265</v>
      </c>
      <c r="U8" s="262" t="n">
        <f aca="false">M8*10.398</f>
        <v>10.398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(B7-192)/2</f>
        <v>904</v>
      </c>
      <c r="F9" s="390" t="n">
        <f aca="false">(C7-220)/2</f>
        <v>940</v>
      </c>
      <c r="G9" s="270"/>
      <c r="H9" s="270"/>
      <c r="I9" s="270"/>
      <c r="J9" s="270"/>
      <c r="K9" s="79" t="s">
        <v>433</v>
      </c>
      <c r="L9" s="265" t="n">
        <f aca="false">IF(S42&gt;6000,S42/6000,1)</f>
        <v>1</v>
      </c>
      <c r="M9" s="91" t="n">
        <f aca="false">ROUNDUP(L9,0)</f>
        <v>1</v>
      </c>
      <c r="N9" s="266" t="n">
        <f aca="false">0.905*6*K26</f>
        <v>271.5</v>
      </c>
      <c r="O9" s="266"/>
      <c r="P9" s="266" t="n">
        <f aca="false">N9*M9</f>
        <v>271.5</v>
      </c>
      <c r="Q9" s="266"/>
      <c r="R9" s="96" t="str">
        <f aca="false">R8</f>
        <v>BRANCO</v>
      </c>
      <c r="S9" s="268" t="n">
        <v>6000</v>
      </c>
      <c r="T9" s="439" t="n">
        <f aca="false">0.905*S42/1000</f>
        <v>1.85525</v>
      </c>
      <c r="U9" s="262" t="n">
        <f aca="false">M9*5.43</f>
        <v>5.43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430</v>
      </c>
      <c r="L10" s="265" t="n">
        <f aca="false">IF(S43&gt;6000,S43/6000,1)</f>
        <v>1</v>
      </c>
      <c r="M10" s="91" t="n">
        <f aca="false">ROUNDUP(L10,0)</f>
        <v>1</v>
      </c>
      <c r="N10" s="277" t="n">
        <f aca="false">0.677*6*K26</f>
        <v>203.1</v>
      </c>
      <c r="O10" s="277"/>
      <c r="P10" s="277" t="n">
        <f aca="false">N10*M10</f>
        <v>203.1</v>
      </c>
      <c r="Q10" s="277"/>
      <c r="R10" s="96" t="str">
        <f aca="false">F5</f>
        <v>BRANCO</v>
      </c>
      <c r="S10" s="268" t="n">
        <v>6000</v>
      </c>
      <c r="T10" s="439" t="n">
        <f aca="false">0.677*S43/1000</f>
        <v>1.23214</v>
      </c>
      <c r="U10" s="262" t="n">
        <f aca="false">M10*4.062</f>
        <v>4.062</v>
      </c>
    </row>
    <row r="11" customFormat="false" ht="25.5" hidden="false" customHeight="true" outlineLevel="0" collapsed="false">
      <c r="A11" s="67" t="s">
        <v>468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B7-28</f>
        <v>1972</v>
      </c>
      <c r="G11" s="69"/>
      <c r="H11" s="72" t="s">
        <v>17</v>
      </c>
      <c r="I11" s="72"/>
      <c r="J11" s="72" t="s">
        <v>42</v>
      </c>
      <c r="K11" s="79" t="s">
        <v>392</v>
      </c>
      <c r="L11" s="265" t="n">
        <f aca="false">IF(S44&gt;6000,S44/6000,1)</f>
        <v>2.45533333333333</v>
      </c>
      <c r="M11" s="91" t="n">
        <f aca="false">ROUNDUP(L11,0)</f>
        <v>3</v>
      </c>
      <c r="N11" s="266" t="n">
        <f aca="false">0.167*6*K26</f>
        <v>50.1</v>
      </c>
      <c r="O11" s="266"/>
      <c r="P11" s="266" t="n">
        <f aca="false">N11*M11</f>
        <v>150.3</v>
      </c>
      <c r="Q11" s="266"/>
      <c r="R11" s="96" t="str">
        <f aca="false">F5</f>
        <v>BRANCO</v>
      </c>
      <c r="S11" s="268" t="n">
        <v>6000</v>
      </c>
      <c r="T11" s="439" t="n">
        <f aca="false">S44*0.167/1000</f>
        <v>2.460244</v>
      </c>
      <c r="U11" s="262" t="n">
        <f aca="false">M11*1.002</f>
        <v>3.006</v>
      </c>
    </row>
    <row r="12" customFormat="false" ht="25.5" hidden="false" customHeight="true" outlineLevel="0" collapsed="false">
      <c r="A12" s="79" t="s">
        <v>469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1972</v>
      </c>
      <c r="G12" s="97"/>
      <c r="H12" s="83" t="s">
        <v>17</v>
      </c>
      <c r="I12" s="83"/>
      <c r="J12" s="83" t="s">
        <v>42</v>
      </c>
      <c r="K12" s="469" t="s">
        <v>391</v>
      </c>
      <c r="L12" s="265" t="n">
        <f aca="false">IF(S45&gt;6000,S45/6000,1)</f>
        <v>1</v>
      </c>
      <c r="M12" s="91" t="n">
        <f aca="false">ROUNDUP(L12,0)</f>
        <v>1</v>
      </c>
      <c r="N12" s="266" t="n">
        <f aca="false">1.229*6*K26</f>
        <v>368.7</v>
      </c>
      <c r="O12" s="266"/>
      <c r="P12" s="266" t="n">
        <f aca="false">N12*M12</f>
        <v>368.7</v>
      </c>
      <c r="Q12" s="266"/>
      <c r="R12" s="96" t="str">
        <f aca="false">F5</f>
        <v>BRANCO</v>
      </c>
      <c r="S12" s="268" t="n">
        <v>6000</v>
      </c>
      <c r="T12" s="439" t="n">
        <f aca="false">1.229*S45/1000</f>
        <v>2.23678</v>
      </c>
      <c r="U12" s="262" t="n">
        <f aca="false">M12*7.374</f>
        <v>7.374</v>
      </c>
    </row>
    <row r="13" customFormat="false" ht="25.5" hidden="false" customHeight="true" outlineLevel="0" collapsed="false">
      <c r="A13" s="79" t="s">
        <v>470</v>
      </c>
      <c r="B13" s="279" t="s">
        <v>196</v>
      </c>
      <c r="C13" s="279"/>
      <c r="D13" s="279"/>
      <c r="E13" s="24" t="n">
        <f aca="false">D7*2</f>
        <v>2</v>
      </c>
      <c r="F13" s="97" t="n">
        <f aca="false">C7-30</f>
        <v>2070</v>
      </c>
      <c r="G13" s="97"/>
      <c r="H13" s="83" t="s">
        <v>18</v>
      </c>
      <c r="I13" s="83"/>
      <c r="J13" s="83" t="s">
        <v>42</v>
      </c>
      <c r="K13" s="470" t="s">
        <v>473</v>
      </c>
      <c r="L13" s="265" t="n">
        <f aca="false">IF(S46&gt;6000,S46/6000,1)</f>
        <v>1</v>
      </c>
      <c r="M13" s="91" t="n">
        <f aca="false">ROUNDUP(L13,0)</f>
        <v>1</v>
      </c>
      <c r="N13" s="266" t="n">
        <f aca="false">0.759*6*K26</f>
        <v>227.7</v>
      </c>
      <c r="O13" s="266"/>
      <c r="P13" s="266" t="n">
        <f aca="false">N13*M13</f>
        <v>227.7</v>
      </c>
      <c r="Q13" s="266"/>
      <c r="R13" s="96" t="str">
        <f aca="false">F5</f>
        <v>BRANCO</v>
      </c>
      <c r="S13" s="268" t="n">
        <v>6000</v>
      </c>
      <c r="T13" s="439" t="n">
        <f aca="false">0.759*S46/1000</f>
        <v>1.38138</v>
      </c>
      <c r="U13" s="262" t="n">
        <f aca="false">M13*4.554</f>
        <v>4.554</v>
      </c>
    </row>
    <row r="14" customFormat="false" ht="25.5" hidden="false" customHeight="true" outlineLevel="0" collapsed="false">
      <c r="A14" s="79" t="s">
        <v>471</v>
      </c>
      <c r="B14" s="279" t="s">
        <v>192</v>
      </c>
      <c r="C14" s="279"/>
      <c r="D14" s="279"/>
      <c r="E14" s="24" t="n">
        <f aca="false">D7*2</f>
        <v>2</v>
      </c>
      <c r="F14" s="24" t="n">
        <f aca="false">C7</f>
        <v>2100</v>
      </c>
      <c r="G14" s="24"/>
      <c r="H14" s="83" t="s">
        <v>18</v>
      </c>
      <c r="I14" s="83"/>
      <c r="J14" s="83" t="s">
        <v>42</v>
      </c>
      <c r="K14" s="470" t="s">
        <v>374</v>
      </c>
      <c r="L14" s="265" t="n">
        <f aca="false">IF(S47&gt;6000,S47/6000,1)</f>
        <v>1</v>
      </c>
      <c r="M14" s="91" t="n">
        <f aca="false">ROUNDUP(L14,0)</f>
        <v>1</v>
      </c>
      <c r="N14" s="266" t="n">
        <f aca="false">0.267*6*K26</f>
        <v>80.1</v>
      </c>
      <c r="O14" s="266"/>
      <c r="P14" s="266" t="n">
        <f aca="false">N14*M14</f>
        <v>80.1</v>
      </c>
      <c r="Q14" s="266"/>
      <c r="R14" s="96" t="str">
        <f aca="false">F5</f>
        <v>BRANCO</v>
      </c>
      <c r="S14" s="268" t="n">
        <v>6000</v>
      </c>
      <c r="T14" s="439" t="n">
        <f aca="false">0.267*S47/1000</f>
        <v>0.54468</v>
      </c>
      <c r="U14" s="280" t="n">
        <f aca="false">M14*1.602</f>
        <v>1.602</v>
      </c>
    </row>
    <row r="15" customFormat="false" ht="25.5" hidden="false" customHeight="true" outlineLevel="0" collapsed="false">
      <c r="A15" s="79" t="s">
        <v>472</v>
      </c>
      <c r="B15" s="279" t="s">
        <v>435</v>
      </c>
      <c r="C15" s="279"/>
      <c r="D15" s="279"/>
      <c r="E15" s="46" t="n">
        <f aca="false">D7*2</f>
        <v>2</v>
      </c>
      <c r="F15" s="24" t="n">
        <f aca="false">C7-50</f>
        <v>2050</v>
      </c>
      <c r="G15" s="24"/>
      <c r="H15" s="83" t="s">
        <v>18</v>
      </c>
      <c r="I15" s="83"/>
      <c r="J15" s="83" t="s">
        <v>42</v>
      </c>
      <c r="K15" s="79"/>
      <c r="L15" s="281"/>
      <c r="M15" s="153"/>
      <c r="N15" s="266"/>
      <c r="O15" s="266"/>
      <c r="P15" s="25"/>
      <c r="Q15" s="25"/>
      <c r="R15" s="96"/>
      <c r="S15" s="268"/>
      <c r="T15" s="439"/>
      <c r="U15" s="280"/>
    </row>
    <row r="16" customFormat="false" ht="25.5" hidden="false" customHeight="true" outlineLevel="0" collapsed="false">
      <c r="A16" s="79" t="s">
        <v>432</v>
      </c>
      <c r="B16" s="279" t="s">
        <v>435</v>
      </c>
      <c r="C16" s="279"/>
      <c r="D16" s="279"/>
      <c r="E16" s="24" t="n">
        <f aca="false">D7*1</f>
        <v>1</v>
      </c>
      <c r="F16" s="24" t="n">
        <f aca="false">F15</f>
        <v>2050</v>
      </c>
      <c r="G16" s="24"/>
      <c r="H16" s="83" t="s">
        <v>18</v>
      </c>
      <c r="I16" s="83"/>
      <c r="J16" s="83" t="s">
        <v>42</v>
      </c>
      <c r="K16" s="83"/>
      <c r="L16" s="281"/>
      <c r="M16" s="153"/>
      <c r="N16" s="266"/>
      <c r="O16" s="266"/>
      <c r="P16" s="25"/>
      <c r="Q16" s="25"/>
      <c r="R16" s="96"/>
      <c r="S16" s="268"/>
      <c r="T16" s="439"/>
      <c r="U16" s="280"/>
    </row>
    <row r="17" customFormat="false" ht="25.5" hidden="false" customHeight="true" outlineLevel="0" collapsed="false">
      <c r="A17" s="79" t="s">
        <v>433</v>
      </c>
      <c r="B17" s="279" t="s">
        <v>435</v>
      </c>
      <c r="C17" s="279"/>
      <c r="D17" s="279"/>
      <c r="E17" s="24" t="n">
        <f aca="false">D7*1</f>
        <v>1</v>
      </c>
      <c r="F17" s="24" t="n">
        <f aca="false">F15</f>
        <v>2050</v>
      </c>
      <c r="G17" s="24"/>
      <c r="H17" s="83" t="s">
        <v>18</v>
      </c>
      <c r="I17" s="83"/>
      <c r="J17" s="83" t="s">
        <v>42</v>
      </c>
      <c r="K17" s="83"/>
      <c r="L17" s="281"/>
      <c r="M17" s="153"/>
      <c r="N17" s="266"/>
      <c r="O17" s="266"/>
      <c r="P17" s="25"/>
      <c r="Q17" s="25"/>
      <c r="R17" s="96"/>
      <c r="S17" s="268"/>
      <c r="T17" s="439"/>
      <c r="U17" s="280"/>
    </row>
    <row r="18" customFormat="false" ht="25.5" hidden="false" customHeight="true" outlineLevel="0" collapsed="false">
      <c r="A18" s="79" t="s">
        <v>430</v>
      </c>
      <c r="B18" s="279" t="s">
        <v>474</v>
      </c>
      <c r="C18" s="279"/>
      <c r="D18" s="279"/>
      <c r="E18" s="24" t="n">
        <f aca="false">D7*2</f>
        <v>2</v>
      </c>
      <c r="F18" s="24" t="n">
        <f aca="false">(B7-180)/2</f>
        <v>910</v>
      </c>
      <c r="G18" s="24"/>
      <c r="H18" s="83" t="s">
        <v>17</v>
      </c>
      <c r="I18" s="83"/>
      <c r="J18" s="83" t="s">
        <v>42</v>
      </c>
      <c r="K18" s="363"/>
      <c r="L18" s="281"/>
      <c r="M18" s="471"/>
      <c r="N18" s="268"/>
      <c r="O18" s="280"/>
      <c r="P18" s="120"/>
      <c r="Q18" s="120"/>
      <c r="R18" s="96"/>
      <c r="S18" s="268"/>
      <c r="T18" s="439"/>
      <c r="U18" s="280"/>
    </row>
    <row r="19" customFormat="false" ht="22.5" hidden="false" customHeight="true" outlineLevel="0" collapsed="false">
      <c r="A19" s="79" t="s">
        <v>392</v>
      </c>
      <c r="B19" s="279" t="s">
        <v>475</v>
      </c>
      <c r="C19" s="279"/>
      <c r="D19" s="279"/>
      <c r="E19" s="24" t="n">
        <f aca="false">D7*8</f>
        <v>8</v>
      </c>
      <c r="F19" s="24" t="n">
        <f aca="false">F18</f>
        <v>910</v>
      </c>
      <c r="G19" s="24"/>
      <c r="H19" s="83" t="s">
        <v>17</v>
      </c>
      <c r="I19" s="83"/>
      <c r="J19" s="83" t="s">
        <v>42</v>
      </c>
      <c r="K19" s="96"/>
      <c r="L19" s="283"/>
      <c r="M19" s="471"/>
      <c r="N19" s="268"/>
      <c r="O19" s="280"/>
      <c r="P19" s="120"/>
      <c r="Q19" s="120"/>
      <c r="R19" s="96"/>
      <c r="S19" s="268"/>
      <c r="T19" s="439"/>
      <c r="U19" s="280"/>
    </row>
    <row r="20" customFormat="false" ht="22.5" hidden="false" customHeight="true" outlineLevel="0" collapsed="false">
      <c r="A20" s="79" t="s">
        <v>476</v>
      </c>
      <c r="B20" s="279" t="s">
        <v>203</v>
      </c>
      <c r="C20" s="279"/>
      <c r="D20" s="279"/>
      <c r="E20" s="46" t="n">
        <f aca="false">D7*8</f>
        <v>8</v>
      </c>
      <c r="F20" s="24" t="n">
        <f aca="false">(C7-237)/2</f>
        <v>931.5</v>
      </c>
      <c r="G20" s="24"/>
      <c r="H20" s="83" t="s">
        <v>18</v>
      </c>
      <c r="I20" s="83"/>
      <c r="J20" s="83" t="s">
        <v>42</v>
      </c>
      <c r="K20" s="96"/>
      <c r="L20" s="283"/>
      <c r="M20" s="471"/>
      <c r="N20" s="268"/>
      <c r="O20" s="280"/>
      <c r="P20" s="120"/>
      <c r="Q20" s="120"/>
      <c r="R20" s="96"/>
      <c r="S20" s="268"/>
      <c r="T20" s="439"/>
      <c r="U20" s="280"/>
    </row>
    <row r="21" customFormat="false" ht="21" hidden="false" customHeight="true" outlineLevel="0" collapsed="false">
      <c r="A21" s="79" t="s">
        <v>391</v>
      </c>
      <c r="B21" s="80" t="s">
        <v>283</v>
      </c>
      <c r="C21" s="80"/>
      <c r="D21" s="80"/>
      <c r="E21" s="46" t="n">
        <f aca="false">D7*2</f>
        <v>2</v>
      </c>
      <c r="F21" s="24" t="n">
        <f aca="false">F18</f>
        <v>910</v>
      </c>
      <c r="G21" s="24"/>
      <c r="H21" s="28" t="s">
        <v>17</v>
      </c>
      <c r="I21" s="28"/>
      <c r="J21" s="83" t="s">
        <v>42</v>
      </c>
      <c r="K21" s="96"/>
      <c r="L21" s="283"/>
      <c r="M21" s="471"/>
      <c r="N21" s="268"/>
      <c r="O21" s="280"/>
      <c r="P21" s="120"/>
      <c r="Q21" s="120"/>
      <c r="R21" s="96"/>
      <c r="S21" s="268"/>
      <c r="T21" s="439"/>
      <c r="U21" s="280"/>
    </row>
    <row r="22" customFormat="false" ht="26.25" hidden="false" customHeight="true" outlineLevel="0" collapsed="false">
      <c r="A22" s="79" t="s">
        <v>473</v>
      </c>
      <c r="B22" s="80" t="s">
        <v>248</v>
      </c>
      <c r="C22" s="80"/>
      <c r="D22" s="80"/>
      <c r="E22" s="46" t="n">
        <f aca="false">D7*2</f>
        <v>2</v>
      </c>
      <c r="F22" s="24" t="n">
        <f aca="false">F21</f>
        <v>910</v>
      </c>
      <c r="G22" s="24"/>
      <c r="H22" s="83" t="s">
        <v>17</v>
      </c>
      <c r="I22" s="83"/>
      <c r="J22" s="83"/>
      <c r="K22" s="96"/>
      <c r="L22" s="283"/>
      <c r="M22" s="471"/>
      <c r="N22" s="268"/>
      <c r="O22" s="280"/>
      <c r="P22" s="120"/>
      <c r="Q22" s="120"/>
      <c r="R22" s="96"/>
      <c r="S22" s="268"/>
      <c r="T22" s="439"/>
      <c r="U22" s="280"/>
    </row>
    <row r="23" customFormat="false" ht="26.25" hidden="false" customHeight="true" outlineLevel="0" collapsed="false">
      <c r="A23" s="79" t="s">
        <v>374</v>
      </c>
      <c r="B23" s="80" t="s">
        <v>377</v>
      </c>
      <c r="C23" s="80"/>
      <c r="D23" s="80"/>
      <c r="E23" s="46" t="n">
        <f aca="false">D7*1</f>
        <v>1</v>
      </c>
      <c r="F23" s="97" t="n">
        <f aca="false">B7+40</f>
        <v>2040</v>
      </c>
      <c r="G23" s="97"/>
      <c r="H23" s="83" t="s">
        <v>17</v>
      </c>
      <c r="I23" s="83"/>
      <c r="J23" s="83"/>
      <c r="K23" s="451"/>
      <c r="L23" s="283"/>
      <c r="M23" s="471"/>
      <c r="N23" s="284"/>
      <c r="O23" s="280"/>
      <c r="P23" s="120"/>
      <c r="Q23" s="120"/>
      <c r="R23" s="96"/>
      <c r="S23" s="268"/>
      <c r="T23" s="439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286"/>
      <c r="M24" s="472"/>
      <c r="N24" s="285"/>
      <c r="O24" s="288"/>
      <c r="P24" s="209"/>
      <c r="Q24" s="209"/>
      <c r="R24" s="290"/>
      <c r="S24" s="289"/>
      <c r="T24" s="292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26.147908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2614.7908</v>
      </c>
      <c r="N26" s="302"/>
      <c r="O26" s="303" t="n">
        <v>0.1</v>
      </c>
      <c r="P26" s="85" t="n">
        <f aca="false">K30*O26+K30</f>
        <v>1438.13494</v>
      </c>
      <c r="Q26" s="85"/>
      <c r="R26" s="85"/>
      <c r="S26" s="181" t="s">
        <v>131</v>
      </c>
      <c r="T26" s="181"/>
      <c r="U26" s="294" t="n">
        <f aca="false">SUM(U3:U24)</f>
        <v>62.532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36.384092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3126.6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1307.3954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5" hidden="false" customHeight="true" outlineLevel="0" collapsed="false">
      <c r="A35" s="104" t="s">
        <v>51</v>
      </c>
      <c r="B35" s="473" t="s">
        <v>26</v>
      </c>
      <c r="C35" s="473"/>
      <c r="D35" s="473"/>
      <c r="E35" s="473"/>
      <c r="F35" s="473"/>
      <c r="G35" s="473"/>
      <c r="H35" s="227" t="s">
        <v>5</v>
      </c>
      <c r="I35" s="20" t="s">
        <v>207</v>
      </c>
      <c r="J35" s="20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27" hidden="false" customHeight="true" outlineLevel="0" collapsed="false">
      <c r="A36" s="313" t="s">
        <v>437</v>
      </c>
      <c r="B36" s="426" t="s">
        <v>438</v>
      </c>
      <c r="C36" s="426"/>
      <c r="D36" s="426"/>
      <c r="E36" s="426"/>
      <c r="F36" s="426"/>
      <c r="G36" s="426"/>
      <c r="H36" s="397" t="s">
        <v>64</v>
      </c>
      <c r="I36" s="72" t="n">
        <f aca="false">D7*2</f>
        <v>2</v>
      </c>
      <c r="J36" s="72"/>
      <c r="K36" s="249"/>
      <c r="L36" s="94"/>
      <c r="M36" s="249"/>
      <c r="N36" s="94"/>
      <c r="O36" s="93"/>
      <c r="P36" s="153"/>
      <c r="Q36" s="474"/>
      <c r="R36" s="387" t="s">
        <v>468</v>
      </c>
      <c r="S36" s="109" t="n">
        <f aca="false">F11*E11</f>
        <v>1972</v>
      </c>
      <c r="T36" s="109"/>
      <c r="U36" s="93"/>
    </row>
    <row r="37" customFormat="false" ht="27" hidden="false" customHeight="true" outlineLevel="0" collapsed="false">
      <c r="A37" s="319" t="s">
        <v>439</v>
      </c>
      <c r="B37" s="427" t="s">
        <v>440</v>
      </c>
      <c r="C37" s="427"/>
      <c r="D37" s="427"/>
      <c r="E37" s="427"/>
      <c r="F37" s="427"/>
      <c r="G37" s="427"/>
      <c r="H37" s="96" t="s">
        <v>64</v>
      </c>
      <c r="I37" s="83" t="n">
        <f aca="false">D7*8</f>
        <v>8</v>
      </c>
      <c r="J37" s="83"/>
      <c r="K37" s="249"/>
      <c r="L37" s="94"/>
      <c r="M37" s="249"/>
      <c r="N37" s="94"/>
      <c r="O37" s="93"/>
      <c r="P37" s="153"/>
      <c r="Q37" s="474"/>
      <c r="R37" s="387" t="s">
        <v>477</v>
      </c>
      <c r="S37" s="109" t="n">
        <f aca="false">F12*E12</f>
        <v>1972</v>
      </c>
      <c r="T37" s="109"/>
      <c r="U37" s="93"/>
    </row>
    <row r="38" customFormat="false" ht="23.25" hidden="false" customHeight="true" outlineLevel="0" collapsed="false">
      <c r="A38" s="319" t="s">
        <v>441</v>
      </c>
      <c r="B38" s="427" t="s">
        <v>442</v>
      </c>
      <c r="C38" s="427"/>
      <c r="D38" s="427"/>
      <c r="E38" s="427"/>
      <c r="F38" s="427"/>
      <c r="G38" s="427"/>
      <c r="H38" s="96" t="s">
        <v>64</v>
      </c>
      <c r="I38" s="83" t="n">
        <f aca="false">D7*1</f>
        <v>1</v>
      </c>
      <c r="J38" s="83"/>
      <c r="K38" s="249"/>
      <c r="L38" s="94"/>
      <c r="M38" s="249"/>
      <c r="N38" s="94"/>
      <c r="O38" s="93"/>
      <c r="P38" s="153"/>
      <c r="Q38" s="474"/>
      <c r="R38" s="387" t="s">
        <v>478</v>
      </c>
      <c r="S38" s="109" t="n">
        <f aca="false">F13*E13</f>
        <v>4140</v>
      </c>
      <c r="T38" s="109"/>
      <c r="U38" s="93"/>
    </row>
    <row r="39" customFormat="false" ht="23.25" hidden="false" customHeight="true" outlineLevel="0" collapsed="false">
      <c r="A39" s="319" t="s">
        <v>443</v>
      </c>
      <c r="B39" s="427" t="s">
        <v>230</v>
      </c>
      <c r="C39" s="427"/>
      <c r="D39" s="427"/>
      <c r="E39" s="427"/>
      <c r="F39" s="427"/>
      <c r="G39" s="427"/>
      <c r="H39" s="96" t="s">
        <v>64</v>
      </c>
      <c r="I39" s="83" t="n">
        <f aca="false">D7*1</f>
        <v>1</v>
      </c>
      <c r="J39" s="83"/>
      <c r="K39" s="249"/>
      <c r="L39" s="94"/>
      <c r="M39" s="249"/>
      <c r="N39" s="94"/>
      <c r="O39" s="93"/>
      <c r="P39" s="153"/>
      <c r="Q39" s="474"/>
      <c r="R39" s="387" t="s">
        <v>479</v>
      </c>
      <c r="S39" s="109" t="n">
        <f aca="false">F14*E14</f>
        <v>4200</v>
      </c>
      <c r="T39" s="109"/>
      <c r="U39" s="93"/>
    </row>
    <row r="40" customFormat="false" ht="23.25" hidden="false" customHeight="true" outlineLevel="0" collapsed="false">
      <c r="A40" s="319" t="s">
        <v>444</v>
      </c>
      <c r="B40" s="427" t="s">
        <v>289</v>
      </c>
      <c r="C40" s="427"/>
      <c r="D40" s="427"/>
      <c r="E40" s="427"/>
      <c r="F40" s="427"/>
      <c r="G40" s="427"/>
      <c r="H40" s="96" t="s">
        <v>64</v>
      </c>
      <c r="I40" s="83" t="n">
        <f aca="false">D7*4</f>
        <v>4</v>
      </c>
      <c r="J40" s="83"/>
      <c r="K40" s="249"/>
      <c r="L40" s="94"/>
      <c r="M40" s="249"/>
      <c r="N40" s="94"/>
      <c r="O40" s="93"/>
      <c r="P40" s="153"/>
      <c r="Q40" s="474"/>
      <c r="R40" s="387" t="s">
        <v>472</v>
      </c>
      <c r="S40" s="109" t="n">
        <f aca="false">F15*E15</f>
        <v>4100</v>
      </c>
      <c r="T40" s="109"/>
      <c r="U40" s="93"/>
    </row>
    <row r="41" customFormat="false" ht="23.25" hidden="false" customHeight="true" outlineLevel="0" collapsed="false">
      <c r="A41" s="319" t="s">
        <v>445</v>
      </c>
      <c r="B41" s="427" t="s">
        <v>446</v>
      </c>
      <c r="C41" s="427"/>
      <c r="D41" s="427"/>
      <c r="E41" s="427"/>
      <c r="F41" s="427"/>
      <c r="G41" s="427"/>
      <c r="H41" s="96" t="s">
        <v>64</v>
      </c>
      <c r="I41" s="83" t="n">
        <f aca="false">D7*8</f>
        <v>8</v>
      </c>
      <c r="J41" s="83"/>
      <c r="K41" s="249"/>
      <c r="L41" s="94"/>
      <c r="M41" s="249"/>
      <c r="N41" s="94"/>
      <c r="O41" s="93"/>
      <c r="P41" s="153"/>
      <c r="Q41" s="474"/>
      <c r="R41" s="387" t="s">
        <v>432</v>
      </c>
      <c r="S41" s="109" t="n">
        <f aca="false">F16*E16</f>
        <v>2050</v>
      </c>
      <c r="T41" s="109"/>
      <c r="U41" s="93"/>
    </row>
    <row r="42" customFormat="false" ht="23.25" hidden="false" customHeight="true" outlineLevel="0" collapsed="false">
      <c r="A42" s="319" t="s">
        <v>447</v>
      </c>
      <c r="B42" s="427" t="s">
        <v>340</v>
      </c>
      <c r="C42" s="427"/>
      <c r="D42" s="427"/>
      <c r="E42" s="427"/>
      <c r="F42" s="427"/>
      <c r="G42" s="427"/>
      <c r="H42" s="96" t="s">
        <v>64</v>
      </c>
      <c r="I42" s="83" t="n">
        <f aca="false">D7*20</f>
        <v>20</v>
      </c>
      <c r="J42" s="83"/>
      <c r="K42" s="249"/>
      <c r="L42" s="94"/>
      <c r="M42" s="249"/>
      <c r="N42" s="94"/>
      <c r="O42" s="93"/>
      <c r="P42" s="153"/>
      <c r="Q42" s="474"/>
      <c r="R42" s="387" t="s">
        <v>433</v>
      </c>
      <c r="S42" s="109" t="n">
        <f aca="false">F17*E17</f>
        <v>2050</v>
      </c>
      <c r="T42" s="109"/>
      <c r="U42" s="93"/>
    </row>
    <row r="43" customFormat="false" ht="23.25" hidden="false" customHeight="true" outlineLevel="0" collapsed="false">
      <c r="A43" s="319" t="s">
        <v>448</v>
      </c>
      <c r="B43" s="427" t="s">
        <v>449</v>
      </c>
      <c r="C43" s="427"/>
      <c r="D43" s="427"/>
      <c r="E43" s="427"/>
      <c r="F43" s="427"/>
      <c r="G43" s="427"/>
      <c r="H43" s="96" t="s">
        <v>64</v>
      </c>
      <c r="I43" s="428" t="n">
        <f aca="false">D7*4</f>
        <v>4</v>
      </c>
      <c r="J43" s="428"/>
      <c r="K43" s="93"/>
      <c r="L43" s="93"/>
      <c r="M43" s="249"/>
      <c r="N43" s="93"/>
      <c r="O43" s="93"/>
      <c r="P43" s="153"/>
      <c r="Q43" s="474"/>
      <c r="R43" s="387" t="s">
        <v>430</v>
      </c>
      <c r="S43" s="109" t="n">
        <f aca="false">F18*E18</f>
        <v>1820</v>
      </c>
      <c r="T43" s="109"/>
      <c r="U43" s="93"/>
    </row>
    <row r="44" customFormat="false" ht="23.25" hidden="false" customHeight="true" outlineLevel="0" collapsed="false">
      <c r="A44" s="319" t="s">
        <v>404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B7*4+C7*4*D7</f>
        <v>16400</v>
      </c>
      <c r="J44" s="428"/>
      <c r="K44" s="93"/>
      <c r="L44" s="93"/>
      <c r="M44" s="249"/>
      <c r="N44" s="94"/>
      <c r="O44" s="93"/>
      <c r="P44" s="153"/>
      <c r="Q44" s="474"/>
      <c r="R44" s="387" t="s">
        <v>392</v>
      </c>
      <c r="S44" s="109" t="n">
        <f aca="false">F19*E19+E20*F20</f>
        <v>14732</v>
      </c>
      <c r="T44" s="109"/>
      <c r="U44" s="93"/>
    </row>
    <row r="45" customFormat="false" ht="23.25" hidden="false" customHeight="true" outlineLevel="0" collapsed="false">
      <c r="A45" s="319" t="s">
        <v>407</v>
      </c>
      <c r="B45" s="427" t="s">
        <v>451</v>
      </c>
      <c r="C45" s="427"/>
      <c r="D45" s="427"/>
      <c r="E45" s="427"/>
      <c r="F45" s="427"/>
      <c r="G45" s="427"/>
      <c r="H45" s="96" t="s">
        <v>46</v>
      </c>
      <c r="I45" s="428" t="n">
        <f aca="false">B7*4*D7</f>
        <v>8000</v>
      </c>
      <c r="J45" s="428"/>
      <c r="K45" s="93"/>
      <c r="L45" s="93"/>
      <c r="M45" s="93"/>
      <c r="N45" s="93"/>
      <c r="O45" s="93"/>
      <c r="P45" s="153"/>
      <c r="Q45" s="474"/>
      <c r="R45" s="387" t="s">
        <v>391</v>
      </c>
      <c r="S45" s="109" t="n">
        <f aca="false">F21*E21</f>
        <v>1820</v>
      </c>
      <c r="T45" s="109"/>
      <c r="U45" s="93"/>
    </row>
    <row r="46" customFormat="false" ht="23.25" hidden="false" customHeight="true" outlineLevel="0" collapsed="false">
      <c r="A46" s="319" t="s">
        <v>405</v>
      </c>
      <c r="B46" s="431" t="s">
        <v>452</v>
      </c>
      <c r="C46" s="431"/>
      <c r="D46" s="431"/>
      <c r="E46" s="431"/>
      <c r="F46" s="431"/>
      <c r="G46" s="431"/>
      <c r="H46" s="96" t="s">
        <v>46</v>
      </c>
      <c r="I46" s="428" t="n">
        <f aca="false">C7*4*D7</f>
        <v>8400</v>
      </c>
      <c r="J46" s="428"/>
      <c r="K46" s="93"/>
      <c r="L46" s="93"/>
      <c r="M46" s="93"/>
      <c r="N46" s="93"/>
      <c r="O46" s="93"/>
      <c r="P46" s="153"/>
      <c r="Q46" s="474"/>
      <c r="R46" s="109" t="s">
        <v>473</v>
      </c>
      <c r="S46" s="109" t="n">
        <f aca="false">F22*E22</f>
        <v>1820</v>
      </c>
      <c r="T46" s="109"/>
      <c r="U46" s="93"/>
    </row>
    <row r="47" customFormat="false" ht="23.25" hidden="false" customHeight="true" outlineLevel="0" collapsed="false">
      <c r="A47" s="319" t="s">
        <v>480</v>
      </c>
      <c r="B47" s="431" t="s">
        <v>481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93"/>
      <c r="Q47" s="109"/>
      <c r="R47" s="109" t="s">
        <v>374</v>
      </c>
      <c r="S47" s="109" t="n">
        <f aca="false">F23*E23</f>
        <v>2040</v>
      </c>
      <c r="T47" s="109"/>
      <c r="U47" s="93"/>
    </row>
    <row r="48" customFormat="false" ht="23.25" hidden="false" customHeight="true" outlineLevel="0" collapsed="false">
      <c r="A48" s="128" t="s">
        <v>455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434" t="n">
        <f aca="false">D7*2</f>
        <v>2</v>
      </c>
      <c r="J48" s="434"/>
      <c r="K48" s="93"/>
      <c r="L48" s="93"/>
      <c r="M48" s="93"/>
      <c r="N48" s="93"/>
      <c r="O48" s="93"/>
      <c r="P48" s="93"/>
      <c r="Q48" s="109"/>
      <c r="R48" s="109"/>
      <c r="S48" s="109"/>
      <c r="T48" s="109"/>
      <c r="U48" s="93"/>
    </row>
    <row r="49" customFormat="false" ht="23.25" hidden="false" customHeight="true" outlineLevel="0" collapsed="false">
      <c r="A49" s="128" t="s">
        <v>397</v>
      </c>
      <c r="B49" s="431" t="s">
        <v>456</v>
      </c>
      <c r="C49" s="431"/>
      <c r="D49" s="431"/>
      <c r="E49" s="431"/>
      <c r="F49" s="431"/>
      <c r="G49" s="431"/>
      <c r="H49" s="96" t="s">
        <v>46</v>
      </c>
      <c r="I49" s="428" t="n">
        <f aca="false">C7*5*D7</f>
        <v>10500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 t="s">
        <v>457</v>
      </c>
      <c r="B50" s="431" t="s">
        <v>458</v>
      </c>
      <c r="C50" s="431"/>
      <c r="D50" s="431"/>
      <c r="E50" s="431"/>
      <c r="F50" s="431"/>
      <c r="G50" s="431"/>
      <c r="H50" s="96" t="s">
        <v>64</v>
      </c>
      <c r="I50" s="435" t="n">
        <f aca="false">D7*1</f>
        <v>1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 t="s">
        <v>459</v>
      </c>
      <c r="B51" s="431" t="s">
        <v>460</v>
      </c>
      <c r="C51" s="431"/>
      <c r="D51" s="431"/>
      <c r="E51" s="431"/>
      <c r="F51" s="431"/>
      <c r="G51" s="431"/>
      <c r="H51" s="96" t="s">
        <v>64</v>
      </c>
      <c r="I51" s="120" t="n">
        <f aca="false">D7*24</f>
        <v>24</v>
      </c>
      <c r="J51" s="120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</row>
    <row r="52" customFormat="false" ht="23.25" hidden="false" customHeight="true" outlineLevel="0" collapsed="false">
      <c r="A52" s="379" t="s">
        <v>482</v>
      </c>
      <c r="B52" s="436" t="s">
        <v>238</v>
      </c>
      <c r="C52" s="436"/>
      <c r="D52" s="436"/>
      <c r="E52" s="436"/>
      <c r="F52" s="436"/>
      <c r="G52" s="436"/>
      <c r="H52" s="290" t="s">
        <v>46</v>
      </c>
      <c r="I52" s="209" t="n">
        <f aca="false">B7*2+C7*2*D7</f>
        <v>8200</v>
      </c>
      <c r="J52" s="209"/>
      <c r="K52" s="93"/>
      <c r="L52" s="109"/>
      <c r="M52" s="109"/>
      <c r="N52" s="109"/>
      <c r="O52" s="109"/>
      <c r="P52" s="109"/>
      <c r="Q52" s="109"/>
      <c r="R52" s="109"/>
    </row>
    <row r="53" customFormat="false" ht="23.25" hidden="false" customHeight="true" outlineLevel="0" collapsed="false">
      <c r="A53" s="47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311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468</v>
      </c>
      <c r="L3" s="257" t="n">
        <f aca="false">IF(S36&gt;6000,S36/6000,1)</f>
        <v>1</v>
      </c>
      <c r="M3" s="395" t="n">
        <f aca="false">ROUNDUP(L3,0)</f>
        <v>1</v>
      </c>
      <c r="N3" s="259" t="n">
        <f aca="false">1.244*6*K26</f>
        <v>373.2</v>
      </c>
      <c r="O3" s="259"/>
      <c r="P3" s="259" t="n">
        <f aca="false">N3*M3</f>
        <v>373.2</v>
      </c>
      <c r="Q3" s="259"/>
      <c r="R3" s="397" t="str">
        <f aca="false">F5</f>
        <v>BRANCO</v>
      </c>
      <c r="S3" s="261" t="n">
        <v>6000</v>
      </c>
      <c r="T3" s="439" t="n">
        <f aca="false">1.244*S36/1000</f>
        <v>2.453168</v>
      </c>
      <c r="U3" s="263" t="n">
        <f aca="false">M3*7.464</f>
        <v>7.464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483</v>
      </c>
      <c r="L4" s="265" t="n">
        <f aca="false">IF(S37&gt;6000,S37/6000,1)</f>
        <v>1</v>
      </c>
      <c r="M4" s="91" t="n">
        <f aca="false">ROUNDUP(L4,0)</f>
        <v>1</v>
      </c>
      <c r="N4" s="266" t="n">
        <f aca="false">1.264*6*K26</f>
        <v>379.2</v>
      </c>
      <c r="O4" s="266"/>
      <c r="P4" s="266" t="n">
        <f aca="false">N4*M4</f>
        <v>379.2</v>
      </c>
      <c r="Q4" s="266"/>
      <c r="R4" s="96" t="str">
        <f aca="false">F5</f>
        <v>BRANCO</v>
      </c>
      <c r="S4" s="268" t="n">
        <v>6000</v>
      </c>
      <c r="T4" s="439" t="n">
        <f aca="false">1.264*S37/1000</f>
        <v>2.492608</v>
      </c>
      <c r="U4" s="262" t="n">
        <f aca="false">M4*7.584</f>
        <v>7.584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470</v>
      </c>
      <c r="L5" s="265" t="n">
        <f aca="false">IF(S38&gt;6000,S38/6000,1)</f>
        <v>1</v>
      </c>
      <c r="M5" s="91" t="n">
        <f aca="false">ROUNDUP(L5,0)</f>
        <v>1</v>
      </c>
      <c r="N5" s="266" t="n">
        <f aca="false">0.206*6*K26</f>
        <v>61.8</v>
      </c>
      <c r="O5" s="266"/>
      <c r="P5" s="266" t="n">
        <f aca="false">N5*M5</f>
        <v>61.8</v>
      </c>
      <c r="Q5" s="266"/>
      <c r="R5" s="96" t="str">
        <f aca="false">F5</f>
        <v>BRANCO</v>
      </c>
      <c r="S5" s="268" t="n">
        <v>6000</v>
      </c>
      <c r="T5" s="439" t="n">
        <f aca="false">0.206*S38/1000</f>
        <v>0.400876</v>
      </c>
      <c r="U5" s="262" t="n">
        <f aca="false">M5*1.236</f>
        <v>1.236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471</v>
      </c>
      <c r="L6" s="265" t="n">
        <f aca="false">IF(S39&gt;6000,S39/6000,1)</f>
        <v>1</v>
      </c>
      <c r="M6" s="91" t="n">
        <f aca="false">ROUNDUP(L6,0)</f>
        <v>1</v>
      </c>
      <c r="N6" s="266" t="n">
        <f aca="false">0.957*6*K26</f>
        <v>287.1</v>
      </c>
      <c r="O6" s="266"/>
      <c r="P6" s="266" t="n">
        <f aca="false">N6*M6</f>
        <v>287.1</v>
      </c>
      <c r="Q6" s="266"/>
      <c r="R6" s="96" t="str">
        <f aca="false">F5</f>
        <v>BRANCO</v>
      </c>
      <c r="S6" s="268" t="n">
        <v>6000</v>
      </c>
      <c r="T6" s="439" t="n">
        <f aca="false">0.957*S39/1000</f>
        <v>1.914</v>
      </c>
      <c r="U6" s="262" t="n">
        <f aca="false">M6*5.742</f>
        <v>5.742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1000</v>
      </c>
      <c r="D7" s="272" t="n">
        <v>1</v>
      </c>
      <c r="E7" s="276" t="n">
        <f aca="false">(B7*C7)/10^6</f>
        <v>2</v>
      </c>
      <c r="F7" s="276"/>
      <c r="G7" s="270"/>
      <c r="H7" s="270"/>
      <c r="I7" s="270"/>
      <c r="J7" s="270"/>
      <c r="K7" s="116" t="s">
        <v>472</v>
      </c>
      <c r="L7" s="265" t="n">
        <f aca="false">IF(S40&gt;6000,S40/6000,1)</f>
        <v>1</v>
      </c>
      <c r="M7" s="91" t="n">
        <f aca="false">ROUNDUP(L7,0)</f>
        <v>1</v>
      </c>
      <c r="N7" s="266" t="n">
        <f aca="false">0.811*6*K26</f>
        <v>243.3</v>
      </c>
      <c r="O7" s="266"/>
      <c r="P7" s="266" t="n">
        <f aca="false">N7*M7</f>
        <v>243.3</v>
      </c>
      <c r="Q7" s="266"/>
      <c r="R7" s="96" t="str">
        <f aca="false">F5</f>
        <v>BRANCO</v>
      </c>
      <c r="S7" s="268" t="n">
        <v>6000</v>
      </c>
      <c r="T7" s="439" t="n">
        <f aca="false">0.811*S40/1000</f>
        <v>2.316216</v>
      </c>
      <c r="U7" s="262" t="n">
        <f aca="false">M7*4.866</f>
        <v>4.866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484</v>
      </c>
      <c r="L8" s="265" t="n">
        <f aca="false">IF(S41&gt;6000,S41/6000,1)</f>
        <v>1</v>
      </c>
      <c r="M8" s="91" t="n">
        <f aca="false">ROUNDUP(L8,0)</f>
        <v>1</v>
      </c>
      <c r="N8" s="266" t="n">
        <f aca="false">0.967*6*K26</f>
        <v>290.1</v>
      </c>
      <c r="O8" s="266"/>
      <c r="P8" s="266" t="n">
        <f aca="false">N8*M8</f>
        <v>290.1</v>
      </c>
      <c r="Q8" s="266"/>
      <c r="R8" s="96" t="str">
        <f aca="false">F5</f>
        <v>BRANCO</v>
      </c>
      <c r="S8" s="268" t="n">
        <v>6000</v>
      </c>
      <c r="T8" s="439" t="n">
        <f aca="false">0.967*S41/1000</f>
        <v>1.841168</v>
      </c>
      <c r="U8" s="262" t="n">
        <f aca="false">M8*5.802</f>
        <v>5.802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1000</v>
      </c>
      <c r="D9" s="275"/>
      <c r="E9" s="389" t="n">
        <f aca="false">(B7-316)/4</f>
        <v>421</v>
      </c>
      <c r="F9" s="390" t="n">
        <f aca="false">C7-136</f>
        <v>864</v>
      </c>
      <c r="G9" s="270"/>
      <c r="H9" s="270"/>
      <c r="I9" s="270"/>
      <c r="J9" s="270"/>
      <c r="K9" s="116" t="s">
        <v>433</v>
      </c>
      <c r="L9" s="265" t="n">
        <f aca="false">IF(S42&gt;6000,S42/6000,1)</f>
        <v>1</v>
      </c>
      <c r="M9" s="91" t="n">
        <f aca="false">ROUNDUP(L9,0)</f>
        <v>1</v>
      </c>
      <c r="N9" s="266" t="n">
        <f aca="false">0.905*6*K26</f>
        <v>271.5</v>
      </c>
      <c r="O9" s="266"/>
      <c r="P9" s="266" t="n">
        <f aca="false">N9*M9</f>
        <v>271.5</v>
      </c>
      <c r="Q9" s="266"/>
      <c r="R9" s="96" t="str">
        <f aca="false">R8</f>
        <v>BRANCO</v>
      </c>
      <c r="S9" s="268" t="n">
        <v>6000</v>
      </c>
      <c r="T9" s="439" t="n">
        <f aca="false">0.905*S42/1000</f>
        <v>1.72312</v>
      </c>
      <c r="U9" s="262" t="n">
        <f aca="false">M9*5.43</f>
        <v>5.43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430</v>
      </c>
      <c r="L10" s="265" t="n">
        <f aca="false">IF(S43&gt;6000,S43/6000,1)</f>
        <v>1</v>
      </c>
      <c r="M10" s="91" t="n">
        <f aca="false">ROUNDUP(L10,0)</f>
        <v>1</v>
      </c>
      <c r="N10" s="277" t="n">
        <f aca="false">0.677*6*K26</f>
        <v>203.1</v>
      </c>
      <c r="O10" s="277"/>
      <c r="P10" s="277" t="n">
        <f aca="false">N10*M10</f>
        <v>203.1</v>
      </c>
      <c r="Q10" s="277"/>
      <c r="R10" s="96" t="str">
        <f aca="false">F5</f>
        <v>BRANCO</v>
      </c>
      <c r="S10" s="268" t="n">
        <v>6000</v>
      </c>
      <c r="T10" s="439" t="n">
        <f aca="false">0.677*S43/1000</f>
        <v>2.312632</v>
      </c>
      <c r="U10" s="262" t="n">
        <f aca="false">M10*4.062</f>
        <v>4.062</v>
      </c>
    </row>
    <row r="11" customFormat="false" ht="25.5" hidden="false" customHeight="true" outlineLevel="0" collapsed="false">
      <c r="A11" s="67" t="s">
        <v>468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B7-28</f>
        <v>1972</v>
      </c>
      <c r="G11" s="69"/>
      <c r="H11" s="72" t="s">
        <v>17</v>
      </c>
      <c r="I11" s="72"/>
      <c r="J11" s="72" t="s">
        <v>42</v>
      </c>
      <c r="K11" s="116" t="s">
        <v>392</v>
      </c>
      <c r="L11" s="265" t="n">
        <f aca="false">IF(S44&gt;6000,S44/6000,1)</f>
        <v>1</v>
      </c>
      <c r="M11" s="91" t="n">
        <f aca="false">ROUNDUP(L11,0)</f>
        <v>1</v>
      </c>
      <c r="N11" s="266" t="n">
        <f aca="false">0.167*6*K26</f>
        <v>50.1</v>
      </c>
      <c r="O11" s="266"/>
      <c r="P11" s="266" t="n">
        <f aca="false">N11*M11</f>
        <v>50.1</v>
      </c>
      <c r="Q11" s="266"/>
      <c r="R11" s="96" t="str">
        <f aca="false">F5</f>
        <v>BRANCO</v>
      </c>
      <c r="S11" s="268" t="n">
        <v>6000</v>
      </c>
      <c r="T11" s="439" t="n">
        <f aca="false">S44*0.167/1000</f>
        <v>0.570472</v>
      </c>
      <c r="U11" s="262" t="n">
        <f aca="false">M11*1.002</f>
        <v>1.002</v>
      </c>
    </row>
    <row r="12" customFormat="false" ht="25.5" hidden="false" customHeight="true" outlineLevel="0" collapsed="false">
      <c r="A12" s="79" t="s">
        <v>483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1972</v>
      </c>
      <c r="G12" s="97"/>
      <c r="H12" s="83" t="s">
        <v>17</v>
      </c>
      <c r="I12" s="83"/>
      <c r="J12" s="83" t="s">
        <v>42</v>
      </c>
      <c r="K12" s="116" t="s">
        <v>485</v>
      </c>
      <c r="L12" s="265" t="n">
        <f aca="false">IF(S45&gt;6000,S45/6000,1)</f>
        <v>1.12</v>
      </c>
      <c r="M12" s="91" t="n">
        <f aca="false">ROUNDUP(L12,0)</f>
        <v>2</v>
      </c>
      <c r="N12" s="266" t="n">
        <f aca="false">0.158*6*K26</f>
        <v>47.4</v>
      </c>
      <c r="O12" s="266"/>
      <c r="P12" s="266" t="n">
        <f aca="false">N12*M12</f>
        <v>94.8</v>
      </c>
      <c r="Q12" s="266"/>
      <c r="R12" s="96" t="str">
        <f aca="false">F5</f>
        <v>BRANCO</v>
      </c>
      <c r="S12" s="268" t="n">
        <v>6000</v>
      </c>
      <c r="T12" s="439" t="n">
        <f aca="false">S45*0.158/1000</f>
        <v>1.06176</v>
      </c>
      <c r="U12" s="262" t="n">
        <f aca="false">M12*1.002</f>
        <v>2.004</v>
      </c>
    </row>
    <row r="13" customFormat="false" ht="25.5" hidden="false" customHeight="true" outlineLevel="0" collapsed="false">
      <c r="A13" s="79" t="s">
        <v>470</v>
      </c>
      <c r="B13" s="279" t="s">
        <v>196</v>
      </c>
      <c r="C13" s="279"/>
      <c r="D13" s="279"/>
      <c r="E13" s="24" t="n">
        <f aca="false">D7*2</f>
        <v>2</v>
      </c>
      <c r="F13" s="97" t="n">
        <f aca="false">C7-27</f>
        <v>973</v>
      </c>
      <c r="G13" s="97"/>
      <c r="H13" s="83" t="s">
        <v>18</v>
      </c>
      <c r="I13" s="83"/>
      <c r="J13" s="83" t="s">
        <v>42</v>
      </c>
      <c r="K13" s="116" t="s">
        <v>486</v>
      </c>
      <c r="L13" s="265" t="n">
        <f aca="false">IF(S46&gt;6000,S46/6000,1)</f>
        <v>1</v>
      </c>
      <c r="M13" s="91" t="n">
        <f aca="false">ROUNDUP(L13,0)</f>
        <v>1</v>
      </c>
      <c r="N13" s="266" t="n">
        <f aca="false">0.919*6*K26</f>
        <v>275.7</v>
      </c>
      <c r="O13" s="266"/>
      <c r="P13" s="266" t="n">
        <f aca="false">N13*M13</f>
        <v>275.7</v>
      </c>
      <c r="Q13" s="266"/>
      <c r="R13" s="96" t="str">
        <f aca="false">F5</f>
        <v>BRANCO</v>
      </c>
      <c r="S13" s="268" t="n">
        <v>6000</v>
      </c>
      <c r="T13" s="439" t="n">
        <f aca="false">S46*0.919/1000</f>
        <v>0.874888</v>
      </c>
      <c r="U13" s="262" t="n">
        <f aca="false">M13*5.514</f>
        <v>5.514</v>
      </c>
    </row>
    <row r="14" customFormat="false" ht="25.5" hidden="false" customHeight="true" outlineLevel="0" collapsed="false">
      <c r="A14" s="79" t="s">
        <v>471</v>
      </c>
      <c r="B14" s="279" t="s">
        <v>192</v>
      </c>
      <c r="C14" s="279"/>
      <c r="D14" s="279"/>
      <c r="E14" s="24" t="n">
        <f aca="false">D7*2</f>
        <v>2</v>
      </c>
      <c r="F14" s="24" t="n">
        <f aca="false">C7</f>
        <v>1000</v>
      </c>
      <c r="G14" s="24"/>
      <c r="H14" s="83" t="s">
        <v>18</v>
      </c>
      <c r="I14" s="83"/>
      <c r="J14" s="83" t="s">
        <v>42</v>
      </c>
      <c r="K14" s="116"/>
      <c r="L14" s="281"/>
      <c r="M14" s="153"/>
      <c r="N14" s="266"/>
      <c r="O14" s="266"/>
      <c r="P14" s="25"/>
      <c r="Q14" s="25"/>
      <c r="R14" s="96"/>
      <c r="S14" s="268"/>
      <c r="T14" s="439"/>
      <c r="U14" s="280"/>
    </row>
    <row r="15" customFormat="false" ht="25.5" hidden="false" customHeight="true" outlineLevel="0" collapsed="false">
      <c r="A15" s="79" t="s">
        <v>472</v>
      </c>
      <c r="B15" s="279" t="s">
        <v>435</v>
      </c>
      <c r="C15" s="279"/>
      <c r="D15" s="279"/>
      <c r="E15" s="46" t="n">
        <f aca="false">D7*3</f>
        <v>3</v>
      </c>
      <c r="F15" s="24" t="n">
        <f aca="false">C7-48</f>
        <v>952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5"/>
      <c r="Q15" s="25"/>
      <c r="R15" s="96"/>
      <c r="S15" s="268"/>
      <c r="T15" s="439"/>
      <c r="U15" s="280"/>
    </row>
    <row r="16" customFormat="false" ht="25.5" hidden="false" customHeight="true" outlineLevel="0" collapsed="false">
      <c r="A16" s="79" t="s">
        <v>484</v>
      </c>
      <c r="B16" s="279" t="s">
        <v>435</v>
      </c>
      <c r="C16" s="279"/>
      <c r="D16" s="279"/>
      <c r="E16" s="24" t="n">
        <f aca="false">D7*2</f>
        <v>2</v>
      </c>
      <c r="F16" s="24" t="n">
        <f aca="false">F15</f>
        <v>952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5"/>
      <c r="Q16" s="25"/>
      <c r="R16" s="96"/>
      <c r="S16" s="268"/>
      <c r="T16" s="439"/>
      <c r="U16" s="280"/>
    </row>
    <row r="17" customFormat="false" ht="25.5" hidden="false" customHeight="true" outlineLevel="0" collapsed="false">
      <c r="A17" s="79" t="s">
        <v>433</v>
      </c>
      <c r="B17" s="279" t="s">
        <v>435</v>
      </c>
      <c r="C17" s="279"/>
      <c r="D17" s="279"/>
      <c r="E17" s="24" t="n">
        <f aca="false">D7*2</f>
        <v>2</v>
      </c>
      <c r="F17" s="24" t="n">
        <f aca="false">F15</f>
        <v>952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5"/>
      <c r="Q17" s="25"/>
      <c r="R17" s="96"/>
      <c r="S17" s="268"/>
      <c r="T17" s="439"/>
      <c r="U17" s="280"/>
    </row>
    <row r="18" customFormat="false" ht="25.5" hidden="false" customHeight="true" outlineLevel="0" collapsed="false">
      <c r="A18" s="79" t="s">
        <v>430</v>
      </c>
      <c r="B18" s="279" t="s">
        <v>487</v>
      </c>
      <c r="C18" s="279"/>
      <c r="D18" s="279"/>
      <c r="E18" s="24" t="n">
        <f aca="false">D7*8</f>
        <v>8</v>
      </c>
      <c r="F18" s="24" t="n">
        <f aca="false">(B7-292)/4</f>
        <v>427</v>
      </c>
      <c r="G18" s="24"/>
      <c r="H18" s="83" t="s">
        <v>17</v>
      </c>
      <c r="I18" s="83"/>
      <c r="J18" s="83" t="s">
        <v>42</v>
      </c>
      <c r="K18" s="208"/>
      <c r="L18" s="281"/>
      <c r="M18" s="471"/>
      <c r="N18" s="268"/>
      <c r="O18" s="280"/>
      <c r="P18" s="120"/>
      <c r="Q18" s="120"/>
      <c r="R18" s="96"/>
      <c r="S18" s="268"/>
      <c r="T18" s="439"/>
      <c r="U18" s="280"/>
    </row>
    <row r="19" customFormat="false" ht="22.5" hidden="false" customHeight="true" outlineLevel="0" collapsed="false">
      <c r="A19" s="79" t="s">
        <v>392</v>
      </c>
      <c r="B19" s="279" t="s">
        <v>475</v>
      </c>
      <c r="C19" s="279"/>
      <c r="D19" s="279"/>
      <c r="E19" s="24" t="n">
        <f aca="false">D7*8</f>
        <v>8</v>
      </c>
      <c r="F19" s="24" t="n">
        <f aca="false">F18</f>
        <v>427</v>
      </c>
      <c r="G19" s="24"/>
      <c r="H19" s="83" t="s">
        <v>17</v>
      </c>
      <c r="I19" s="83"/>
      <c r="J19" s="83" t="s">
        <v>42</v>
      </c>
      <c r="K19" s="268"/>
      <c r="L19" s="283"/>
      <c r="M19" s="471"/>
      <c r="N19" s="268"/>
      <c r="O19" s="280"/>
      <c r="P19" s="120"/>
      <c r="Q19" s="120"/>
      <c r="R19" s="96"/>
      <c r="S19" s="268"/>
      <c r="T19" s="439"/>
      <c r="U19" s="280"/>
    </row>
    <row r="20" customFormat="false" ht="22.5" hidden="false" customHeight="true" outlineLevel="0" collapsed="false">
      <c r="A20" s="79" t="s">
        <v>393</v>
      </c>
      <c r="B20" s="279" t="s">
        <v>203</v>
      </c>
      <c r="C20" s="279"/>
      <c r="D20" s="279"/>
      <c r="E20" s="46" t="n">
        <f aca="false">D7*8</f>
        <v>8</v>
      </c>
      <c r="F20" s="24" t="n">
        <f aca="false">C7-160</f>
        <v>840</v>
      </c>
      <c r="G20" s="24"/>
      <c r="H20" s="83" t="s">
        <v>18</v>
      </c>
      <c r="I20" s="83"/>
      <c r="J20" s="83" t="s">
        <v>42</v>
      </c>
      <c r="K20" s="268"/>
      <c r="L20" s="283"/>
      <c r="M20" s="471"/>
      <c r="N20" s="268"/>
      <c r="O20" s="280"/>
      <c r="P20" s="120"/>
      <c r="Q20" s="120"/>
      <c r="R20" s="96"/>
      <c r="S20" s="268"/>
      <c r="T20" s="439"/>
      <c r="U20" s="280"/>
    </row>
    <row r="21" customFormat="false" ht="21" hidden="false" customHeight="true" outlineLevel="0" collapsed="false">
      <c r="A21" s="79" t="s">
        <v>486</v>
      </c>
      <c r="B21" s="80" t="s">
        <v>435</v>
      </c>
      <c r="C21" s="80"/>
      <c r="D21" s="80"/>
      <c r="E21" s="46" t="n">
        <f aca="false">D7*1</f>
        <v>1</v>
      </c>
      <c r="F21" s="24" t="n">
        <f aca="false">F15</f>
        <v>952</v>
      </c>
      <c r="G21" s="24"/>
      <c r="H21" s="28" t="s">
        <v>18</v>
      </c>
      <c r="I21" s="28"/>
      <c r="J21" s="83" t="s">
        <v>42</v>
      </c>
      <c r="K21" s="268"/>
      <c r="L21" s="283"/>
      <c r="M21" s="471"/>
      <c r="N21" s="268"/>
      <c r="O21" s="280"/>
      <c r="P21" s="120"/>
      <c r="Q21" s="120"/>
      <c r="R21" s="96"/>
      <c r="S21" s="268"/>
      <c r="T21" s="439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471"/>
      <c r="N22" s="268"/>
      <c r="O22" s="280"/>
      <c r="P22" s="120"/>
      <c r="Q22" s="120"/>
      <c r="R22" s="96"/>
      <c r="S22" s="268"/>
      <c r="T22" s="439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471"/>
      <c r="N23" s="284"/>
      <c r="O23" s="280"/>
      <c r="P23" s="120"/>
      <c r="Q23" s="120"/>
      <c r="R23" s="96"/>
      <c r="S23" s="268"/>
      <c r="T23" s="439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472"/>
      <c r="N24" s="285"/>
      <c r="O24" s="288"/>
      <c r="P24" s="209"/>
      <c r="Q24" s="209"/>
      <c r="R24" s="290"/>
      <c r="S24" s="289"/>
      <c r="T24" s="292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17.960908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1796.0908</v>
      </c>
      <c r="N26" s="302"/>
      <c r="O26" s="303" t="n">
        <v>0.1</v>
      </c>
      <c r="P26" s="85" t="n">
        <f aca="false">K30*O26+K30</f>
        <v>987.84994</v>
      </c>
      <c r="Q26" s="85"/>
      <c r="R26" s="85"/>
      <c r="S26" s="181" t="s">
        <v>131</v>
      </c>
      <c r="T26" s="181"/>
      <c r="U26" s="294" t="n">
        <f aca="false">SUM(U3:U24)</f>
        <v>50.706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32.745092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2535.3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898.0454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109"/>
      <c r="Q34" s="109"/>
      <c r="R34" s="109"/>
      <c r="S34" s="109"/>
      <c r="T34" s="109"/>
      <c r="U34" s="93"/>
    </row>
    <row r="35" customFormat="false" ht="15" hidden="false" customHeight="true" outlineLevel="0" collapsed="false">
      <c r="A35" s="104" t="s">
        <v>51</v>
      </c>
      <c r="B35" s="473" t="s">
        <v>26</v>
      </c>
      <c r="C35" s="473"/>
      <c r="D35" s="473"/>
      <c r="E35" s="473"/>
      <c r="F35" s="473"/>
      <c r="G35" s="473"/>
      <c r="H35" s="227" t="s">
        <v>5</v>
      </c>
      <c r="I35" s="20" t="s">
        <v>207</v>
      </c>
      <c r="J35" s="20"/>
      <c r="K35" s="93"/>
      <c r="L35" s="93"/>
      <c r="M35" s="93"/>
      <c r="N35" s="93"/>
      <c r="O35" s="93"/>
      <c r="P35" s="109"/>
      <c r="Q35" s="109"/>
      <c r="R35" s="109"/>
      <c r="S35" s="109"/>
      <c r="T35" s="109"/>
      <c r="U35" s="93"/>
    </row>
    <row r="36" customFormat="false" ht="27" hidden="false" customHeight="true" outlineLevel="0" collapsed="false">
      <c r="A36" s="313" t="s">
        <v>488</v>
      </c>
      <c r="B36" s="426" t="s">
        <v>438</v>
      </c>
      <c r="C36" s="426"/>
      <c r="D36" s="426"/>
      <c r="E36" s="426"/>
      <c r="F36" s="426"/>
      <c r="G36" s="426"/>
      <c r="H36" s="397" t="s">
        <v>64</v>
      </c>
      <c r="I36" s="72" t="n">
        <f aca="false">D7*1</f>
        <v>1</v>
      </c>
      <c r="J36" s="72"/>
      <c r="K36" s="249"/>
      <c r="L36" s="94"/>
      <c r="M36" s="249"/>
      <c r="N36" s="94"/>
      <c r="O36" s="93"/>
      <c r="P36" s="467"/>
      <c r="Q36" s="474"/>
      <c r="R36" s="387" t="s">
        <v>468</v>
      </c>
      <c r="S36" s="109" t="n">
        <f aca="false">F11*E11</f>
        <v>1972</v>
      </c>
      <c r="T36" s="109"/>
      <c r="U36" s="93"/>
    </row>
    <row r="37" customFormat="false" ht="27" hidden="false" customHeight="true" outlineLevel="0" collapsed="false">
      <c r="A37" s="319" t="s">
        <v>439</v>
      </c>
      <c r="B37" s="427" t="s">
        <v>440</v>
      </c>
      <c r="C37" s="427"/>
      <c r="D37" s="427"/>
      <c r="E37" s="427"/>
      <c r="F37" s="427"/>
      <c r="G37" s="427"/>
      <c r="H37" s="96" t="s">
        <v>64</v>
      </c>
      <c r="I37" s="83" t="n">
        <f aca="false">D7*16</f>
        <v>16</v>
      </c>
      <c r="J37" s="83"/>
      <c r="K37" s="249"/>
      <c r="L37" s="94"/>
      <c r="M37" s="249"/>
      <c r="N37" s="94"/>
      <c r="O37" s="93"/>
      <c r="P37" s="467"/>
      <c r="Q37" s="474"/>
      <c r="R37" s="387" t="s">
        <v>477</v>
      </c>
      <c r="S37" s="109" t="n">
        <f aca="false">F12*E12</f>
        <v>1972</v>
      </c>
      <c r="T37" s="109"/>
      <c r="U37" s="93"/>
    </row>
    <row r="38" customFormat="false" ht="23.25" hidden="false" customHeight="true" outlineLevel="0" collapsed="false">
      <c r="A38" s="319" t="s">
        <v>441</v>
      </c>
      <c r="B38" s="427" t="s">
        <v>442</v>
      </c>
      <c r="C38" s="427"/>
      <c r="D38" s="427"/>
      <c r="E38" s="427"/>
      <c r="F38" s="427"/>
      <c r="G38" s="427"/>
      <c r="H38" s="96" t="s">
        <v>64</v>
      </c>
      <c r="I38" s="83" t="n">
        <f aca="false">D7*2</f>
        <v>2</v>
      </c>
      <c r="J38" s="83"/>
      <c r="K38" s="249"/>
      <c r="L38" s="94"/>
      <c r="M38" s="249"/>
      <c r="N38" s="94"/>
      <c r="O38" s="93"/>
      <c r="P38" s="467"/>
      <c r="Q38" s="474"/>
      <c r="R38" s="387" t="s">
        <v>478</v>
      </c>
      <c r="S38" s="109" t="n">
        <f aca="false">F13*E13</f>
        <v>1946</v>
      </c>
      <c r="T38" s="109"/>
      <c r="U38" s="93"/>
    </row>
    <row r="39" customFormat="false" ht="23.25" hidden="false" customHeight="true" outlineLevel="0" collapsed="false">
      <c r="A39" s="319" t="s">
        <v>443</v>
      </c>
      <c r="B39" s="427" t="s">
        <v>230</v>
      </c>
      <c r="C39" s="427"/>
      <c r="D39" s="427"/>
      <c r="E39" s="427"/>
      <c r="F39" s="427"/>
      <c r="G39" s="427"/>
      <c r="H39" s="96" t="s">
        <v>64</v>
      </c>
      <c r="I39" s="83" t="n">
        <f aca="false">D7*2</f>
        <v>2</v>
      </c>
      <c r="J39" s="83"/>
      <c r="K39" s="249"/>
      <c r="L39" s="94"/>
      <c r="M39" s="249"/>
      <c r="N39" s="94"/>
      <c r="O39" s="93"/>
      <c r="P39" s="467"/>
      <c r="Q39" s="474"/>
      <c r="R39" s="387" t="s">
        <v>479</v>
      </c>
      <c r="S39" s="109" t="n">
        <f aca="false">F14*E14</f>
        <v>2000</v>
      </c>
      <c r="T39" s="109"/>
      <c r="U39" s="93"/>
    </row>
    <row r="40" customFormat="false" ht="23.25" hidden="false" customHeight="true" outlineLevel="0" collapsed="false">
      <c r="A40" s="319" t="s">
        <v>444</v>
      </c>
      <c r="B40" s="427" t="s">
        <v>289</v>
      </c>
      <c r="C40" s="427"/>
      <c r="D40" s="427"/>
      <c r="E40" s="427"/>
      <c r="F40" s="427"/>
      <c r="G40" s="427"/>
      <c r="H40" s="96" t="s">
        <v>64</v>
      </c>
      <c r="I40" s="83" t="n">
        <f aca="false">D7*4</f>
        <v>4</v>
      </c>
      <c r="J40" s="83"/>
      <c r="K40" s="249"/>
      <c r="L40" s="94"/>
      <c r="M40" s="249"/>
      <c r="N40" s="94"/>
      <c r="O40" s="93"/>
      <c r="P40" s="467"/>
      <c r="Q40" s="474"/>
      <c r="R40" s="387" t="s">
        <v>472</v>
      </c>
      <c r="S40" s="109" t="n">
        <f aca="false">F15*E15</f>
        <v>2856</v>
      </c>
      <c r="T40" s="109"/>
      <c r="U40" s="93"/>
    </row>
    <row r="41" customFormat="false" ht="23.25" hidden="false" customHeight="true" outlineLevel="0" collapsed="false">
      <c r="A41" s="319" t="s">
        <v>445</v>
      </c>
      <c r="B41" s="427" t="s">
        <v>446</v>
      </c>
      <c r="C41" s="427"/>
      <c r="D41" s="427"/>
      <c r="E41" s="427"/>
      <c r="F41" s="427"/>
      <c r="G41" s="427"/>
      <c r="H41" s="96" t="s">
        <v>64</v>
      </c>
      <c r="I41" s="83" t="n">
        <f aca="false">D7*16</f>
        <v>16</v>
      </c>
      <c r="J41" s="83"/>
      <c r="K41" s="249"/>
      <c r="L41" s="94"/>
      <c r="M41" s="249"/>
      <c r="N41" s="94"/>
      <c r="O41" s="93"/>
      <c r="P41" s="467"/>
      <c r="Q41" s="474"/>
      <c r="R41" s="387" t="s">
        <v>484</v>
      </c>
      <c r="S41" s="109" t="n">
        <f aca="false">F16*E16</f>
        <v>1904</v>
      </c>
      <c r="T41" s="109"/>
      <c r="U41" s="93"/>
    </row>
    <row r="42" customFormat="false" ht="23.25" hidden="false" customHeight="true" outlineLevel="0" collapsed="false">
      <c r="A42" s="319" t="s">
        <v>447</v>
      </c>
      <c r="B42" s="427" t="s">
        <v>340</v>
      </c>
      <c r="C42" s="427"/>
      <c r="D42" s="427"/>
      <c r="E42" s="427"/>
      <c r="F42" s="427"/>
      <c r="G42" s="427"/>
      <c r="H42" s="96" t="s">
        <v>64</v>
      </c>
      <c r="I42" s="83" t="n">
        <f aca="false">D7*16</f>
        <v>16</v>
      </c>
      <c r="J42" s="83"/>
      <c r="K42" s="249"/>
      <c r="L42" s="94"/>
      <c r="M42" s="249"/>
      <c r="N42" s="94"/>
      <c r="O42" s="93"/>
      <c r="P42" s="467"/>
      <c r="Q42" s="474"/>
      <c r="R42" s="387" t="s">
        <v>433</v>
      </c>
      <c r="S42" s="109" t="n">
        <f aca="false">F17*E17</f>
        <v>1904</v>
      </c>
      <c r="T42" s="109"/>
      <c r="U42" s="93"/>
    </row>
    <row r="43" customFormat="false" ht="23.25" hidden="false" customHeight="true" outlineLevel="0" collapsed="false">
      <c r="A43" s="319" t="s">
        <v>448</v>
      </c>
      <c r="B43" s="427" t="s">
        <v>449</v>
      </c>
      <c r="C43" s="427"/>
      <c r="D43" s="427"/>
      <c r="E43" s="427"/>
      <c r="F43" s="427"/>
      <c r="G43" s="427"/>
      <c r="H43" s="96" t="s">
        <v>64</v>
      </c>
      <c r="I43" s="428" t="n">
        <f aca="false">D7*4</f>
        <v>4</v>
      </c>
      <c r="J43" s="428"/>
      <c r="K43" s="93"/>
      <c r="L43" s="93"/>
      <c r="M43" s="249"/>
      <c r="N43" s="93"/>
      <c r="O43" s="93"/>
      <c r="P43" s="467"/>
      <c r="Q43" s="474"/>
      <c r="R43" s="387" t="s">
        <v>430</v>
      </c>
      <c r="S43" s="109" t="n">
        <f aca="false">F18*E18</f>
        <v>3416</v>
      </c>
      <c r="T43" s="109"/>
      <c r="U43" s="93"/>
    </row>
    <row r="44" customFormat="false" ht="23.25" hidden="false" customHeight="true" outlineLevel="0" collapsed="false">
      <c r="A44" s="319" t="s">
        <v>450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B7*2+C7*8*D7</f>
        <v>12000</v>
      </c>
      <c r="J44" s="428"/>
      <c r="K44" s="93"/>
      <c r="L44" s="93"/>
      <c r="M44" s="249"/>
      <c r="N44" s="94"/>
      <c r="O44" s="93"/>
      <c r="P44" s="467"/>
      <c r="Q44" s="474"/>
      <c r="R44" s="387" t="s">
        <v>392</v>
      </c>
      <c r="S44" s="109" t="n">
        <f aca="false">F19*E19</f>
        <v>3416</v>
      </c>
      <c r="T44" s="109"/>
      <c r="U44" s="93"/>
    </row>
    <row r="45" customFormat="false" ht="23.25" hidden="false" customHeight="true" outlineLevel="0" collapsed="false">
      <c r="A45" s="319" t="s">
        <v>407</v>
      </c>
      <c r="B45" s="427" t="s">
        <v>451</v>
      </c>
      <c r="C45" s="427"/>
      <c r="D45" s="427"/>
      <c r="E45" s="427"/>
      <c r="F45" s="427"/>
      <c r="G45" s="427"/>
      <c r="H45" s="96" t="s">
        <v>46</v>
      </c>
      <c r="I45" s="428" t="n">
        <f aca="false">B7*2*D7</f>
        <v>4000</v>
      </c>
      <c r="J45" s="428"/>
      <c r="K45" s="93"/>
      <c r="L45" s="93"/>
      <c r="M45" s="93"/>
      <c r="N45" s="93"/>
      <c r="O45" s="93"/>
      <c r="P45" s="467"/>
      <c r="Q45" s="474"/>
      <c r="R45" s="387" t="s">
        <v>485</v>
      </c>
      <c r="S45" s="109" t="n">
        <f aca="false">F20*E20</f>
        <v>6720</v>
      </c>
      <c r="T45" s="109"/>
      <c r="U45" s="93"/>
    </row>
    <row r="46" customFormat="false" ht="23.25" hidden="false" customHeight="true" outlineLevel="0" collapsed="false">
      <c r="A46" s="319" t="s">
        <v>405</v>
      </c>
      <c r="B46" s="431" t="s">
        <v>452</v>
      </c>
      <c r="C46" s="431"/>
      <c r="D46" s="431"/>
      <c r="E46" s="431"/>
      <c r="F46" s="431"/>
      <c r="G46" s="431"/>
      <c r="H46" s="96" t="s">
        <v>46</v>
      </c>
      <c r="I46" s="428" t="n">
        <f aca="false">C7*8*D7</f>
        <v>8000</v>
      </c>
      <c r="J46" s="428"/>
      <c r="K46" s="93"/>
      <c r="L46" s="93"/>
      <c r="M46" s="93"/>
      <c r="N46" s="93"/>
      <c r="O46" s="93"/>
      <c r="P46" s="467"/>
      <c r="Q46" s="474"/>
      <c r="R46" s="109" t="s">
        <v>486</v>
      </c>
      <c r="S46" s="109" t="n">
        <f aca="false">F21*E21</f>
        <v>952</v>
      </c>
      <c r="T46" s="109"/>
      <c r="U46" s="93"/>
    </row>
    <row r="47" customFormat="false" ht="23.25" hidden="false" customHeight="true" outlineLevel="0" collapsed="false">
      <c r="A47" s="319" t="s">
        <v>480</v>
      </c>
      <c r="B47" s="431" t="s">
        <v>481</v>
      </c>
      <c r="C47" s="431"/>
      <c r="D47" s="431"/>
      <c r="E47" s="431"/>
      <c r="F47" s="431"/>
      <c r="G47" s="431"/>
      <c r="H47" s="96" t="s">
        <v>64</v>
      </c>
      <c r="I47" s="83" t="n">
        <f aca="false">D7*1</f>
        <v>1</v>
      </c>
      <c r="J47" s="83"/>
      <c r="K47" s="93"/>
      <c r="L47" s="93"/>
      <c r="M47" s="93"/>
      <c r="N47" s="93"/>
      <c r="O47" s="93"/>
      <c r="P47" s="109"/>
      <c r="Q47" s="109"/>
      <c r="R47" s="109"/>
      <c r="S47" s="109"/>
      <c r="T47" s="109"/>
      <c r="U47" s="93"/>
    </row>
    <row r="48" customFormat="false" ht="23.25" hidden="false" customHeight="true" outlineLevel="0" collapsed="false">
      <c r="A48" s="128" t="s">
        <v>455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120" t="n">
        <f aca="false">D7*1</f>
        <v>1</v>
      </c>
      <c r="J48" s="120"/>
      <c r="K48" s="93"/>
      <c r="L48" s="93"/>
      <c r="M48" s="93"/>
      <c r="N48" s="93"/>
      <c r="O48" s="93"/>
      <c r="P48" s="109"/>
      <c r="Q48" s="109"/>
      <c r="R48" s="109"/>
      <c r="S48" s="109"/>
      <c r="T48" s="109"/>
      <c r="U48" s="93"/>
    </row>
    <row r="49" customFormat="false" ht="23.25" hidden="false" customHeight="true" outlineLevel="0" collapsed="false">
      <c r="A49" s="128" t="s">
        <v>397</v>
      </c>
      <c r="B49" s="431" t="s">
        <v>456</v>
      </c>
      <c r="C49" s="431"/>
      <c r="D49" s="431"/>
      <c r="E49" s="431"/>
      <c r="F49" s="431"/>
      <c r="G49" s="431"/>
      <c r="H49" s="96" t="s">
        <v>46</v>
      </c>
      <c r="I49" s="428" t="n">
        <f aca="false">C7*9*D7</f>
        <v>9000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</row>
    <row r="50" customFormat="false" ht="23.25" hidden="false" customHeight="true" outlineLevel="0" collapsed="false">
      <c r="A50" s="128" t="s">
        <v>489</v>
      </c>
      <c r="B50" s="431" t="s">
        <v>350</v>
      </c>
      <c r="C50" s="431"/>
      <c r="D50" s="431"/>
      <c r="E50" s="431"/>
      <c r="F50" s="431"/>
      <c r="G50" s="431"/>
      <c r="H50" s="96" t="s">
        <v>46</v>
      </c>
      <c r="I50" s="435" t="n">
        <f aca="false">B7*4*D7</f>
        <v>8000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</row>
    <row r="51" customFormat="false" ht="21" hidden="false" customHeight="true" outlineLevel="0" collapsed="false">
      <c r="A51" s="128" t="s">
        <v>459</v>
      </c>
      <c r="B51" s="431" t="s">
        <v>460</v>
      </c>
      <c r="C51" s="431"/>
      <c r="D51" s="431"/>
      <c r="E51" s="431"/>
      <c r="F51" s="431"/>
      <c r="G51" s="431"/>
      <c r="H51" s="96" t="s">
        <v>64</v>
      </c>
      <c r="I51" s="120" t="n">
        <f aca="false">D7*28</f>
        <v>28</v>
      </c>
      <c r="J51" s="120"/>
      <c r="K51" s="93"/>
      <c r="L51" s="109"/>
      <c r="M51" s="109"/>
      <c r="N51" s="109"/>
      <c r="O51" s="109"/>
      <c r="P51" s="109"/>
      <c r="Q51" s="109"/>
      <c r="R51" s="109"/>
    </row>
    <row r="52" customFormat="false" ht="23.25" hidden="false" customHeight="true" outlineLevel="0" collapsed="false">
      <c r="A52" s="379" t="s">
        <v>490</v>
      </c>
      <c r="B52" s="436" t="s">
        <v>491</v>
      </c>
      <c r="C52" s="436"/>
      <c r="D52" s="436"/>
      <c r="E52" s="436"/>
      <c r="F52" s="436"/>
      <c r="G52" s="436"/>
      <c r="H52" s="290" t="s">
        <v>64</v>
      </c>
      <c r="I52" s="209" t="n">
        <f aca="false">D7*4</f>
        <v>4</v>
      </c>
      <c r="J52" s="209"/>
      <c r="K52" s="93"/>
      <c r="L52" s="109"/>
      <c r="M52" s="109"/>
      <c r="N52" s="109"/>
      <c r="O52" s="109"/>
      <c r="P52" s="109"/>
      <c r="Q52" s="109"/>
      <c r="R52" s="109"/>
    </row>
    <row r="53" customFormat="false" ht="23.25" hidden="false" customHeight="true" outlineLevel="0" collapsed="false">
      <c r="A53" s="47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316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468</v>
      </c>
      <c r="L3" s="257" t="n">
        <f aca="false">IF(S36&gt;6000,S36/6000,1)</f>
        <v>1</v>
      </c>
      <c r="M3" s="395" t="n">
        <f aca="false">ROUNDUP(L3,0)</f>
        <v>1</v>
      </c>
      <c r="N3" s="259" t="n">
        <f aca="false">1.244*6*K26</f>
        <v>373.2</v>
      </c>
      <c r="O3" s="259"/>
      <c r="P3" s="259" t="n">
        <f aca="false">N3*M3</f>
        <v>373.2</v>
      </c>
      <c r="Q3" s="259"/>
      <c r="R3" s="397" t="str">
        <f aca="false">F5</f>
        <v>BRANCO</v>
      </c>
      <c r="S3" s="261" t="n">
        <v>6000</v>
      </c>
      <c r="T3" s="439" t="n">
        <f aca="false">1.244*S36/1000</f>
        <v>1.209168</v>
      </c>
      <c r="U3" s="263" t="n">
        <f aca="false">M3*7.464</f>
        <v>7.464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477</v>
      </c>
      <c r="L4" s="265" t="n">
        <f aca="false">IF(S37&gt;6000,S37/6000,1)</f>
        <v>1</v>
      </c>
      <c r="M4" s="91" t="n">
        <f aca="false">ROUNDUP(L4,0)</f>
        <v>1</v>
      </c>
      <c r="N4" s="266" t="n">
        <f aca="false">1.282*6*K26</f>
        <v>384.6</v>
      </c>
      <c r="O4" s="266"/>
      <c r="P4" s="266" t="n">
        <f aca="false">N4*M4</f>
        <v>384.6</v>
      </c>
      <c r="Q4" s="266"/>
      <c r="R4" s="96" t="str">
        <f aca="false">F5</f>
        <v>BRANCO</v>
      </c>
      <c r="S4" s="268" t="n">
        <v>6000</v>
      </c>
      <c r="T4" s="439" t="n">
        <f aca="false">1.282*S37/1000</f>
        <v>1.246104</v>
      </c>
      <c r="U4" s="262" t="n">
        <f aca="false">M4*7.692</f>
        <v>7.692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478</v>
      </c>
      <c r="L5" s="265" t="n">
        <f aca="false">IF(S38&gt;6000,S38/6000,1)</f>
        <v>1</v>
      </c>
      <c r="M5" s="91" t="n">
        <f aca="false">ROUNDUP(L5,0)</f>
        <v>1</v>
      </c>
      <c r="N5" s="266" t="n">
        <f aca="false">0.096*6*K26</f>
        <v>28.8</v>
      </c>
      <c r="O5" s="266"/>
      <c r="P5" s="266" t="n">
        <f aca="false">N5*M5</f>
        <v>28.8</v>
      </c>
      <c r="Q5" s="266"/>
      <c r="R5" s="96" t="str">
        <f aca="false">F5</f>
        <v>BRANCO</v>
      </c>
      <c r="S5" s="268" t="n">
        <v>6000</v>
      </c>
      <c r="T5" s="439" t="n">
        <f aca="false">0.096*S38/1000</f>
        <v>0.186624</v>
      </c>
      <c r="U5" s="262" t="n">
        <f aca="false">M5*0.576</f>
        <v>0.576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479</v>
      </c>
      <c r="L6" s="265" t="n">
        <f aca="false">IF(S39&gt;6000,S39/6000,1)</f>
        <v>1</v>
      </c>
      <c r="M6" s="91" t="n">
        <f aca="false">ROUNDUP(L6,0)</f>
        <v>1</v>
      </c>
      <c r="N6" s="266" t="n">
        <f aca="false">0.773*6*K26</f>
        <v>231.9</v>
      </c>
      <c r="O6" s="266"/>
      <c r="P6" s="266" t="n">
        <f aca="false">N6*M6</f>
        <v>231.9</v>
      </c>
      <c r="Q6" s="266"/>
      <c r="R6" s="96" t="str">
        <f aca="false">F5</f>
        <v>BRANCO</v>
      </c>
      <c r="S6" s="268" t="n">
        <v>6000</v>
      </c>
      <c r="T6" s="439" t="n">
        <f aca="false">0.773*S39/1000</f>
        <v>1.546</v>
      </c>
      <c r="U6" s="262" t="n">
        <f aca="false">M6*4.638</f>
        <v>4.638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116" t="s">
        <v>472</v>
      </c>
      <c r="L7" s="265" t="n">
        <f aca="false">IF(S40&gt;6000,S40/6000,1)</f>
        <v>1</v>
      </c>
      <c r="M7" s="91" t="n">
        <f aca="false">ROUNDUP(L7,0)</f>
        <v>1</v>
      </c>
      <c r="N7" s="266" t="n">
        <f aca="false">0.811*6*K26</f>
        <v>243.3</v>
      </c>
      <c r="O7" s="266"/>
      <c r="P7" s="266" t="n">
        <f aca="false">N7*M7</f>
        <v>243.3</v>
      </c>
      <c r="Q7" s="266"/>
      <c r="R7" s="96" t="str">
        <f aca="false">F5</f>
        <v>BRANCO</v>
      </c>
      <c r="S7" s="268" t="n">
        <v>6000</v>
      </c>
      <c r="T7" s="439" t="n">
        <f aca="false">0.811*S40/1000</f>
        <v>1.537656</v>
      </c>
      <c r="U7" s="262" t="n">
        <f aca="false">M7*4.866</f>
        <v>4.866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484</v>
      </c>
      <c r="L8" s="265" t="n">
        <f aca="false">IF(S41&gt;6000,S41/6000,1)</f>
        <v>1</v>
      </c>
      <c r="M8" s="91" t="n">
        <f aca="false">ROUNDUP(L8,0)</f>
        <v>1</v>
      </c>
      <c r="N8" s="266" t="n">
        <f aca="false">0.967*6*K26</f>
        <v>290.1</v>
      </c>
      <c r="O8" s="266"/>
      <c r="P8" s="266" t="n">
        <f aca="false">N8*M8</f>
        <v>290.1</v>
      </c>
      <c r="Q8" s="266"/>
      <c r="R8" s="96" t="str">
        <f aca="false">F5</f>
        <v>BRANCO</v>
      </c>
      <c r="S8" s="268" t="n">
        <v>6000</v>
      </c>
      <c r="T8" s="439" t="n">
        <f aca="false">0.967*S41/1000</f>
        <v>0.916716</v>
      </c>
      <c r="U8" s="262" t="n">
        <f aca="false">M8*5.802</f>
        <v>5.802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(B7-192)/2</f>
        <v>404</v>
      </c>
      <c r="F9" s="390" t="n">
        <f aca="false">C7-160</f>
        <v>840</v>
      </c>
      <c r="G9" s="270"/>
      <c r="H9" s="270"/>
      <c r="I9" s="270"/>
      <c r="J9" s="270"/>
      <c r="K9" s="116" t="s">
        <v>433</v>
      </c>
      <c r="L9" s="265" t="n">
        <f aca="false">IF(S42&gt;6000,S42/6000,1)</f>
        <v>1</v>
      </c>
      <c r="M9" s="91" t="n">
        <f aca="false">ROUNDUP(L9,0)</f>
        <v>1</v>
      </c>
      <c r="N9" s="266" t="n">
        <f aca="false">0.905*6*K26</f>
        <v>271.5</v>
      </c>
      <c r="O9" s="266"/>
      <c r="P9" s="266" t="n">
        <f aca="false">N9*M9</f>
        <v>271.5</v>
      </c>
      <c r="Q9" s="266"/>
      <c r="R9" s="96" t="str">
        <f aca="false">R8</f>
        <v>BRANCO</v>
      </c>
      <c r="S9" s="268" t="n">
        <v>6000</v>
      </c>
      <c r="T9" s="439" t="n">
        <f aca="false">0.905*S42/1000</f>
        <v>0.85794</v>
      </c>
      <c r="U9" s="262" t="n">
        <f aca="false">M9*5.43</f>
        <v>5.43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430</v>
      </c>
      <c r="L10" s="265" t="n">
        <f aca="false">IF(S43&gt;6000,S43/6000,1)</f>
        <v>1</v>
      </c>
      <c r="M10" s="91" t="n">
        <f aca="false">ROUNDUP(L10,0)</f>
        <v>1</v>
      </c>
      <c r="N10" s="277" t="n">
        <f aca="false">0.677*6*K26</f>
        <v>203.1</v>
      </c>
      <c r="O10" s="277"/>
      <c r="P10" s="277" t="n">
        <f aca="false">N10*M10</f>
        <v>203.1</v>
      </c>
      <c r="Q10" s="277"/>
      <c r="R10" s="96" t="str">
        <f aca="false">F5</f>
        <v>BRANCO</v>
      </c>
      <c r="S10" s="268" t="n">
        <v>6000</v>
      </c>
      <c r="T10" s="439" t="n">
        <f aca="false">0.677*S43/1000</f>
        <v>1.11028</v>
      </c>
      <c r="U10" s="262" t="n">
        <f aca="false">M10*4.062</f>
        <v>4.062</v>
      </c>
    </row>
    <row r="11" customFormat="false" ht="25.5" hidden="false" customHeight="true" outlineLevel="0" collapsed="false">
      <c r="A11" s="67" t="s">
        <v>468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B7-28</f>
        <v>972</v>
      </c>
      <c r="G11" s="69"/>
      <c r="H11" s="72" t="s">
        <v>17</v>
      </c>
      <c r="I11" s="72"/>
      <c r="J11" s="72" t="s">
        <v>42</v>
      </c>
      <c r="K11" s="116" t="s">
        <v>392</v>
      </c>
      <c r="L11" s="265" t="n">
        <f aca="false">IF(S44&gt;6000,S44/6000,1)</f>
        <v>1</v>
      </c>
      <c r="M11" s="91" t="n">
        <f aca="false">ROUNDUP(L11,0)</f>
        <v>1</v>
      </c>
      <c r="N11" s="266" t="n">
        <f aca="false">0.167*6*K26</f>
        <v>50.1</v>
      </c>
      <c r="O11" s="266"/>
      <c r="P11" s="266" t="n">
        <f aca="false">N11*M11</f>
        <v>50.1</v>
      </c>
      <c r="Q11" s="266"/>
      <c r="R11" s="96" t="str">
        <f aca="false">F5</f>
        <v>BRANCO</v>
      </c>
      <c r="S11" s="268" t="n">
        <v>6000</v>
      </c>
      <c r="T11" s="439" t="n">
        <f aca="false">S44*0.167/1000</f>
        <v>0.835</v>
      </c>
      <c r="U11" s="262" t="n">
        <f aca="false">M11*1.002</f>
        <v>1.002</v>
      </c>
    </row>
    <row r="12" customFormat="false" ht="25.5" hidden="false" customHeight="true" outlineLevel="0" collapsed="false">
      <c r="A12" s="79" t="s">
        <v>477</v>
      </c>
      <c r="B12" s="279" t="s">
        <v>190</v>
      </c>
      <c r="C12" s="279"/>
      <c r="D12" s="279"/>
      <c r="E12" s="24" t="n">
        <f aca="false">D7*1</f>
        <v>1</v>
      </c>
      <c r="F12" s="97" t="n">
        <f aca="false">F11</f>
        <v>972</v>
      </c>
      <c r="G12" s="97"/>
      <c r="H12" s="83" t="s">
        <v>17</v>
      </c>
      <c r="I12" s="83"/>
      <c r="J12" s="83" t="s">
        <v>42</v>
      </c>
      <c r="K12" s="116"/>
      <c r="L12" s="265"/>
      <c r="M12" s="91"/>
      <c r="N12" s="266"/>
      <c r="O12" s="266"/>
      <c r="P12" s="266"/>
      <c r="Q12" s="266"/>
      <c r="R12" s="96"/>
      <c r="S12" s="268"/>
      <c r="T12" s="439"/>
      <c r="U12" s="280"/>
    </row>
    <row r="13" customFormat="false" ht="25.5" hidden="false" customHeight="true" outlineLevel="0" collapsed="false">
      <c r="A13" s="79" t="s">
        <v>478</v>
      </c>
      <c r="B13" s="279" t="s">
        <v>196</v>
      </c>
      <c r="C13" s="279"/>
      <c r="D13" s="279"/>
      <c r="E13" s="24" t="n">
        <f aca="false">D7*2</f>
        <v>2</v>
      </c>
      <c r="F13" s="97" t="n">
        <f aca="false">F11</f>
        <v>972</v>
      </c>
      <c r="G13" s="97"/>
      <c r="H13" s="83" t="s">
        <v>18</v>
      </c>
      <c r="I13" s="83"/>
      <c r="J13" s="83" t="s">
        <v>42</v>
      </c>
      <c r="K13" s="116"/>
      <c r="L13" s="265"/>
      <c r="M13" s="295"/>
      <c r="N13" s="266"/>
      <c r="O13" s="266"/>
      <c r="P13" s="266"/>
      <c r="Q13" s="266"/>
      <c r="R13" s="96"/>
      <c r="S13" s="268"/>
      <c r="T13" s="439"/>
      <c r="U13" s="280"/>
    </row>
    <row r="14" customFormat="false" ht="25.5" hidden="false" customHeight="true" outlineLevel="0" collapsed="false">
      <c r="A14" s="79" t="s">
        <v>479</v>
      </c>
      <c r="B14" s="279" t="s">
        <v>192</v>
      </c>
      <c r="C14" s="279"/>
      <c r="D14" s="279"/>
      <c r="E14" s="24" t="n">
        <f aca="false">D7*2</f>
        <v>2</v>
      </c>
      <c r="F14" s="24" t="n">
        <f aca="false">C7</f>
        <v>1000</v>
      </c>
      <c r="G14" s="24"/>
      <c r="H14" s="83" t="s">
        <v>18</v>
      </c>
      <c r="I14" s="83"/>
      <c r="J14" s="83" t="s">
        <v>42</v>
      </c>
      <c r="K14" s="116"/>
      <c r="L14" s="281"/>
      <c r="M14" s="153"/>
      <c r="N14" s="266"/>
      <c r="O14" s="266"/>
      <c r="P14" s="25"/>
      <c r="Q14" s="25"/>
      <c r="R14" s="96"/>
      <c r="S14" s="268"/>
      <c r="T14" s="439"/>
      <c r="U14" s="280"/>
    </row>
    <row r="15" customFormat="false" ht="25.5" hidden="false" customHeight="true" outlineLevel="0" collapsed="false">
      <c r="A15" s="79" t="s">
        <v>472</v>
      </c>
      <c r="B15" s="279" t="s">
        <v>435</v>
      </c>
      <c r="C15" s="279"/>
      <c r="D15" s="279"/>
      <c r="E15" s="46" t="n">
        <f aca="false">D7*2</f>
        <v>2</v>
      </c>
      <c r="F15" s="24" t="n">
        <f aca="false">C7-52</f>
        <v>948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5"/>
      <c r="Q15" s="25"/>
      <c r="R15" s="96"/>
      <c r="S15" s="268"/>
      <c r="T15" s="439"/>
      <c r="U15" s="280"/>
    </row>
    <row r="16" customFormat="false" ht="25.5" hidden="false" customHeight="true" outlineLevel="0" collapsed="false">
      <c r="A16" s="79" t="s">
        <v>484</v>
      </c>
      <c r="B16" s="279" t="s">
        <v>435</v>
      </c>
      <c r="C16" s="279"/>
      <c r="D16" s="279"/>
      <c r="E16" s="24" t="n">
        <f aca="false">D7*1</f>
        <v>1</v>
      </c>
      <c r="F16" s="24" t="n">
        <f aca="false">F15</f>
        <v>948</v>
      </c>
      <c r="G16" s="24"/>
      <c r="H16" s="83" t="s">
        <v>18</v>
      </c>
      <c r="I16" s="83"/>
      <c r="J16" s="83" t="s">
        <v>42</v>
      </c>
      <c r="K16" s="82"/>
      <c r="L16" s="281"/>
      <c r="M16" s="153"/>
      <c r="N16" s="266"/>
      <c r="O16" s="266"/>
      <c r="P16" s="25"/>
      <c r="Q16" s="25"/>
      <c r="R16" s="96"/>
      <c r="S16" s="268"/>
      <c r="T16" s="439"/>
      <c r="U16" s="280"/>
    </row>
    <row r="17" customFormat="false" ht="25.5" hidden="false" customHeight="true" outlineLevel="0" collapsed="false">
      <c r="A17" s="79" t="s">
        <v>433</v>
      </c>
      <c r="B17" s="279" t="s">
        <v>435</v>
      </c>
      <c r="C17" s="279"/>
      <c r="D17" s="279"/>
      <c r="E17" s="24" t="n">
        <f aca="false">D7*1</f>
        <v>1</v>
      </c>
      <c r="F17" s="24" t="n">
        <f aca="false">F15</f>
        <v>948</v>
      </c>
      <c r="G17" s="24"/>
      <c r="H17" s="83" t="s">
        <v>17</v>
      </c>
      <c r="I17" s="83"/>
      <c r="J17" s="83" t="s">
        <v>42</v>
      </c>
      <c r="K17" s="82"/>
      <c r="L17" s="281"/>
      <c r="M17" s="153"/>
      <c r="N17" s="266"/>
      <c r="O17" s="266"/>
      <c r="P17" s="25"/>
      <c r="Q17" s="25"/>
      <c r="R17" s="96"/>
      <c r="S17" s="268"/>
      <c r="T17" s="439"/>
      <c r="U17" s="280"/>
    </row>
    <row r="18" customFormat="false" ht="25.5" hidden="false" customHeight="true" outlineLevel="0" collapsed="false">
      <c r="A18" s="79" t="s">
        <v>430</v>
      </c>
      <c r="B18" s="279" t="s">
        <v>487</v>
      </c>
      <c r="C18" s="279"/>
      <c r="D18" s="279"/>
      <c r="E18" s="24" t="n">
        <f aca="false">D7*4</f>
        <v>4</v>
      </c>
      <c r="F18" s="24" t="n">
        <f aca="false">(B7-180)/2</f>
        <v>410</v>
      </c>
      <c r="G18" s="24"/>
      <c r="H18" s="83" t="s">
        <v>17</v>
      </c>
      <c r="I18" s="83"/>
      <c r="J18" s="83" t="s">
        <v>42</v>
      </c>
      <c r="K18" s="208"/>
      <c r="L18" s="281"/>
      <c r="M18" s="471"/>
      <c r="N18" s="268"/>
      <c r="O18" s="280"/>
      <c r="P18" s="120"/>
      <c r="Q18" s="120"/>
      <c r="R18" s="96"/>
      <c r="S18" s="268"/>
      <c r="T18" s="439"/>
      <c r="U18" s="280"/>
    </row>
    <row r="19" customFormat="false" ht="22.5" hidden="false" customHeight="true" outlineLevel="0" collapsed="false">
      <c r="A19" s="79" t="s">
        <v>392</v>
      </c>
      <c r="B19" s="279" t="s">
        <v>475</v>
      </c>
      <c r="C19" s="279"/>
      <c r="D19" s="279"/>
      <c r="E19" s="24" t="n">
        <f aca="false">D7*4</f>
        <v>4</v>
      </c>
      <c r="F19" s="24" t="n">
        <f aca="false">F18</f>
        <v>410</v>
      </c>
      <c r="G19" s="24"/>
      <c r="H19" s="83" t="s">
        <v>18</v>
      </c>
      <c r="I19" s="83"/>
      <c r="J19" s="83" t="s">
        <v>42</v>
      </c>
      <c r="K19" s="268"/>
      <c r="L19" s="283"/>
      <c r="M19" s="471"/>
      <c r="N19" s="268"/>
      <c r="O19" s="280"/>
      <c r="P19" s="120"/>
      <c r="Q19" s="120"/>
      <c r="R19" s="96"/>
      <c r="S19" s="268"/>
      <c r="T19" s="439"/>
      <c r="U19" s="280"/>
    </row>
    <row r="20" customFormat="false" ht="22.5" hidden="false" customHeight="true" outlineLevel="0" collapsed="false">
      <c r="A20" s="79" t="s">
        <v>392</v>
      </c>
      <c r="B20" s="279" t="s">
        <v>203</v>
      </c>
      <c r="C20" s="279"/>
      <c r="D20" s="279"/>
      <c r="E20" s="46" t="n">
        <f aca="false">D7*4</f>
        <v>4</v>
      </c>
      <c r="F20" s="24" t="n">
        <f aca="false">C7-160</f>
        <v>840</v>
      </c>
      <c r="G20" s="24"/>
      <c r="H20" s="83" t="s">
        <v>18</v>
      </c>
      <c r="I20" s="83"/>
      <c r="J20" s="83" t="s">
        <v>42</v>
      </c>
      <c r="K20" s="268"/>
      <c r="L20" s="283"/>
      <c r="M20" s="471"/>
      <c r="N20" s="268"/>
      <c r="O20" s="280"/>
      <c r="P20" s="120"/>
      <c r="Q20" s="120"/>
      <c r="R20" s="96"/>
      <c r="S20" s="268"/>
      <c r="T20" s="439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97"/>
      <c r="G21" s="97"/>
      <c r="H21" s="28"/>
      <c r="I21" s="28"/>
      <c r="J21" s="83"/>
      <c r="K21" s="268"/>
      <c r="L21" s="283"/>
      <c r="M21" s="471"/>
      <c r="N21" s="268"/>
      <c r="O21" s="280"/>
      <c r="P21" s="120"/>
      <c r="Q21" s="120"/>
      <c r="R21" s="96"/>
      <c r="S21" s="268"/>
      <c r="T21" s="439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471"/>
      <c r="N22" s="268"/>
      <c r="O22" s="280"/>
      <c r="P22" s="120"/>
      <c r="Q22" s="120"/>
      <c r="R22" s="96"/>
      <c r="S22" s="268"/>
      <c r="T22" s="439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471"/>
      <c r="N23" s="284"/>
      <c r="O23" s="280"/>
      <c r="P23" s="120"/>
      <c r="Q23" s="120"/>
      <c r="R23" s="96"/>
      <c r="S23" s="268"/>
      <c r="T23" s="439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472"/>
      <c r="N24" s="285"/>
      <c r="O24" s="288"/>
      <c r="P24" s="209"/>
      <c r="Q24" s="209"/>
      <c r="R24" s="290"/>
      <c r="S24" s="289"/>
      <c r="T24" s="292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9.445488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944.5488</v>
      </c>
      <c r="N26" s="302"/>
      <c r="O26" s="303" t="n">
        <v>0.1</v>
      </c>
      <c r="P26" s="85" t="n">
        <f aca="false">K30*O26+K30</f>
        <v>519.50184</v>
      </c>
      <c r="Q26" s="85"/>
      <c r="R26" s="85"/>
      <c r="S26" s="181" t="s">
        <v>131</v>
      </c>
      <c r="T26" s="181"/>
      <c r="U26" s="294" t="n">
        <f aca="false">SUM(U3:U24)</f>
        <v>41.532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32.086512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2076.6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472.2744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  <c r="S34" s="93"/>
      <c r="T34" s="93"/>
    </row>
    <row r="35" customFormat="false" ht="15" hidden="false" customHeight="true" outlineLevel="0" collapsed="false">
      <c r="A35" s="104" t="s">
        <v>51</v>
      </c>
      <c r="B35" s="473" t="s">
        <v>26</v>
      </c>
      <c r="C35" s="473"/>
      <c r="D35" s="473"/>
      <c r="E35" s="473"/>
      <c r="F35" s="473"/>
      <c r="G35" s="473"/>
      <c r="H35" s="227" t="s">
        <v>5</v>
      </c>
      <c r="I35" s="20" t="s">
        <v>207</v>
      </c>
      <c r="J35" s="20"/>
      <c r="K35" s="93"/>
      <c r="L35" s="93"/>
      <c r="M35" s="93"/>
      <c r="N35" s="93"/>
      <c r="O35" s="93"/>
      <c r="P35" s="93"/>
      <c r="Q35" s="109"/>
      <c r="R35" s="109"/>
      <c r="S35" s="109"/>
      <c r="T35" s="109"/>
      <c r="U35" s="109"/>
    </row>
    <row r="36" customFormat="false" ht="27" hidden="false" customHeight="true" outlineLevel="0" collapsed="false">
      <c r="A36" s="313" t="s">
        <v>437</v>
      </c>
      <c r="B36" s="426" t="s">
        <v>438</v>
      </c>
      <c r="C36" s="426"/>
      <c r="D36" s="426"/>
      <c r="E36" s="426"/>
      <c r="F36" s="426"/>
      <c r="G36" s="426"/>
      <c r="H36" s="397" t="s">
        <v>64</v>
      </c>
      <c r="I36" s="72" t="n">
        <f aca="false">D7*2</f>
        <v>2</v>
      </c>
      <c r="J36" s="72"/>
      <c r="K36" s="249"/>
      <c r="L36" s="94"/>
      <c r="M36" s="249"/>
      <c r="N36" s="94"/>
      <c r="O36" s="93"/>
      <c r="P36" s="153"/>
      <c r="Q36" s="474"/>
      <c r="R36" s="387" t="s">
        <v>468</v>
      </c>
      <c r="S36" s="109" t="n">
        <f aca="false">F11*E11</f>
        <v>972</v>
      </c>
      <c r="T36" s="109"/>
      <c r="U36" s="109"/>
    </row>
    <row r="37" customFormat="false" ht="27" hidden="false" customHeight="true" outlineLevel="0" collapsed="false">
      <c r="A37" s="319" t="s">
        <v>439</v>
      </c>
      <c r="B37" s="427" t="s">
        <v>440</v>
      </c>
      <c r="C37" s="427"/>
      <c r="D37" s="427"/>
      <c r="E37" s="427"/>
      <c r="F37" s="427"/>
      <c r="G37" s="427"/>
      <c r="H37" s="96" t="s">
        <v>64</v>
      </c>
      <c r="I37" s="83" t="n">
        <f aca="false">D7*8</f>
        <v>8</v>
      </c>
      <c r="J37" s="83"/>
      <c r="K37" s="249"/>
      <c r="L37" s="94"/>
      <c r="M37" s="249"/>
      <c r="N37" s="94"/>
      <c r="O37" s="93"/>
      <c r="P37" s="153"/>
      <c r="Q37" s="474"/>
      <c r="R37" s="387" t="s">
        <v>477</v>
      </c>
      <c r="S37" s="109" t="n">
        <f aca="false">F12*E12</f>
        <v>972</v>
      </c>
      <c r="T37" s="109"/>
      <c r="U37" s="109"/>
    </row>
    <row r="38" customFormat="false" ht="23.25" hidden="false" customHeight="true" outlineLevel="0" collapsed="false">
      <c r="A38" s="319" t="s">
        <v>441</v>
      </c>
      <c r="B38" s="427" t="s">
        <v>442</v>
      </c>
      <c r="C38" s="427"/>
      <c r="D38" s="427"/>
      <c r="E38" s="427"/>
      <c r="F38" s="427"/>
      <c r="G38" s="427"/>
      <c r="H38" s="96" t="s">
        <v>64</v>
      </c>
      <c r="I38" s="83" t="n">
        <f aca="false">D7*1</f>
        <v>1</v>
      </c>
      <c r="J38" s="83"/>
      <c r="K38" s="249"/>
      <c r="L38" s="94"/>
      <c r="M38" s="249"/>
      <c r="N38" s="94"/>
      <c r="O38" s="93"/>
      <c r="P38" s="153"/>
      <c r="Q38" s="474"/>
      <c r="R38" s="387" t="s">
        <v>478</v>
      </c>
      <c r="S38" s="109" t="n">
        <f aca="false">F13*E13</f>
        <v>1944</v>
      </c>
      <c r="T38" s="109"/>
      <c r="U38" s="109"/>
    </row>
    <row r="39" customFormat="false" ht="23.25" hidden="false" customHeight="true" outlineLevel="0" collapsed="false">
      <c r="A39" s="319" t="s">
        <v>443</v>
      </c>
      <c r="B39" s="427" t="s">
        <v>230</v>
      </c>
      <c r="C39" s="427"/>
      <c r="D39" s="427"/>
      <c r="E39" s="427"/>
      <c r="F39" s="427"/>
      <c r="G39" s="427"/>
      <c r="H39" s="96" t="s">
        <v>64</v>
      </c>
      <c r="I39" s="83" t="n">
        <f aca="false">D7*1</f>
        <v>1</v>
      </c>
      <c r="J39" s="83"/>
      <c r="K39" s="249"/>
      <c r="L39" s="94"/>
      <c r="M39" s="249"/>
      <c r="N39" s="94"/>
      <c r="O39" s="93"/>
      <c r="P39" s="153"/>
      <c r="Q39" s="474"/>
      <c r="R39" s="387" t="s">
        <v>479</v>
      </c>
      <c r="S39" s="109" t="n">
        <f aca="false">F14*E14</f>
        <v>2000</v>
      </c>
      <c r="T39" s="109"/>
      <c r="U39" s="109"/>
    </row>
    <row r="40" customFormat="false" ht="23.25" hidden="false" customHeight="true" outlineLevel="0" collapsed="false">
      <c r="A40" s="319" t="s">
        <v>444</v>
      </c>
      <c r="B40" s="427" t="s">
        <v>289</v>
      </c>
      <c r="C40" s="427"/>
      <c r="D40" s="427"/>
      <c r="E40" s="427"/>
      <c r="F40" s="427"/>
      <c r="G40" s="427"/>
      <c r="H40" s="96" t="s">
        <v>64</v>
      </c>
      <c r="I40" s="83" t="n">
        <f aca="false">D7*2</f>
        <v>2</v>
      </c>
      <c r="J40" s="83"/>
      <c r="K40" s="249"/>
      <c r="L40" s="94"/>
      <c r="M40" s="249"/>
      <c r="N40" s="94"/>
      <c r="O40" s="93"/>
      <c r="P40" s="153"/>
      <c r="Q40" s="474"/>
      <c r="R40" s="387" t="s">
        <v>472</v>
      </c>
      <c r="S40" s="109" t="n">
        <f aca="false">F15*E15</f>
        <v>1896</v>
      </c>
      <c r="T40" s="109"/>
      <c r="U40" s="109"/>
    </row>
    <row r="41" customFormat="false" ht="23.25" hidden="false" customHeight="true" outlineLevel="0" collapsed="false">
      <c r="A41" s="319" t="s">
        <v>445</v>
      </c>
      <c r="B41" s="427" t="s">
        <v>446</v>
      </c>
      <c r="C41" s="427"/>
      <c r="D41" s="427"/>
      <c r="E41" s="427"/>
      <c r="F41" s="427"/>
      <c r="G41" s="427"/>
      <c r="H41" s="96" t="s">
        <v>64</v>
      </c>
      <c r="I41" s="83" t="n">
        <f aca="false">D7*8</f>
        <v>8</v>
      </c>
      <c r="J41" s="83"/>
      <c r="K41" s="249"/>
      <c r="L41" s="94"/>
      <c r="M41" s="249"/>
      <c r="N41" s="94"/>
      <c r="O41" s="93"/>
      <c r="P41" s="153"/>
      <c r="Q41" s="474"/>
      <c r="R41" s="387" t="s">
        <v>484</v>
      </c>
      <c r="S41" s="109" t="n">
        <f aca="false">F16*E16</f>
        <v>948</v>
      </c>
      <c r="T41" s="109"/>
      <c r="U41" s="109"/>
    </row>
    <row r="42" customFormat="false" ht="23.25" hidden="false" customHeight="true" outlineLevel="0" collapsed="false">
      <c r="A42" s="319" t="s">
        <v>447</v>
      </c>
      <c r="B42" s="427" t="s">
        <v>340</v>
      </c>
      <c r="C42" s="427"/>
      <c r="D42" s="427"/>
      <c r="E42" s="427"/>
      <c r="F42" s="427"/>
      <c r="G42" s="427"/>
      <c r="H42" s="96" t="s">
        <v>64</v>
      </c>
      <c r="I42" s="83" t="n">
        <f aca="false">D7*8</f>
        <v>8</v>
      </c>
      <c r="J42" s="83"/>
      <c r="K42" s="249"/>
      <c r="L42" s="94"/>
      <c r="M42" s="249"/>
      <c r="N42" s="94"/>
      <c r="O42" s="93"/>
      <c r="P42" s="153"/>
      <c r="Q42" s="474"/>
      <c r="R42" s="387" t="s">
        <v>433</v>
      </c>
      <c r="S42" s="109" t="n">
        <f aca="false">F17*E17</f>
        <v>948</v>
      </c>
      <c r="T42" s="109"/>
      <c r="U42" s="109"/>
    </row>
    <row r="43" customFormat="false" ht="23.25" hidden="false" customHeight="true" outlineLevel="0" collapsed="false">
      <c r="A43" s="319" t="s">
        <v>492</v>
      </c>
      <c r="B43" s="427" t="s">
        <v>236</v>
      </c>
      <c r="C43" s="427"/>
      <c r="D43" s="427"/>
      <c r="E43" s="427"/>
      <c r="F43" s="427"/>
      <c r="G43" s="427"/>
      <c r="H43" s="96" t="s">
        <v>64</v>
      </c>
      <c r="I43" s="428" t="n">
        <f aca="false">D7*4</f>
        <v>4</v>
      </c>
      <c r="J43" s="428"/>
      <c r="K43" s="93"/>
      <c r="L43" s="93"/>
      <c r="M43" s="249"/>
      <c r="N43" s="93"/>
      <c r="O43" s="93"/>
      <c r="P43" s="153"/>
      <c r="Q43" s="474"/>
      <c r="R43" s="387" t="s">
        <v>430</v>
      </c>
      <c r="S43" s="109" t="n">
        <f aca="false">F18*E18</f>
        <v>1640</v>
      </c>
      <c r="T43" s="109"/>
      <c r="U43" s="109"/>
    </row>
    <row r="44" customFormat="false" ht="23.25" hidden="false" customHeight="true" outlineLevel="0" collapsed="false">
      <c r="A44" s="319" t="s">
        <v>404</v>
      </c>
      <c r="B44" s="427" t="s">
        <v>348</v>
      </c>
      <c r="C44" s="427"/>
      <c r="D44" s="427"/>
      <c r="E44" s="427"/>
      <c r="F44" s="427"/>
      <c r="G44" s="427"/>
      <c r="H44" s="96" t="s">
        <v>46</v>
      </c>
      <c r="I44" s="428" t="n">
        <f aca="false">B7*2+C7*4*D7</f>
        <v>6000</v>
      </c>
      <c r="J44" s="428"/>
      <c r="K44" s="93"/>
      <c r="L44" s="93"/>
      <c r="M44" s="249"/>
      <c r="N44" s="94"/>
      <c r="O44" s="93"/>
      <c r="P44" s="153"/>
      <c r="Q44" s="474"/>
      <c r="R44" s="387" t="s">
        <v>392</v>
      </c>
      <c r="S44" s="109" t="n">
        <f aca="false">F19*E19+E20*F20</f>
        <v>5000</v>
      </c>
      <c r="T44" s="109"/>
      <c r="U44" s="109"/>
    </row>
    <row r="45" customFormat="false" ht="23.25" hidden="false" customHeight="true" outlineLevel="0" collapsed="false">
      <c r="A45" s="319" t="s">
        <v>407</v>
      </c>
      <c r="B45" s="427" t="s">
        <v>451</v>
      </c>
      <c r="C45" s="427"/>
      <c r="D45" s="427"/>
      <c r="E45" s="427"/>
      <c r="F45" s="427"/>
      <c r="G45" s="427"/>
      <c r="H45" s="96" t="s">
        <v>46</v>
      </c>
      <c r="I45" s="428" t="n">
        <f aca="false">B7*2*D7</f>
        <v>2000</v>
      </c>
      <c r="J45" s="428"/>
      <c r="K45" s="93"/>
      <c r="L45" s="93"/>
      <c r="M45" s="93"/>
      <c r="N45" s="93"/>
      <c r="O45" s="93"/>
      <c r="P45" s="153"/>
      <c r="Q45" s="474"/>
      <c r="R45" s="387"/>
      <c r="S45" s="109"/>
      <c r="T45" s="109"/>
      <c r="U45" s="109"/>
    </row>
    <row r="46" customFormat="false" ht="23.25" hidden="false" customHeight="true" outlineLevel="0" collapsed="false">
      <c r="A46" s="319" t="s">
        <v>405</v>
      </c>
      <c r="B46" s="431" t="s">
        <v>452</v>
      </c>
      <c r="C46" s="431"/>
      <c r="D46" s="431"/>
      <c r="E46" s="431"/>
      <c r="F46" s="431"/>
      <c r="G46" s="431"/>
      <c r="H46" s="96" t="s">
        <v>46</v>
      </c>
      <c r="I46" s="428" t="n">
        <f aca="false">C7*4*D7</f>
        <v>4000</v>
      </c>
      <c r="J46" s="428"/>
      <c r="K46" s="93"/>
      <c r="L46" s="93"/>
      <c r="M46" s="93"/>
      <c r="N46" s="93"/>
      <c r="O46" s="93"/>
      <c r="P46" s="153"/>
      <c r="Q46" s="474"/>
      <c r="R46" s="109"/>
      <c r="S46" s="109"/>
      <c r="T46" s="109"/>
      <c r="U46" s="109"/>
    </row>
    <row r="47" customFormat="false" ht="23.25" hidden="false" customHeight="true" outlineLevel="0" collapsed="false">
      <c r="A47" s="319" t="s">
        <v>480</v>
      </c>
      <c r="B47" s="431" t="s">
        <v>481</v>
      </c>
      <c r="C47" s="431"/>
      <c r="D47" s="431"/>
      <c r="E47" s="431"/>
      <c r="F47" s="431"/>
      <c r="G47" s="431"/>
      <c r="H47" s="96" t="s">
        <v>64</v>
      </c>
      <c r="I47" s="83" t="n">
        <f aca="false">D7*2</f>
        <v>2</v>
      </c>
      <c r="J47" s="83"/>
      <c r="K47" s="93"/>
      <c r="L47" s="93"/>
      <c r="M47" s="93"/>
      <c r="N47" s="93"/>
      <c r="O47" s="93"/>
      <c r="P47" s="93"/>
      <c r="Q47" s="93"/>
      <c r="R47" s="93"/>
      <c r="S47" s="93"/>
      <c r="T47" s="93"/>
    </row>
    <row r="48" customFormat="false" ht="23.25" hidden="false" customHeight="true" outlineLevel="0" collapsed="false">
      <c r="A48" s="128" t="s">
        <v>455</v>
      </c>
      <c r="B48" s="433" t="s">
        <v>307</v>
      </c>
      <c r="C48" s="433"/>
      <c r="D48" s="433"/>
      <c r="E48" s="433"/>
      <c r="F48" s="433"/>
      <c r="G48" s="433"/>
      <c r="H48" s="26" t="s">
        <v>64</v>
      </c>
      <c r="I48" s="120" t="n">
        <f aca="false">D7*2</f>
        <v>2</v>
      </c>
      <c r="J48" s="120"/>
      <c r="K48" s="93"/>
      <c r="L48" s="93"/>
      <c r="M48" s="93"/>
      <c r="N48" s="93"/>
      <c r="O48" s="93"/>
      <c r="P48" s="93"/>
      <c r="Q48" s="93"/>
      <c r="R48" s="93"/>
      <c r="S48" s="93"/>
      <c r="T48" s="93"/>
    </row>
    <row r="49" customFormat="false" ht="23.25" hidden="false" customHeight="true" outlineLevel="0" collapsed="false">
      <c r="A49" s="128" t="s">
        <v>397</v>
      </c>
      <c r="B49" s="431" t="s">
        <v>456</v>
      </c>
      <c r="C49" s="431"/>
      <c r="D49" s="431"/>
      <c r="E49" s="431"/>
      <c r="F49" s="431"/>
      <c r="G49" s="431"/>
      <c r="H49" s="96" t="s">
        <v>46</v>
      </c>
      <c r="I49" s="428" t="n">
        <f aca="false">C7*6*D7</f>
        <v>6000</v>
      </c>
      <c r="J49" s="428"/>
      <c r="K49" s="93"/>
      <c r="L49" s="93"/>
      <c r="M49" s="93"/>
      <c r="N49" s="93"/>
      <c r="O49" s="93"/>
      <c r="P49" s="93"/>
      <c r="Q49" s="93"/>
      <c r="R49" s="93"/>
      <c r="S49" s="93"/>
      <c r="T49" s="93"/>
    </row>
    <row r="50" customFormat="false" ht="23.25" hidden="false" customHeight="true" outlineLevel="0" collapsed="false">
      <c r="A50" s="128" t="s">
        <v>489</v>
      </c>
      <c r="B50" s="431" t="s">
        <v>350</v>
      </c>
      <c r="C50" s="431"/>
      <c r="D50" s="431"/>
      <c r="E50" s="431"/>
      <c r="F50" s="431"/>
      <c r="G50" s="431"/>
      <c r="H50" s="96" t="s">
        <v>46</v>
      </c>
      <c r="I50" s="435" t="n">
        <f aca="false">B7*4*D7</f>
        <v>4000</v>
      </c>
      <c r="J50" s="435"/>
      <c r="K50" s="93"/>
      <c r="L50" s="93"/>
      <c r="M50" s="93"/>
      <c r="N50" s="93"/>
      <c r="O50" s="93"/>
      <c r="P50" s="93"/>
      <c r="Q50" s="93"/>
      <c r="R50" s="93"/>
      <c r="S50" s="93"/>
      <c r="T50" s="93"/>
    </row>
    <row r="51" customFormat="false" ht="21" hidden="false" customHeight="true" outlineLevel="0" collapsed="false">
      <c r="A51" s="128" t="s">
        <v>459</v>
      </c>
      <c r="B51" s="431" t="s">
        <v>460</v>
      </c>
      <c r="C51" s="431"/>
      <c r="D51" s="431"/>
      <c r="E51" s="431"/>
      <c r="F51" s="431"/>
      <c r="G51" s="431"/>
      <c r="H51" s="96" t="s">
        <v>64</v>
      </c>
      <c r="I51" s="120" t="n">
        <f aca="false">D7*16</f>
        <v>16</v>
      </c>
      <c r="J51" s="120"/>
      <c r="K51" s="93"/>
      <c r="L51" s="109"/>
      <c r="M51" s="109"/>
      <c r="N51" s="109"/>
      <c r="O51" s="109"/>
      <c r="P51" s="109"/>
      <c r="Q51" s="109"/>
      <c r="R51" s="109"/>
    </row>
    <row r="52" customFormat="false" ht="23.25" hidden="false" customHeight="true" outlineLevel="0" collapsed="false">
      <c r="A52" s="379"/>
      <c r="B52" s="436"/>
      <c r="C52" s="436"/>
      <c r="D52" s="436"/>
      <c r="E52" s="436"/>
      <c r="F52" s="436"/>
      <c r="G52" s="436"/>
      <c r="H52" s="290"/>
      <c r="I52" s="209"/>
      <c r="J52" s="209"/>
      <c r="K52" s="93"/>
      <c r="L52" s="109"/>
      <c r="M52" s="109"/>
      <c r="N52" s="109"/>
      <c r="O52" s="109"/>
      <c r="P52" s="109"/>
      <c r="Q52" s="109"/>
      <c r="R52" s="109"/>
    </row>
    <row r="53" customFormat="false" ht="23.25" hidden="false" customHeight="true" outlineLevel="0" collapsed="false">
      <c r="A53" s="47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379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253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493</v>
      </c>
      <c r="L3" s="257" t="n">
        <f aca="false">IF(Q36&gt;6000,Q36/6000,1)</f>
        <v>1</v>
      </c>
      <c r="M3" s="395" t="n">
        <f aca="false">ROUNDUP(L3,0)</f>
        <v>1</v>
      </c>
      <c r="N3" s="259" t="n">
        <f aca="false">1.022*6*K26</f>
        <v>306.6</v>
      </c>
      <c r="O3" s="259"/>
      <c r="P3" s="259" t="n">
        <f aca="false">N3*M3</f>
        <v>306.6</v>
      </c>
      <c r="Q3" s="259"/>
      <c r="R3" s="397" t="str">
        <f aca="false">F5</f>
        <v>BRANCO</v>
      </c>
      <c r="S3" s="261" t="n">
        <v>6000</v>
      </c>
      <c r="T3" s="439" t="n">
        <f aca="false">Q36*1.022/1000</f>
        <v>0.995428</v>
      </c>
      <c r="U3" s="263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494</v>
      </c>
      <c r="L4" s="265" t="n">
        <f aca="false">IF(Q37&gt;6000,Q37/6000,1)</f>
        <v>1</v>
      </c>
      <c r="M4" s="91" t="n">
        <f aca="false">ROUNDUP(L4,0)</f>
        <v>1</v>
      </c>
      <c r="N4" s="266" t="n">
        <f aca="false">0.981*6*K26</f>
        <v>294.3</v>
      </c>
      <c r="O4" s="266"/>
      <c r="P4" s="266" t="n">
        <f aca="false">N4*M4</f>
        <v>294.3</v>
      </c>
      <c r="Q4" s="266"/>
      <c r="R4" s="96" t="str">
        <f aca="false">F5</f>
        <v>BRANCO</v>
      </c>
      <c r="S4" s="268" t="n">
        <v>6000</v>
      </c>
      <c r="T4" s="439" t="n">
        <f aca="false">Q37*0.981/1000</f>
        <v>0.955494</v>
      </c>
      <c r="U4" s="262" t="n">
        <f aca="false">M4*5.886</f>
        <v>5.886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495</v>
      </c>
      <c r="L5" s="265" t="n">
        <f aca="false">IF(Q38&gt;6000,Q38/6000,1)</f>
        <v>1</v>
      </c>
      <c r="M5" s="91" t="n">
        <f aca="false">ROUNDUP(L5,0)</f>
        <v>1</v>
      </c>
      <c r="N5" s="266" t="n">
        <f aca="false">0.772*6*K26</f>
        <v>231.6</v>
      </c>
      <c r="O5" s="266"/>
      <c r="P5" s="266" t="n">
        <f aca="false">N5*M5</f>
        <v>231.6</v>
      </c>
      <c r="Q5" s="266"/>
      <c r="R5" s="96" t="str">
        <f aca="false">F5</f>
        <v>BRANCO</v>
      </c>
      <c r="S5" s="268" t="n">
        <v>6000</v>
      </c>
      <c r="T5" s="439" t="n">
        <f aca="false">Q38*0.772/1000</f>
        <v>1.544</v>
      </c>
      <c r="U5" s="262" t="n">
        <f aca="false">M5*4.632</f>
        <v>4.632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496</v>
      </c>
      <c r="L6" s="265" t="n">
        <f aca="false">IF(Q39&gt;6000,Q39/6000,1)</f>
        <v>1</v>
      </c>
      <c r="M6" s="91" t="n">
        <f aca="false">ROUNDUP(L6,0)</f>
        <v>1</v>
      </c>
      <c r="N6" s="266" t="n">
        <f aca="false">0.263*6*K26</f>
        <v>78.9</v>
      </c>
      <c r="O6" s="266"/>
      <c r="P6" s="266" t="n">
        <f aca="false">N6*M6</f>
        <v>78.9</v>
      </c>
      <c r="Q6" s="266"/>
      <c r="R6" s="96" t="str">
        <f aca="false">F5</f>
        <v>BRANCO</v>
      </c>
      <c r="S6" s="268" t="n">
        <v>4600</v>
      </c>
      <c r="T6" s="439" t="n">
        <f aca="false">Q39*0.263/1000</f>
        <v>0.514428</v>
      </c>
      <c r="U6" s="262" t="n">
        <f aca="false">M6*1.578</f>
        <v>1.578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79" t="s">
        <v>201</v>
      </c>
      <c r="L7" s="265" t="n">
        <f aca="false">IF(Q40&gt;6000,Q40/6000,1)</f>
        <v>1</v>
      </c>
      <c r="M7" s="91" t="n">
        <f aca="false">ROUNDUP(L7,0)</f>
        <v>1</v>
      </c>
      <c r="N7" s="266" t="n">
        <f aca="false">0.507*6*K26</f>
        <v>152.1</v>
      </c>
      <c r="O7" s="266"/>
      <c r="P7" s="266" t="n">
        <f aca="false">N7*M7</f>
        <v>152.1</v>
      </c>
      <c r="Q7" s="266"/>
      <c r="R7" s="96" t="str">
        <f aca="false">F5</f>
        <v>BRANCO</v>
      </c>
      <c r="S7" s="268" t="n">
        <v>4600</v>
      </c>
      <c r="T7" s="439" t="n">
        <f aca="false">Q40*0.507/1000</f>
        <v>0.855816</v>
      </c>
      <c r="U7" s="262" t="n">
        <f aca="false">M7*3.042</f>
        <v>3.042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D7*3</f>
        <v>3</v>
      </c>
      <c r="G8" s="270"/>
      <c r="H8" s="270"/>
      <c r="I8" s="270"/>
      <c r="J8" s="270"/>
      <c r="K8" s="79"/>
      <c r="L8" s="265"/>
      <c r="M8" s="91"/>
      <c r="N8" s="266"/>
      <c r="O8" s="266"/>
      <c r="P8" s="266"/>
      <c r="Q8" s="266"/>
      <c r="R8" s="96"/>
      <c r="S8" s="268"/>
      <c r="T8" s="439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(B7-170)/3</f>
        <v>276.666666666667</v>
      </c>
      <c r="F9" s="390" t="n">
        <f aca="false">C7-134</f>
        <v>866</v>
      </c>
      <c r="G9" s="270"/>
      <c r="H9" s="270"/>
      <c r="I9" s="270"/>
      <c r="J9" s="270"/>
      <c r="K9" s="79" t="s">
        <v>193</v>
      </c>
      <c r="L9" s="265" t="n">
        <f aca="false">IF(Q42&gt;6000,Q42/6000,1)</f>
        <v>1</v>
      </c>
      <c r="M9" s="91" t="n">
        <f aca="false">ROUNDUP(L9,0)</f>
        <v>1</v>
      </c>
      <c r="N9" s="266" t="n">
        <f aca="false">0.52*6*K26</f>
        <v>156</v>
      </c>
      <c r="O9" s="266"/>
      <c r="P9" s="266" t="n">
        <f aca="false">N9*M9</f>
        <v>156</v>
      </c>
      <c r="Q9" s="266"/>
      <c r="R9" s="96" t="n">
        <f aca="false">R8</f>
        <v>0</v>
      </c>
      <c r="S9" s="268" t="n">
        <v>6000</v>
      </c>
      <c r="T9" s="439" t="n">
        <f aca="false">Q42*0.52/1000</f>
        <v>1.482</v>
      </c>
      <c r="U9" s="262" t="n">
        <f aca="false">M9*3.12</f>
        <v>3.12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197</v>
      </c>
      <c r="L10" s="265" t="n">
        <f aca="false">IF(Q43&gt;6000,Q43/6000,1)</f>
        <v>1</v>
      </c>
      <c r="M10" s="91" t="n">
        <f aca="false">ROUNDUP(L10,0)</f>
        <v>1</v>
      </c>
      <c r="N10" s="277" t="n">
        <f aca="false">0.48*6*K26</f>
        <v>144</v>
      </c>
      <c r="O10" s="277"/>
      <c r="P10" s="277" t="n">
        <f aca="false">N10*M10</f>
        <v>144</v>
      </c>
      <c r="Q10" s="277"/>
      <c r="R10" s="96" t="str">
        <f aca="false">F5</f>
        <v>BRANCO</v>
      </c>
      <c r="S10" s="268" t="n">
        <v>6000</v>
      </c>
      <c r="T10" s="439" t="n">
        <f aca="false">Q43*0.48/1000</f>
        <v>0.456</v>
      </c>
      <c r="U10" s="262" t="n">
        <f aca="false">M10*2.88</f>
        <v>2.88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79" t="s">
        <v>200</v>
      </c>
      <c r="L11" s="265" t="n">
        <f aca="false">IF(Q44&gt;6000,Q44/6000,1)</f>
        <v>1</v>
      </c>
      <c r="M11" s="91" t="n">
        <f aca="false">ROUNDUP(L11,0)</f>
        <v>1</v>
      </c>
      <c r="N11" s="266" t="n">
        <f aca="false">0.507*6*K26</f>
        <v>152.1</v>
      </c>
      <c r="O11" s="266"/>
      <c r="P11" s="266" t="n">
        <f aca="false">N11*M11</f>
        <v>152.1</v>
      </c>
      <c r="Q11" s="266"/>
      <c r="R11" s="96" t="str">
        <f aca="false">F5</f>
        <v>BRANCO</v>
      </c>
      <c r="S11" s="268" t="n">
        <v>6000</v>
      </c>
      <c r="T11" s="439" t="n">
        <f aca="false">Q44*0.507/1000</f>
        <v>0.48165</v>
      </c>
      <c r="U11" s="262" t="n">
        <f aca="false">M11*3.042</f>
        <v>3.042</v>
      </c>
    </row>
    <row r="12" customFormat="false" ht="25.5" hidden="false" customHeight="true" outlineLevel="0" collapsed="false">
      <c r="A12" s="79" t="s">
        <v>494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79" t="s">
        <v>188</v>
      </c>
      <c r="L12" s="265" t="n">
        <f aca="false">IF(Q45&gt;6000,Q45/6000,1)</f>
        <v>1.12933333333333</v>
      </c>
      <c r="M12" s="91" t="n">
        <f aca="false">ROUNDUP(L12,0)</f>
        <v>2</v>
      </c>
      <c r="N12" s="266" t="n">
        <f aca="false">0.111*6*K26</f>
        <v>33.3</v>
      </c>
      <c r="O12" s="266"/>
      <c r="P12" s="266" t="n">
        <f aca="false">N12*M12</f>
        <v>66.6</v>
      </c>
      <c r="Q12" s="266"/>
      <c r="R12" s="96" t="str">
        <f aca="false">F5</f>
        <v>BRANCO</v>
      </c>
      <c r="S12" s="268" t="n">
        <v>6000</v>
      </c>
      <c r="T12" s="439" t="n">
        <f aca="false">Q45*0.111/1000</f>
        <v>0.752136</v>
      </c>
      <c r="U12" s="280" t="n">
        <f aca="false">M12*0.666</f>
        <v>1.332</v>
      </c>
    </row>
    <row r="13" customFormat="false" ht="25.5" hidden="false" customHeight="true" outlineLevel="0" collapsed="false">
      <c r="A13" s="79" t="s">
        <v>495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79"/>
      <c r="L13" s="265"/>
      <c r="M13" s="295"/>
      <c r="N13" s="266"/>
      <c r="O13" s="266"/>
      <c r="P13" s="266"/>
      <c r="Q13" s="266"/>
      <c r="R13" s="96"/>
      <c r="S13" s="268"/>
      <c r="T13" s="439"/>
      <c r="U13" s="280"/>
    </row>
    <row r="14" customFormat="false" ht="25.5" hidden="false" customHeight="true" outlineLevel="0" collapsed="false">
      <c r="A14" s="79" t="s">
        <v>496</v>
      </c>
      <c r="B14" s="279" t="s">
        <v>196</v>
      </c>
      <c r="C14" s="279"/>
      <c r="D14" s="279"/>
      <c r="E14" s="24" t="n">
        <f aca="false">D7*2</f>
        <v>2</v>
      </c>
      <c r="F14" s="24" t="n">
        <f aca="false">C7-22</f>
        <v>978</v>
      </c>
      <c r="G14" s="24"/>
      <c r="H14" s="83" t="s">
        <v>18</v>
      </c>
      <c r="I14" s="83"/>
      <c r="J14" s="83" t="s">
        <v>42</v>
      </c>
      <c r="K14" s="79"/>
      <c r="L14" s="281"/>
      <c r="M14" s="153"/>
      <c r="N14" s="266"/>
      <c r="O14" s="266"/>
      <c r="P14" s="25"/>
      <c r="Q14" s="25"/>
      <c r="R14" s="96"/>
      <c r="S14" s="268"/>
      <c r="T14" s="439"/>
      <c r="U14" s="280"/>
    </row>
    <row r="15" customFormat="false" ht="25.5" hidden="false" customHeight="true" outlineLevel="0" collapsed="false">
      <c r="A15" s="79" t="s">
        <v>201</v>
      </c>
      <c r="B15" s="279" t="s">
        <v>487</v>
      </c>
      <c r="C15" s="279"/>
      <c r="D15" s="279"/>
      <c r="E15" s="46" t="n">
        <f aca="false">D7*6</f>
        <v>6</v>
      </c>
      <c r="F15" s="24" t="n">
        <f aca="false">(B7-156)/3</f>
        <v>281.333333333333</v>
      </c>
      <c r="G15" s="24"/>
      <c r="H15" s="83" t="s">
        <v>18</v>
      </c>
      <c r="I15" s="83"/>
      <c r="J15" s="83" t="s">
        <v>42</v>
      </c>
      <c r="K15" s="79"/>
      <c r="L15" s="281"/>
      <c r="M15" s="153"/>
      <c r="N15" s="266"/>
      <c r="O15" s="266"/>
      <c r="P15" s="25"/>
      <c r="Q15" s="25"/>
      <c r="R15" s="96"/>
      <c r="S15" s="268"/>
      <c r="T15" s="439"/>
      <c r="U15" s="280"/>
    </row>
    <row r="16" customFormat="false" ht="25.5" hidden="false" customHeight="true" outlineLevel="0" collapsed="false">
      <c r="A16" s="79"/>
      <c r="B16" s="279"/>
      <c r="C16" s="279"/>
      <c r="D16" s="279"/>
      <c r="E16" s="24"/>
      <c r="F16" s="24"/>
      <c r="G16" s="24"/>
      <c r="H16" s="83"/>
      <c r="I16" s="83"/>
      <c r="J16" s="83"/>
      <c r="K16" s="83"/>
      <c r="L16" s="281"/>
      <c r="M16" s="153"/>
      <c r="N16" s="266"/>
      <c r="O16" s="266"/>
      <c r="P16" s="25"/>
      <c r="Q16" s="25"/>
      <c r="R16" s="96"/>
      <c r="S16" s="268"/>
      <c r="T16" s="439"/>
      <c r="U16" s="280"/>
    </row>
    <row r="17" customFormat="false" ht="25.5" hidden="false" customHeight="true" outlineLevel="0" collapsed="false">
      <c r="A17" s="79" t="s">
        <v>193</v>
      </c>
      <c r="B17" s="279" t="s">
        <v>435</v>
      </c>
      <c r="C17" s="279"/>
      <c r="D17" s="279"/>
      <c r="E17" s="24" t="n">
        <f aca="false">D7*3</f>
        <v>3</v>
      </c>
      <c r="F17" s="24" t="n">
        <f aca="false">C7-50</f>
        <v>950</v>
      </c>
      <c r="G17" s="24"/>
      <c r="H17" s="83" t="s">
        <v>17</v>
      </c>
      <c r="I17" s="83"/>
      <c r="J17" s="83" t="s">
        <v>42</v>
      </c>
      <c r="K17" s="83"/>
      <c r="L17" s="281"/>
      <c r="M17" s="153"/>
      <c r="N17" s="266"/>
      <c r="O17" s="266"/>
      <c r="P17" s="25"/>
      <c r="Q17" s="25"/>
      <c r="R17" s="96"/>
      <c r="S17" s="268"/>
      <c r="T17" s="439"/>
      <c r="U17" s="280"/>
    </row>
    <row r="18" customFormat="false" ht="25.5" hidden="false" customHeight="true" outlineLevel="0" collapsed="false">
      <c r="A18" s="79" t="s">
        <v>197</v>
      </c>
      <c r="B18" s="279" t="s">
        <v>435</v>
      </c>
      <c r="C18" s="279"/>
      <c r="D18" s="279"/>
      <c r="E18" s="24" t="n">
        <f aca="false">D7*1</f>
        <v>1</v>
      </c>
      <c r="F18" s="24" t="n">
        <f aca="false">C7-50</f>
        <v>950</v>
      </c>
      <c r="G18" s="24"/>
      <c r="H18" s="83" t="s">
        <v>17</v>
      </c>
      <c r="I18" s="83"/>
      <c r="J18" s="83" t="s">
        <v>42</v>
      </c>
      <c r="K18" s="363"/>
      <c r="L18" s="281"/>
      <c r="M18" s="471"/>
      <c r="N18" s="268"/>
      <c r="O18" s="280"/>
      <c r="P18" s="120"/>
      <c r="Q18" s="120"/>
      <c r="R18" s="96"/>
      <c r="S18" s="268"/>
      <c r="T18" s="439"/>
      <c r="U18" s="280"/>
    </row>
    <row r="19" customFormat="false" ht="22.5" hidden="false" customHeight="true" outlineLevel="0" collapsed="false">
      <c r="A19" s="79" t="s">
        <v>200</v>
      </c>
      <c r="B19" s="279" t="s">
        <v>435</v>
      </c>
      <c r="C19" s="279"/>
      <c r="D19" s="279"/>
      <c r="E19" s="24" t="n">
        <f aca="false">D7*1</f>
        <v>1</v>
      </c>
      <c r="F19" s="24" t="n">
        <f aca="false">C7-50</f>
        <v>950</v>
      </c>
      <c r="G19" s="24"/>
      <c r="H19" s="83" t="s">
        <v>18</v>
      </c>
      <c r="I19" s="83"/>
      <c r="J19" s="83" t="s">
        <v>42</v>
      </c>
      <c r="K19" s="96"/>
      <c r="L19" s="283"/>
      <c r="M19" s="471"/>
      <c r="N19" s="268"/>
      <c r="O19" s="280"/>
      <c r="P19" s="120"/>
      <c r="Q19" s="120"/>
      <c r="R19" s="96"/>
      <c r="S19" s="268"/>
      <c r="T19" s="439"/>
      <c r="U19" s="280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46" t="n">
        <f aca="false">D7*6</f>
        <v>6</v>
      </c>
      <c r="F20" s="24" t="n">
        <f aca="false">F15</f>
        <v>281.333333333333</v>
      </c>
      <c r="G20" s="24"/>
      <c r="H20" s="83" t="s">
        <v>18</v>
      </c>
      <c r="I20" s="83"/>
      <c r="J20" s="83" t="s">
        <v>42</v>
      </c>
      <c r="K20" s="96"/>
      <c r="L20" s="283"/>
      <c r="M20" s="471"/>
      <c r="N20" s="268"/>
      <c r="O20" s="280"/>
      <c r="P20" s="120"/>
      <c r="Q20" s="120"/>
      <c r="R20" s="96"/>
      <c r="S20" s="268"/>
      <c r="T20" s="439"/>
      <c r="U20" s="280"/>
    </row>
    <row r="21" customFormat="false" ht="21" hidden="false" customHeight="true" outlineLevel="0" collapsed="false">
      <c r="A21" s="79" t="s">
        <v>188</v>
      </c>
      <c r="B21" s="80" t="s">
        <v>203</v>
      </c>
      <c r="C21" s="80"/>
      <c r="D21" s="80"/>
      <c r="E21" s="46" t="n">
        <f aca="false">D7*6</f>
        <v>6</v>
      </c>
      <c r="F21" s="97" t="n">
        <f aca="false">C7-152</f>
        <v>848</v>
      </c>
      <c r="G21" s="97"/>
      <c r="H21" s="28" t="s">
        <v>18</v>
      </c>
      <c r="I21" s="28"/>
      <c r="J21" s="83" t="s">
        <v>42</v>
      </c>
      <c r="K21" s="96"/>
      <c r="L21" s="283"/>
      <c r="M21" s="471"/>
      <c r="N21" s="268"/>
      <c r="O21" s="280"/>
      <c r="P21" s="120"/>
      <c r="Q21" s="120"/>
      <c r="R21" s="96"/>
      <c r="S21" s="268"/>
      <c r="T21" s="439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96"/>
      <c r="L22" s="283"/>
      <c r="M22" s="471"/>
      <c r="N22" s="268"/>
      <c r="O22" s="280"/>
      <c r="P22" s="120"/>
      <c r="Q22" s="120"/>
      <c r="R22" s="96"/>
      <c r="S22" s="268"/>
      <c r="T22" s="439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451"/>
      <c r="L23" s="283"/>
      <c r="M23" s="471"/>
      <c r="N23" s="284"/>
      <c r="O23" s="280"/>
      <c r="P23" s="120"/>
      <c r="Q23" s="120"/>
      <c r="R23" s="96"/>
      <c r="S23" s="268"/>
      <c r="T23" s="439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286"/>
      <c r="M24" s="472"/>
      <c r="N24" s="285"/>
      <c r="O24" s="288"/>
      <c r="P24" s="209"/>
      <c r="Q24" s="209"/>
      <c r="R24" s="290"/>
      <c r="S24" s="289"/>
      <c r="T24" s="292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8.036952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803.6952</v>
      </c>
      <c r="N26" s="302"/>
      <c r="O26" s="303" t="n">
        <v>0.1</v>
      </c>
      <c r="P26" s="85" t="n">
        <f aca="false">K30*O26+K30</f>
        <v>442.03236</v>
      </c>
      <c r="Q26" s="85"/>
      <c r="R26" s="85"/>
      <c r="S26" s="181" t="s">
        <v>131</v>
      </c>
      <c r="T26" s="181"/>
      <c r="U26" s="294" t="n">
        <f aca="false">SUM(U3:U24)</f>
        <v>31.644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23.607048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1582.2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401.8476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</row>
    <row r="35" customFormat="false" ht="15" hidden="false" customHeight="true" outlineLevel="0" collapsed="false">
      <c r="A35" s="104" t="s">
        <v>51</v>
      </c>
      <c r="B35" s="473" t="s">
        <v>26</v>
      </c>
      <c r="C35" s="473"/>
      <c r="D35" s="473"/>
      <c r="E35" s="473"/>
      <c r="F35" s="473"/>
      <c r="G35" s="473"/>
      <c r="H35" s="227" t="s">
        <v>5</v>
      </c>
      <c r="I35" s="20" t="s">
        <v>207</v>
      </c>
      <c r="J35" s="20"/>
      <c r="K35" s="93"/>
      <c r="L35" s="93"/>
      <c r="M35" s="93"/>
      <c r="N35" s="93"/>
      <c r="O35" s="93"/>
      <c r="P35" s="93"/>
      <c r="Q35" s="93"/>
      <c r="R35" s="93"/>
      <c r="S35" s="93"/>
    </row>
    <row r="36" customFormat="false" ht="27" hidden="false" customHeight="true" outlineLevel="0" collapsed="false">
      <c r="A36" s="313" t="s">
        <v>497</v>
      </c>
      <c r="B36" s="426" t="s">
        <v>498</v>
      </c>
      <c r="C36" s="426"/>
      <c r="D36" s="426"/>
      <c r="E36" s="426"/>
      <c r="F36" s="426"/>
      <c r="G36" s="426"/>
      <c r="H36" s="397" t="s">
        <v>64</v>
      </c>
      <c r="I36" s="72" t="n">
        <f aca="false">D7*2</f>
        <v>2</v>
      </c>
      <c r="J36" s="72"/>
      <c r="K36" s="249"/>
      <c r="L36" s="133"/>
      <c r="M36" s="387"/>
      <c r="N36" s="133"/>
      <c r="O36" s="109"/>
      <c r="P36" s="387" t="s">
        <v>493</v>
      </c>
      <c r="Q36" s="109" t="n">
        <f aca="false">F11*E11</f>
        <v>974</v>
      </c>
      <c r="R36" s="109"/>
      <c r="S36" s="93"/>
    </row>
    <row r="37" customFormat="false" ht="27" hidden="false" customHeight="true" outlineLevel="0" collapsed="false">
      <c r="A37" s="319" t="s">
        <v>482</v>
      </c>
      <c r="B37" s="427" t="s">
        <v>238</v>
      </c>
      <c r="C37" s="427"/>
      <c r="D37" s="427"/>
      <c r="E37" s="427"/>
      <c r="F37" s="427"/>
      <c r="G37" s="427"/>
      <c r="H37" s="96" t="s">
        <v>46</v>
      </c>
      <c r="I37" s="83" t="n">
        <f aca="false">B7*2+C7*6*D7</f>
        <v>8000</v>
      </c>
      <c r="J37" s="83"/>
      <c r="K37" s="249"/>
      <c r="L37" s="133"/>
      <c r="M37" s="387"/>
      <c r="N37" s="133"/>
      <c r="O37" s="109"/>
      <c r="P37" s="387" t="s">
        <v>494</v>
      </c>
      <c r="Q37" s="109" t="n">
        <f aca="false">F12*E12</f>
        <v>974</v>
      </c>
      <c r="R37" s="109"/>
      <c r="S37" s="93"/>
      <c r="T37" s="93"/>
    </row>
    <row r="38" customFormat="false" ht="23.25" hidden="false" customHeight="true" outlineLevel="0" collapsed="false">
      <c r="A38" s="319" t="s">
        <v>499</v>
      </c>
      <c r="B38" s="427" t="s">
        <v>500</v>
      </c>
      <c r="C38" s="427"/>
      <c r="D38" s="427"/>
      <c r="E38" s="427"/>
      <c r="F38" s="427"/>
      <c r="G38" s="427"/>
      <c r="H38" s="96" t="s">
        <v>64</v>
      </c>
      <c r="I38" s="83" t="n">
        <f aca="false">D7*2</f>
        <v>2</v>
      </c>
      <c r="J38" s="83"/>
      <c r="K38" s="249"/>
      <c r="L38" s="133"/>
      <c r="M38" s="387"/>
      <c r="N38" s="133"/>
      <c r="O38" s="109"/>
      <c r="P38" s="387" t="s">
        <v>501</v>
      </c>
      <c r="Q38" s="109" t="n">
        <f aca="false">F13*E13</f>
        <v>2000</v>
      </c>
      <c r="R38" s="109"/>
      <c r="S38" s="93"/>
      <c r="T38" s="93"/>
    </row>
    <row r="39" customFormat="false" ht="23.25" hidden="false" customHeight="true" outlineLevel="0" collapsed="false">
      <c r="A39" s="319" t="s">
        <v>502</v>
      </c>
      <c r="B39" s="427" t="s">
        <v>236</v>
      </c>
      <c r="C39" s="427"/>
      <c r="D39" s="427"/>
      <c r="E39" s="427"/>
      <c r="F39" s="427"/>
      <c r="G39" s="427"/>
      <c r="H39" s="96" t="s">
        <v>64</v>
      </c>
      <c r="I39" s="83" t="n">
        <f aca="false">D7*6</f>
        <v>6</v>
      </c>
      <c r="J39" s="83"/>
      <c r="K39" s="249"/>
      <c r="L39" s="133"/>
      <c r="M39" s="387"/>
      <c r="N39" s="133"/>
      <c r="O39" s="109"/>
      <c r="P39" s="387" t="s">
        <v>496</v>
      </c>
      <c r="Q39" s="109" t="n">
        <f aca="false">F14*E14</f>
        <v>1956</v>
      </c>
      <c r="R39" s="109"/>
      <c r="S39" s="93"/>
      <c r="T39" s="93"/>
    </row>
    <row r="40" customFormat="false" ht="23.25" hidden="false" customHeight="true" outlineLevel="0" collapsed="false">
      <c r="A40" s="319"/>
      <c r="B40" s="427"/>
      <c r="C40" s="427"/>
      <c r="D40" s="427"/>
      <c r="E40" s="427"/>
      <c r="F40" s="427"/>
      <c r="G40" s="427"/>
      <c r="H40" s="96"/>
      <c r="I40" s="83"/>
      <c r="J40" s="83"/>
      <c r="K40" s="249"/>
      <c r="L40" s="133"/>
      <c r="M40" s="387"/>
      <c r="N40" s="133"/>
      <c r="O40" s="109"/>
      <c r="P40" s="387" t="s">
        <v>201</v>
      </c>
      <c r="Q40" s="109" t="n">
        <f aca="false">F15*E15</f>
        <v>1688</v>
      </c>
      <c r="R40" s="109"/>
      <c r="S40" s="93"/>
      <c r="T40" s="93"/>
    </row>
    <row r="41" customFormat="false" ht="23.25" hidden="false" customHeight="true" outlineLevel="0" collapsed="false">
      <c r="A41" s="319"/>
      <c r="B41" s="427"/>
      <c r="C41" s="427"/>
      <c r="D41" s="427"/>
      <c r="E41" s="427"/>
      <c r="F41" s="427"/>
      <c r="G41" s="427"/>
      <c r="H41" s="96"/>
      <c r="I41" s="83"/>
      <c r="J41" s="83"/>
      <c r="K41" s="249"/>
      <c r="L41" s="133"/>
      <c r="M41" s="387"/>
      <c r="N41" s="133"/>
      <c r="O41" s="109"/>
      <c r="P41" s="387" t="s">
        <v>503</v>
      </c>
      <c r="Q41" s="109" t="n">
        <f aca="false">F16*E16</f>
        <v>0</v>
      </c>
      <c r="R41" s="109"/>
      <c r="S41" s="93"/>
      <c r="T41" s="93"/>
    </row>
    <row r="42" customFormat="false" ht="23.25" hidden="false" customHeight="true" outlineLevel="0" collapsed="false">
      <c r="A42" s="319" t="s">
        <v>504</v>
      </c>
      <c r="B42" s="427" t="s">
        <v>226</v>
      </c>
      <c r="C42" s="427"/>
      <c r="D42" s="427"/>
      <c r="E42" s="427"/>
      <c r="F42" s="427"/>
      <c r="G42" s="427"/>
      <c r="H42" s="96" t="s">
        <v>64</v>
      </c>
      <c r="I42" s="83" t="n">
        <f aca="false">D7*2</f>
        <v>2</v>
      </c>
      <c r="J42" s="83"/>
      <c r="K42" s="249"/>
      <c r="L42" s="133"/>
      <c r="M42" s="387"/>
      <c r="N42" s="133"/>
      <c r="O42" s="109"/>
      <c r="P42" s="387" t="s">
        <v>193</v>
      </c>
      <c r="Q42" s="109" t="n">
        <f aca="false">F17*E17</f>
        <v>2850</v>
      </c>
      <c r="R42" s="109"/>
      <c r="S42" s="93"/>
      <c r="T42" s="93"/>
    </row>
    <row r="43" customFormat="false" ht="23.25" hidden="false" customHeight="true" outlineLevel="0" collapsed="false">
      <c r="A43" s="319" t="s">
        <v>505</v>
      </c>
      <c r="B43" s="427" t="s">
        <v>506</v>
      </c>
      <c r="C43" s="427"/>
      <c r="D43" s="427"/>
      <c r="E43" s="427"/>
      <c r="F43" s="427"/>
      <c r="G43" s="427"/>
      <c r="H43" s="96" t="s">
        <v>64</v>
      </c>
      <c r="I43" s="428" t="n">
        <f aca="false">D7*12</f>
        <v>12</v>
      </c>
      <c r="J43" s="428"/>
      <c r="K43" s="93"/>
      <c r="L43" s="109"/>
      <c r="M43" s="387"/>
      <c r="N43" s="109"/>
      <c r="O43" s="109"/>
      <c r="P43" s="387" t="s">
        <v>197</v>
      </c>
      <c r="Q43" s="109" t="n">
        <f aca="false">F18*E18</f>
        <v>950</v>
      </c>
      <c r="R43" s="109"/>
      <c r="S43" s="93"/>
      <c r="T43" s="93"/>
    </row>
    <row r="44" customFormat="false" ht="23.25" hidden="false" customHeight="true" outlineLevel="0" collapsed="false">
      <c r="A44" s="319" t="s">
        <v>507</v>
      </c>
      <c r="B44" s="427" t="s">
        <v>230</v>
      </c>
      <c r="C44" s="427"/>
      <c r="D44" s="427"/>
      <c r="E44" s="427"/>
      <c r="F44" s="427"/>
      <c r="G44" s="427"/>
      <c r="H44" s="96" t="s">
        <v>64</v>
      </c>
      <c r="I44" s="428" t="n">
        <f aca="false">D7*2</f>
        <v>2</v>
      </c>
      <c r="J44" s="428"/>
      <c r="K44" s="93"/>
      <c r="L44" s="109"/>
      <c r="M44" s="387"/>
      <c r="N44" s="133"/>
      <c r="O44" s="109"/>
      <c r="P44" s="387" t="s">
        <v>200</v>
      </c>
      <c r="Q44" s="109" t="n">
        <f aca="false">F19*E19</f>
        <v>950</v>
      </c>
      <c r="R44" s="109"/>
      <c r="S44" s="93"/>
      <c r="T44" s="93"/>
    </row>
    <row r="45" customFormat="false" ht="23.25" hidden="false" customHeight="true" outlineLevel="0" collapsed="false">
      <c r="A45" s="319" t="s">
        <v>508</v>
      </c>
      <c r="B45" s="427" t="s">
        <v>509</v>
      </c>
      <c r="C45" s="427"/>
      <c r="D45" s="427"/>
      <c r="E45" s="427"/>
      <c r="F45" s="427"/>
      <c r="G45" s="427"/>
      <c r="H45" s="96" t="s">
        <v>64</v>
      </c>
      <c r="I45" s="428" t="n">
        <f aca="false">D7*2</f>
        <v>2</v>
      </c>
      <c r="J45" s="428"/>
      <c r="K45" s="93"/>
      <c r="L45" s="109"/>
      <c r="M45" s="109"/>
      <c r="N45" s="109"/>
      <c r="O45" s="109"/>
      <c r="P45" s="387" t="s">
        <v>188</v>
      </c>
      <c r="Q45" s="109" t="n">
        <f aca="false">F20*E20+E21*F21</f>
        <v>6776</v>
      </c>
      <c r="R45" s="109"/>
      <c r="S45" s="93"/>
      <c r="T45" s="93"/>
    </row>
    <row r="46" customFormat="false" ht="23.25" hidden="false" customHeight="true" outlineLevel="0" collapsed="false">
      <c r="A46" s="319" t="s">
        <v>510</v>
      </c>
      <c r="B46" s="431" t="s">
        <v>511</v>
      </c>
      <c r="C46" s="431"/>
      <c r="D46" s="431"/>
      <c r="E46" s="431"/>
      <c r="F46" s="431"/>
      <c r="G46" s="431"/>
      <c r="H46" s="96" t="s">
        <v>64</v>
      </c>
      <c r="I46" s="428" t="n">
        <f aca="false">D7*24</f>
        <v>24</v>
      </c>
      <c r="J46" s="428"/>
      <c r="K46" s="93"/>
      <c r="L46" s="109"/>
      <c r="M46" s="109"/>
      <c r="N46" s="109"/>
      <c r="O46" s="109"/>
      <c r="P46" s="387" t="s">
        <v>512</v>
      </c>
      <c r="Q46" s="109" t="n">
        <f aca="false">F22*E22+E23*F23</f>
        <v>0</v>
      </c>
      <c r="R46" s="109"/>
      <c r="S46" s="93"/>
      <c r="T46" s="93"/>
    </row>
    <row r="47" customFormat="false" ht="23.25" hidden="false" customHeight="true" outlineLevel="0" collapsed="false">
      <c r="A47" s="319"/>
      <c r="B47" s="431"/>
      <c r="C47" s="431"/>
      <c r="D47" s="431"/>
      <c r="E47" s="431"/>
      <c r="F47" s="431"/>
      <c r="G47" s="431"/>
      <c r="H47" s="96"/>
      <c r="I47" s="83"/>
      <c r="J47" s="83"/>
      <c r="K47" s="93"/>
      <c r="L47" s="109"/>
      <c r="M47" s="109"/>
      <c r="N47" s="109"/>
      <c r="O47" s="109"/>
      <c r="P47" s="109"/>
      <c r="Q47" s="109"/>
      <c r="R47" s="109"/>
      <c r="S47" s="93"/>
      <c r="T47" s="93"/>
    </row>
    <row r="48" customFormat="false" ht="23.25" hidden="false" customHeight="true" outlineLevel="0" collapsed="false">
      <c r="A48" s="128" t="s">
        <v>513</v>
      </c>
      <c r="B48" s="433" t="s">
        <v>514</v>
      </c>
      <c r="C48" s="433"/>
      <c r="D48" s="433"/>
      <c r="E48" s="433"/>
      <c r="F48" s="433"/>
      <c r="G48" s="433"/>
      <c r="H48" s="26" t="s">
        <v>46</v>
      </c>
      <c r="I48" s="120" t="n">
        <f aca="false">B7*2+C7*5*D7</f>
        <v>7000</v>
      </c>
      <c r="J48" s="120"/>
      <c r="K48" s="93"/>
      <c r="L48" s="109"/>
      <c r="M48" s="109"/>
      <c r="N48" s="109"/>
      <c r="O48" s="109"/>
      <c r="P48" s="109"/>
      <c r="Q48" s="109"/>
      <c r="R48" s="109"/>
      <c r="S48" s="93"/>
      <c r="T48" s="93"/>
    </row>
    <row r="49" customFormat="false" ht="23.25" hidden="false" customHeight="true" outlineLevel="0" collapsed="false">
      <c r="A49" s="128"/>
      <c r="B49" s="431"/>
      <c r="C49" s="431"/>
      <c r="D49" s="431"/>
      <c r="E49" s="431"/>
      <c r="F49" s="431"/>
      <c r="G49" s="431"/>
      <c r="H49" s="96"/>
      <c r="I49" s="83"/>
      <c r="J49" s="83"/>
      <c r="K49" s="93"/>
      <c r="L49" s="109"/>
      <c r="M49" s="109"/>
      <c r="N49" s="109"/>
      <c r="O49" s="109"/>
      <c r="P49" s="109"/>
      <c r="Q49" s="109"/>
      <c r="R49" s="109"/>
      <c r="S49" s="93"/>
      <c r="T49" s="93"/>
    </row>
    <row r="50" customFormat="false" ht="23.25" hidden="false" customHeight="true" outlineLevel="0" collapsed="false">
      <c r="A50" s="128"/>
      <c r="B50" s="431"/>
      <c r="C50" s="431"/>
      <c r="D50" s="431"/>
      <c r="E50" s="431"/>
      <c r="F50" s="431"/>
      <c r="G50" s="431"/>
      <c r="H50" s="96"/>
      <c r="I50" s="434"/>
      <c r="J50" s="434"/>
      <c r="K50" s="93"/>
      <c r="L50" s="109"/>
      <c r="M50" s="109"/>
      <c r="N50" s="109"/>
      <c r="O50" s="109"/>
      <c r="P50" s="109"/>
      <c r="Q50" s="109"/>
      <c r="R50" s="109"/>
    </row>
    <row r="51" customFormat="false" ht="21" hidden="false" customHeight="true" outlineLevel="0" collapsed="false">
      <c r="A51" s="128" t="s">
        <v>515</v>
      </c>
      <c r="B51" s="431" t="s">
        <v>516</v>
      </c>
      <c r="C51" s="431"/>
      <c r="D51" s="431"/>
      <c r="E51" s="431"/>
      <c r="F51" s="431"/>
      <c r="G51" s="431"/>
      <c r="H51" s="96" t="s">
        <v>46</v>
      </c>
      <c r="I51" s="120" t="n">
        <f aca="false">B7*2+C7*5*D7</f>
        <v>7000</v>
      </c>
      <c r="J51" s="120"/>
      <c r="K51" s="93"/>
      <c r="L51" s="109"/>
      <c r="M51" s="109"/>
      <c r="N51" s="109"/>
      <c r="O51" s="109"/>
      <c r="P51" s="109"/>
      <c r="Q51" s="109"/>
      <c r="R51" s="109"/>
    </row>
    <row r="52" customFormat="false" ht="23.25" hidden="false" customHeight="true" outlineLevel="0" collapsed="false">
      <c r="A52" s="379" t="s">
        <v>517</v>
      </c>
      <c r="B52" s="436" t="s">
        <v>518</v>
      </c>
      <c r="C52" s="436"/>
      <c r="D52" s="436"/>
      <c r="E52" s="436"/>
      <c r="F52" s="436"/>
      <c r="G52" s="436"/>
      <c r="H52" s="290" t="s">
        <v>46</v>
      </c>
      <c r="I52" s="209" t="n">
        <f aca="false">B7*4+C7*2*D7</f>
        <v>6000</v>
      </c>
      <c r="J52" s="209"/>
      <c r="K52" s="93"/>
      <c r="L52" s="109"/>
      <c r="M52" s="109"/>
      <c r="N52" s="109"/>
      <c r="O52" s="109"/>
      <c r="P52" s="109"/>
      <c r="Q52" s="109"/>
      <c r="R52" s="109"/>
    </row>
    <row r="53" customFormat="false" ht="23.25" hidden="false" customHeight="true" outlineLevel="0" collapsed="false">
      <c r="A53" s="47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519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493</v>
      </c>
      <c r="L3" s="257" t="n">
        <f aca="false">IF(Q36&gt;6000,Q36/6000,1)</f>
        <v>1</v>
      </c>
      <c r="M3" s="395" t="n">
        <f aca="false">ROUNDUP(L3,0)</f>
        <v>1</v>
      </c>
      <c r="N3" s="259" t="n">
        <f aca="false">1.022*6*K26</f>
        <v>306.6</v>
      </c>
      <c r="O3" s="259"/>
      <c r="P3" s="259" t="n">
        <f aca="false">N3*M3</f>
        <v>306.6</v>
      </c>
      <c r="Q3" s="259"/>
      <c r="R3" s="397" t="str">
        <f aca="false">F5</f>
        <v>BRANCO</v>
      </c>
      <c r="S3" s="397" t="n">
        <v>6000</v>
      </c>
      <c r="T3" s="440" t="n">
        <f aca="false">Q36*1.022/1000</f>
        <v>0.995428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494</v>
      </c>
      <c r="L4" s="265" t="n">
        <f aca="false">IF(Q37&gt;6000,Q37/6000,1)</f>
        <v>1</v>
      </c>
      <c r="M4" s="91" t="n">
        <f aca="false">ROUNDUP(L4,0)</f>
        <v>1</v>
      </c>
      <c r="N4" s="266" t="n">
        <f aca="false">0.981*6*K26</f>
        <v>294.3</v>
      </c>
      <c r="O4" s="266"/>
      <c r="P4" s="266" t="n">
        <f aca="false">N4*M4</f>
        <v>294.3</v>
      </c>
      <c r="Q4" s="266"/>
      <c r="R4" s="96" t="str">
        <f aca="false">F5</f>
        <v>BRANCO</v>
      </c>
      <c r="S4" s="96" t="n">
        <v>6000</v>
      </c>
      <c r="T4" s="440" t="n">
        <f aca="false">Q37*0.981/1000</f>
        <v>0.955494</v>
      </c>
      <c r="U4" s="439" t="n">
        <f aca="false">M4*5.886</f>
        <v>5.886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501</v>
      </c>
      <c r="L5" s="265" t="n">
        <f aca="false">IF(Q38&gt;6000,Q38/6000,1)</f>
        <v>1</v>
      </c>
      <c r="M5" s="91" t="n">
        <f aca="false">ROUNDUP(L5,0)</f>
        <v>1</v>
      </c>
      <c r="N5" s="266" t="n">
        <f aca="false">0.772*6*K26</f>
        <v>231.6</v>
      </c>
      <c r="O5" s="266"/>
      <c r="P5" s="266" t="n">
        <f aca="false">N5*M5</f>
        <v>231.6</v>
      </c>
      <c r="Q5" s="266"/>
      <c r="R5" s="96" t="str">
        <f aca="false">F5</f>
        <v>BRANCO</v>
      </c>
      <c r="S5" s="96" t="n">
        <v>6000</v>
      </c>
      <c r="T5" s="440" t="n">
        <f aca="false">Q38*0.772/1000</f>
        <v>0.772</v>
      </c>
      <c r="U5" s="439" t="n">
        <f aca="false">M5*4.632</f>
        <v>4.632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520</v>
      </c>
      <c r="L6" s="265" t="n">
        <f aca="false">IF(Q39&gt;6000,Q39/6000,1)</f>
        <v>1</v>
      </c>
      <c r="M6" s="91" t="n">
        <f aca="false">ROUNDUP(L6,0)</f>
        <v>1</v>
      </c>
      <c r="N6" s="266" t="n">
        <f aca="false">0.677*6*K26</f>
        <v>203.1</v>
      </c>
      <c r="O6" s="266"/>
      <c r="P6" s="266" t="n">
        <f aca="false">N6*M6</f>
        <v>203.1</v>
      </c>
      <c r="Q6" s="266"/>
      <c r="R6" s="96" t="str">
        <f aca="false">F5</f>
        <v>BRANCO</v>
      </c>
      <c r="S6" s="96" t="n">
        <v>4600</v>
      </c>
      <c r="T6" s="440" t="n">
        <f aca="false">Q39*0.677/1000</f>
        <v>0.677</v>
      </c>
      <c r="U6" s="439" t="n">
        <f aca="false">M6*4.062</f>
        <v>4.062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79" t="s">
        <v>201</v>
      </c>
      <c r="L7" s="265" t="n">
        <f aca="false">IF(Q40&gt;6000,Q40/6000,1)</f>
        <v>1</v>
      </c>
      <c r="M7" s="91" t="n">
        <f aca="false">ROUNDUP(L7,0)</f>
        <v>1</v>
      </c>
      <c r="N7" s="266" t="n">
        <f aca="false">0.507*6*K26</f>
        <v>152.1</v>
      </c>
      <c r="O7" s="266"/>
      <c r="P7" s="266" t="n">
        <f aca="false">N7*M7</f>
        <v>152.1</v>
      </c>
      <c r="Q7" s="266"/>
      <c r="R7" s="96" t="str">
        <f aca="false">F5</f>
        <v>BRANCO</v>
      </c>
      <c r="S7" s="96" t="n">
        <v>4600</v>
      </c>
      <c r="T7" s="440" t="n">
        <f aca="false">Q40*0.507/1000</f>
        <v>1.321749</v>
      </c>
      <c r="U7" s="439" t="n">
        <f aca="false">M7*3.042</f>
        <v>3.042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79" t="s">
        <v>503</v>
      </c>
      <c r="L8" s="265" t="n">
        <f aca="false">IF(Q41&gt;6000,Q41/6000,1)</f>
        <v>1</v>
      </c>
      <c r="M8" s="91" t="n">
        <f aca="false">ROUNDUP(L8,0)</f>
        <v>1</v>
      </c>
      <c r="N8" s="266" t="n">
        <f aca="false">0.564*6*K26</f>
        <v>169.2</v>
      </c>
      <c r="O8" s="266"/>
      <c r="P8" s="266" t="n">
        <f aca="false">N8*M8</f>
        <v>169.2</v>
      </c>
      <c r="Q8" s="266"/>
      <c r="R8" s="96" t="str">
        <f aca="false">F5</f>
        <v>BRANCO</v>
      </c>
      <c r="S8" s="96" t="n">
        <v>4600</v>
      </c>
      <c r="T8" s="440" t="n">
        <f aca="false">Q41*0.564/1000</f>
        <v>0.5358</v>
      </c>
      <c r="U8" s="439" t="n">
        <f aca="false">M8*3.384</f>
        <v>3.384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(B7-143)/2</f>
        <v>428.5</v>
      </c>
      <c r="F9" s="390" t="n">
        <f aca="false">C7-134</f>
        <v>866</v>
      </c>
      <c r="G9" s="270"/>
      <c r="H9" s="270"/>
      <c r="I9" s="270"/>
      <c r="J9" s="270"/>
      <c r="K9" s="79" t="s">
        <v>193</v>
      </c>
      <c r="L9" s="265" t="n">
        <f aca="false">IF(Q42&gt;6000,Q42/6000,1)</f>
        <v>1</v>
      </c>
      <c r="M9" s="91" t="n">
        <f aca="false">ROUNDUP(L9,0)</f>
        <v>1</v>
      </c>
      <c r="N9" s="266" t="n">
        <f aca="false">0.52*6*K26</f>
        <v>156</v>
      </c>
      <c r="O9" s="266"/>
      <c r="P9" s="266" t="n">
        <f aca="false">N9*M9</f>
        <v>156</v>
      </c>
      <c r="Q9" s="266"/>
      <c r="R9" s="96" t="str">
        <f aca="false">R8</f>
        <v>BRANCO</v>
      </c>
      <c r="S9" s="96" t="n">
        <v>6000</v>
      </c>
      <c r="T9" s="440" t="n">
        <f aca="false">Q42*0.52/1000</f>
        <v>1.482</v>
      </c>
      <c r="U9" s="439" t="n">
        <f aca="false">M9*3.12</f>
        <v>3.12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197</v>
      </c>
      <c r="L10" s="265" t="n">
        <f aca="false">IF(Q43&gt;6000,Q43/6000,1)</f>
        <v>1</v>
      </c>
      <c r="M10" s="91" t="n">
        <f aca="false">ROUNDUP(L10,0)</f>
        <v>1</v>
      </c>
      <c r="N10" s="277" t="n">
        <f aca="false">0.48*6*K26</f>
        <v>144</v>
      </c>
      <c r="O10" s="277"/>
      <c r="P10" s="277" t="n">
        <f aca="false">N10*M10</f>
        <v>144</v>
      </c>
      <c r="Q10" s="277"/>
      <c r="R10" s="96" t="str">
        <f aca="false">F5</f>
        <v>BRANCO</v>
      </c>
      <c r="S10" s="96" t="n">
        <v>6000</v>
      </c>
      <c r="T10" s="440" t="n">
        <f aca="false">Q43*0.48/1000</f>
        <v>0.456</v>
      </c>
      <c r="U10" s="439" t="n">
        <f aca="false">M10*2.88</f>
        <v>2.88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79" t="s">
        <v>200</v>
      </c>
      <c r="L11" s="265" t="n">
        <f aca="false">IF(Q44&gt;6000,Q44/6000,1)</f>
        <v>1</v>
      </c>
      <c r="M11" s="91" t="n">
        <f aca="false">ROUNDUP(L11,0)</f>
        <v>1</v>
      </c>
      <c r="N11" s="266" t="n">
        <f aca="false">0.507*6*K26</f>
        <v>152.1</v>
      </c>
      <c r="O11" s="266"/>
      <c r="P11" s="266" t="n">
        <f aca="false">N11*M11</f>
        <v>152.1</v>
      </c>
      <c r="Q11" s="266"/>
      <c r="R11" s="96" t="str">
        <f aca="false">F5</f>
        <v>BRANCO</v>
      </c>
      <c r="S11" s="96" t="n">
        <v>6000</v>
      </c>
      <c r="T11" s="440" t="n">
        <f aca="false">Q44*0.507/1000</f>
        <v>0.48165</v>
      </c>
      <c r="U11" s="439" t="n">
        <f aca="false">M11*3.042</f>
        <v>3.042</v>
      </c>
    </row>
    <row r="12" customFormat="false" ht="25.5" hidden="false" customHeight="true" outlineLevel="0" collapsed="false">
      <c r="A12" s="79" t="s">
        <v>494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79" t="s">
        <v>188</v>
      </c>
      <c r="L12" s="265" t="n">
        <f aca="false">IF(Q45&gt;6000,Q45/6000,1)</f>
        <v>1.2825</v>
      </c>
      <c r="M12" s="91" t="n">
        <f aca="false">ROUNDUP(L12,0)</f>
        <v>2</v>
      </c>
      <c r="N12" s="266" t="n">
        <f aca="false">0.111*6*K26</f>
        <v>33.3</v>
      </c>
      <c r="O12" s="266"/>
      <c r="P12" s="266" t="n">
        <f aca="false">N12*M12</f>
        <v>66.6</v>
      </c>
      <c r="Q12" s="266"/>
      <c r="R12" s="96" t="str">
        <f aca="false">F5</f>
        <v>BRANCO</v>
      </c>
      <c r="S12" s="96" t="n">
        <v>6000</v>
      </c>
      <c r="T12" s="440" t="n">
        <f aca="false">Q45*0.111/1000</f>
        <v>0.854145</v>
      </c>
      <c r="U12" s="96" t="n">
        <f aca="false">M12*0.666</f>
        <v>1.332</v>
      </c>
    </row>
    <row r="13" customFormat="false" ht="25.5" hidden="false" customHeight="true" outlineLevel="0" collapsed="false">
      <c r="A13" s="79" t="s">
        <v>501</v>
      </c>
      <c r="B13" s="279" t="s">
        <v>192</v>
      </c>
      <c r="C13" s="279"/>
      <c r="D13" s="279"/>
      <c r="E13" s="24" t="n">
        <f aca="false">D7*1</f>
        <v>1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79" t="s">
        <v>512</v>
      </c>
      <c r="L13" s="265" t="n">
        <f aca="false">IF(Q46&gt;6000,Q46/6000,1)</f>
        <v>1</v>
      </c>
      <c r="M13" s="295" t="n">
        <f aca="false">ROUNDUP(L13,0)</f>
        <v>1</v>
      </c>
      <c r="N13" s="266" t="n">
        <f aca="false">0.201*6*K26</f>
        <v>60.3</v>
      </c>
      <c r="O13" s="266"/>
      <c r="P13" s="266" t="n">
        <f aca="false">N13*M13</f>
        <v>60.3</v>
      </c>
      <c r="Q13" s="266"/>
      <c r="R13" s="96" t="str">
        <f aca="false">F5</f>
        <v>BRANCO</v>
      </c>
      <c r="S13" s="96" t="n">
        <v>6000</v>
      </c>
      <c r="T13" s="440" t="n">
        <f aca="false">Q46*0.201/1000</f>
        <v>0.518379</v>
      </c>
      <c r="U13" s="96" t="n">
        <f aca="false">M13*1.206</f>
        <v>1.206</v>
      </c>
    </row>
    <row r="14" customFormat="false" ht="25.5" hidden="false" customHeight="true" outlineLevel="0" collapsed="false">
      <c r="A14" s="79" t="s">
        <v>520</v>
      </c>
      <c r="B14" s="279" t="s">
        <v>192</v>
      </c>
      <c r="C14" s="279"/>
      <c r="D14" s="279"/>
      <c r="E14" s="24" t="n">
        <f aca="false">D7*1</f>
        <v>1</v>
      </c>
      <c r="F14" s="24" t="n">
        <f aca="false">C7</f>
        <v>1000</v>
      </c>
      <c r="G14" s="24"/>
      <c r="H14" s="83" t="s">
        <v>18</v>
      </c>
      <c r="I14" s="83"/>
      <c r="J14" s="83" t="s">
        <v>42</v>
      </c>
      <c r="K14" s="79"/>
      <c r="L14" s="281"/>
      <c r="M14" s="153"/>
      <c r="N14" s="266"/>
      <c r="O14" s="266"/>
      <c r="P14" s="25"/>
      <c r="Q14" s="25"/>
      <c r="R14" s="96"/>
      <c r="S14" s="96"/>
      <c r="T14" s="439"/>
      <c r="U14" s="96"/>
    </row>
    <row r="15" customFormat="false" ht="25.5" hidden="false" customHeight="true" outlineLevel="0" collapsed="false">
      <c r="A15" s="79" t="s">
        <v>201</v>
      </c>
      <c r="B15" s="279" t="s">
        <v>487</v>
      </c>
      <c r="C15" s="279"/>
      <c r="D15" s="279"/>
      <c r="E15" s="46" t="n">
        <f aca="false">D7*6</f>
        <v>6</v>
      </c>
      <c r="F15" s="24" t="n">
        <f aca="false">(B7-131)/2</f>
        <v>434.5</v>
      </c>
      <c r="G15" s="24"/>
      <c r="H15" s="83" t="s">
        <v>18</v>
      </c>
      <c r="I15" s="83"/>
      <c r="J15" s="83" t="s">
        <v>42</v>
      </c>
      <c r="K15" s="79"/>
      <c r="L15" s="281"/>
      <c r="M15" s="153"/>
      <c r="N15" s="266"/>
      <c r="O15" s="266"/>
      <c r="P15" s="25"/>
      <c r="Q15" s="25"/>
      <c r="R15" s="96"/>
      <c r="S15" s="96"/>
      <c r="T15" s="439"/>
      <c r="U15" s="96"/>
    </row>
    <row r="16" customFormat="false" ht="25.5" hidden="false" customHeight="true" outlineLevel="0" collapsed="false">
      <c r="A16" s="79" t="s">
        <v>503</v>
      </c>
      <c r="B16" s="279" t="s">
        <v>435</v>
      </c>
      <c r="C16" s="279"/>
      <c r="D16" s="279"/>
      <c r="E16" s="24" t="n">
        <f aca="false">D7*1</f>
        <v>1</v>
      </c>
      <c r="F16" s="24" t="n">
        <f aca="false">C7-50</f>
        <v>950</v>
      </c>
      <c r="G16" s="24"/>
      <c r="H16" s="83" t="s">
        <v>18</v>
      </c>
      <c r="I16" s="83"/>
      <c r="J16" s="83" t="s">
        <v>42</v>
      </c>
      <c r="K16" s="83"/>
      <c r="L16" s="281"/>
      <c r="M16" s="153"/>
      <c r="N16" s="266"/>
      <c r="O16" s="266"/>
      <c r="P16" s="25"/>
      <c r="Q16" s="25"/>
      <c r="R16" s="96"/>
      <c r="S16" s="96"/>
      <c r="T16" s="439"/>
      <c r="U16" s="96"/>
    </row>
    <row r="17" customFormat="false" ht="25.5" hidden="false" customHeight="true" outlineLevel="0" collapsed="false">
      <c r="A17" s="79" t="s">
        <v>193</v>
      </c>
      <c r="B17" s="279" t="s">
        <v>435</v>
      </c>
      <c r="C17" s="279"/>
      <c r="D17" s="279"/>
      <c r="E17" s="24" t="n">
        <f aca="false">D7*3</f>
        <v>3</v>
      </c>
      <c r="F17" s="24" t="n">
        <f aca="false">C7-50</f>
        <v>950</v>
      </c>
      <c r="G17" s="24"/>
      <c r="H17" s="83" t="s">
        <v>17</v>
      </c>
      <c r="I17" s="83"/>
      <c r="J17" s="83" t="s">
        <v>42</v>
      </c>
      <c r="K17" s="83"/>
      <c r="L17" s="281"/>
      <c r="M17" s="153"/>
      <c r="N17" s="266"/>
      <c r="O17" s="266"/>
      <c r="P17" s="25"/>
      <c r="Q17" s="25"/>
      <c r="R17" s="96"/>
      <c r="S17" s="96"/>
      <c r="T17" s="439"/>
      <c r="U17" s="96"/>
    </row>
    <row r="18" customFormat="false" ht="25.5" hidden="false" customHeight="true" outlineLevel="0" collapsed="false">
      <c r="A18" s="79" t="s">
        <v>197</v>
      </c>
      <c r="B18" s="279" t="s">
        <v>435</v>
      </c>
      <c r="C18" s="279"/>
      <c r="D18" s="279"/>
      <c r="E18" s="24" t="n">
        <f aca="false">D7*1</f>
        <v>1</v>
      </c>
      <c r="F18" s="24" t="n">
        <f aca="false">C7-50</f>
        <v>950</v>
      </c>
      <c r="G18" s="24"/>
      <c r="H18" s="83" t="s">
        <v>17</v>
      </c>
      <c r="I18" s="83"/>
      <c r="J18" s="83" t="s">
        <v>42</v>
      </c>
      <c r="K18" s="363"/>
      <c r="L18" s="281"/>
      <c r="M18" s="471"/>
      <c r="N18" s="268"/>
      <c r="O18" s="280"/>
      <c r="P18" s="120"/>
      <c r="Q18" s="120"/>
      <c r="R18" s="96"/>
      <c r="S18" s="96"/>
      <c r="T18" s="439"/>
      <c r="U18" s="96"/>
    </row>
    <row r="19" customFormat="false" ht="22.5" hidden="false" customHeight="true" outlineLevel="0" collapsed="false">
      <c r="A19" s="79" t="s">
        <v>200</v>
      </c>
      <c r="B19" s="279" t="s">
        <v>435</v>
      </c>
      <c r="C19" s="279"/>
      <c r="D19" s="279"/>
      <c r="E19" s="24" t="n">
        <f aca="false">D7*1</f>
        <v>1</v>
      </c>
      <c r="F19" s="24" t="n">
        <f aca="false">C7-50</f>
        <v>950</v>
      </c>
      <c r="G19" s="24"/>
      <c r="H19" s="83" t="s">
        <v>18</v>
      </c>
      <c r="I19" s="83"/>
      <c r="J19" s="83" t="s">
        <v>42</v>
      </c>
      <c r="K19" s="96"/>
      <c r="L19" s="283"/>
      <c r="M19" s="471"/>
      <c r="N19" s="268"/>
      <c r="O19" s="280"/>
      <c r="P19" s="120"/>
      <c r="Q19" s="120"/>
      <c r="R19" s="96"/>
      <c r="S19" s="96"/>
      <c r="T19" s="439"/>
      <c r="U19" s="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46" t="n">
        <f aca="false">D7*6</f>
        <v>6</v>
      </c>
      <c r="F20" s="24" t="n">
        <f aca="false">F15</f>
        <v>434.5</v>
      </c>
      <c r="G20" s="24"/>
      <c r="H20" s="83" t="s">
        <v>18</v>
      </c>
      <c r="I20" s="83"/>
      <c r="J20" s="83" t="s">
        <v>42</v>
      </c>
      <c r="K20" s="96"/>
      <c r="L20" s="283"/>
      <c r="M20" s="471"/>
      <c r="N20" s="268"/>
      <c r="O20" s="280"/>
      <c r="P20" s="120"/>
      <c r="Q20" s="120"/>
      <c r="R20" s="96"/>
      <c r="S20" s="96"/>
      <c r="T20" s="439"/>
      <c r="U20" s="96"/>
    </row>
    <row r="21" customFormat="false" ht="21" hidden="false" customHeight="true" outlineLevel="0" collapsed="false">
      <c r="A21" s="79" t="s">
        <v>188</v>
      </c>
      <c r="B21" s="80" t="s">
        <v>203</v>
      </c>
      <c r="C21" s="80"/>
      <c r="D21" s="80"/>
      <c r="E21" s="46" t="n">
        <f aca="false">D7*6</f>
        <v>6</v>
      </c>
      <c r="F21" s="97" t="n">
        <f aca="false">C7-152</f>
        <v>848</v>
      </c>
      <c r="G21" s="97"/>
      <c r="H21" s="28" t="s">
        <v>18</v>
      </c>
      <c r="I21" s="28"/>
      <c r="J21" s="83" t="s">
        <v>42</v>
      </c>
      <c r="K21" s="96"/>
      <c r="L21" s="283"/>
      <c r="M21" s="471"/>
      <c r="N21" s="268"/>
      <c r="O21" s="280"/>
      <c r="P21" s="120"/>
      <c r="Q21" s="120"/>
      <c r="R21" s="96"/>
      <c r="S21" s="96"/>
      <c r="T21" s="439"/>
      <c r="U21" s="96"/>
    </row>
    <row r="22" customFormat="false" ht="26.25" hidden="false" customHeight="true" outlineLevel="0" collapsed="false">
      <c r="A22" s="79" t="s">
        <v>512</v>
      </c>
      <c r="B22" s="80" t="s">
        <v>521</v>
      </c>
      <c r="C22" s="80"/>
      <c r="D22" s="80"/>
      <c r="E22" s="46" t="n">
        <f aca="false">D7*2</f>
        <v>2</v>
      </c>
      <c r="F22" s="24" t="n">
        <f aca="false">(B7-117)/2</f>
        <v>441.5</v>
      </c>
      <c r="G22" s="24"/>
      <c r="H22" s="83" t="s">
        <v>18</v>
      </c>
      <c r="I22" s="83"/>
      <c r="J22" s="83" t="s">
        <v>42</v>
      </c>
      <c r="K22" s="96"/>
      <c r="L22" s="283"/>
      <c r="M22" s="471"/>
      <c r="N22" s="268"/>
      <c r="O22" s="280"/>
      <c r="P22" s="120"/>
      <c r="Q22" s="120"/>
      <c r="R22" s="96"/>
      <c r="S22" s="96"/>
      <c r="T22" s="439"/>
      <c r="U22" s="96"/>
    </row>
    <row r="23" customFormat="false" ht="26.25" hidden="false" customHeight="true" outlineLevel="0" collapsed="false">
      <c r="A23" s="79" t="s">
        <v>512</v>
      </c>
      <c r="B23" s="80" t="s">
        <v>521</v>
      </c>
      <c r="C23" s="80"/>
      <c r="D23" s="80"/>
      <c r="E23" s="46" t="n">
        <f aca="false">D7*2</f>
        <v>2</v>
      </c>
      <c r="F23" s="97" t="n">
        <f aca="false">C7-152</f>
        <v>848</v>
      </c>
      <c r="G23" s="97"/>
      <c r="H23" s="83" t="s">
        <v>18</v>
      </c>
      <c r="I23" s="83"/>
      <c r="J23" s="83" t="s">
        <v>42</v>
      </c>
      <c r="K23" s="451"/>
      <c r="L23" s="283"/>
      <c r="M23" s="471"/>
      <c r="N23" s="284"/>
      <c r="O23" s="280"/>
      <c r="P23" s="120"/>
      <c r="Q23" s="120"/>
      <c r="R23" s="96"/>
      <c r="S23" s="96"/>
      <c r="T23" s="439"/>
      <c r="U23" s="96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286"/>
      <c r="M24" s="472"/>
      <c r="N24" s="285"/>
      <c r="O24" s="288"/>
      <c r="P24" s="209"/>
      <c r="Q24" s="209"/>
      <c r="R24" s="290"/>
      <c r="S24" s="290"/>
      <c r="T24" s="292"/>
      <c r="U24" s="290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9.049645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904.9645</v>
      </c>
      <c r="N26" s="302"/>
      <c r="O26" s="303" t="n">
        <v>0.1</v>
      </c>
      <c r="P26" s="85" t="n">
        <f aca="false">K30*O26+K30</f>
        <v>497.730475</v>
      </c>
      <c r="Q26" s="85"/>
      <c r="R26" s="85"/>
      <c r="S26" s="181" t="s">
        <v>131</v>
      </c>
      <c r="T26" s="181"/>
      <c r="U26" s="294" t="n">
        <f aca="false">SUM(U3:U24)</f>
        <v>38.718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29.668355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1935.9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452.48225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</row>
    <row r="35" customFormat="false" ht="15" hidden="false" customHeight="true" outlineLevel="0" collapsed="false">
      <c r="A35" s="104" t="s">
        <v>51</v>
      </c>
      <c r="B35" s="473" t="s">
        <v>26</v>
      </c>
      <c r="C35" s="473"/>
      <c r="D35" s="473"/>
      <c r="E35" s="473"/>
      <c r="F35" s="473"/>
      <c r="G35" s="473"/>
      <c r="H35" s="227" t="s">
        <v>5</v>
      </c>
      <c r="I35" s="20" t="s">
        <v>207</v>
      </c>
      <c r="J35" s="20"/>
      <c r="K35" s="93"/>
      <c r="L35" s="93"/>
      <c r="M35" s="93"/>
      <c r="N35" s="93"/>
      <c r="O35" s="109"/>
      <c r="P35" s="109"/>
      <c r="Q35" s="109"/>
      <c r="R35" s="109"/>
    </row>
    <row r="36" customFormat="false" ht="27" hidden="false" customHeight="true" outlineLevel="0" collapsed="false">
      <c r="A36" s="313" t="s">
        <v>522</v>
      </c>
      <c r="B36" s="426" t="s">
        <v>498</v>
      </c>
      <c r="C36" s="426"/>
      <c r="D36" s="426"/>
      <c r="E36" s="426"/>
      <c r="F36" s="426"/>
      <c r="G36" s="426"/>
      <c r="H36" s="397" t="s">
        <v>64</v>
      </c>
      <c r="I36" s="72" t="n">
        <f aca="false">D7*3</f>
        <v>3</v>
      </c>
      <c r="J36" s="72"/>
      <c r="K36" s="249"/>
      <c r="L36" s="94"/>
      <c r="M36" s="249"/>
      <c r="N36" s="94"/>
      <c r="O36" s="109"/>
      <c r="P36" s="387" t="s">
        <v>493</v>
      </c>
      <c r="Q36" s="109" t="n">
        <f aca="false">F11*E11</f>
        <v>974</v>
      </c>
      <c r="R36" s="109"/>
    </row>
    <row r="37" customFormat="false" ht="27" hidden="false" customHeight="true" outlineLevel="0" collapsed="false">
      <c r="A37" s="319" t="s">
        <v>523</v>
      </c>
      <c r="B37" s="427" t="s">
        <v>524</v>
      </c>
      <c r="C37" s="427"/>
      <c r="D37" s="427"/>
      <c r="E37" s="427"/>
      <c r="F37" s="427"/>
      <c r="G37" s="427"/>
      <c r="H37" s="96" t="s">
        <v>64</v>
      </c>
      <c r="I37" s="83" t="n">
        <f aca="false">D7*3</f>
        <v>3</v>
      </c>
      <c r="J37" s="83"/>
      <c r="K37" s="249"/>
      <c r="L37" s="94"/>
      <c r="M37" s="249"/>
      <c r="N37" s="94"/>
      <c r="O37" s="109"/>
      <c r="P37" s="387" t="s">
        <v>494</v>
      </c>
      <c r="Q37" s="109" t="n">
        <f aca="false">F12*E12</f>
        <v>974</v>
      </c>
      <c r="R37" s="109"/>
    </row>
    <row r="38" customFormat="false" ht="23.25" hidden="false" customHeight="true" outlineLevel="0" collapsed="false">
      <c r="A38" s="319" t="s">
        <v>499</v>
      </c>
      <c r="B38" s="427" t="s">
        <v>500</v>
      </c>
      <c r="C38" s="427"/>
      <c r="D38" s="427"/>
      <c r="E38" s="427"/>
      <c r="F38" s="427"/>
      <c r="G38" s="427"/>
      <c r="H38" s="96" t="s">
        <v>64</v>
      </c>
      <c r="I38" s="83" t="n">
        <f aca="false">D7*3</f>
        <v>3</v>
      </c>
      <c r="J38" s="83"/>
      <c r="K38" s="249"/>
      <c r="L38" s="94"/>
      <c r="M38" s="249"/>
      <c r="N38" s="94"/>
      <c r="O38" s="109"/>
      <c r="P38" s="387" t="s">
        <v>501</v>
      </c>
      <c r="Q38" s="109" t="n">
        <f aca="false">F13*E13</f>
        <v>1000</v>
      </c>
      <c r="R38" s="109"/>
    </row>
    <row r="39" customFormat="false" ht="23.25" hidden="false" customHeight="true" outlineLevel="0" collapsed="false">
      <c r="A39" s="319" t="s">
        <v>502</v>
      </c>
      <c r="B39" s="427" t="s">
        <v>236</v>
      </c>
      <c r="C39" s="427"/>
      <c r="D39" s="427"/>
      <c r="E39" s="427"/>
      <c r="F39" s="427"/>
      <c r="G39" s="427"/>
      <c r="H39" s="96" t="s">
        <v>64</v>
      </c>
      <c r="I39" s="83" t="n">
        <f aca="false">D7*6</f>
        <v>6</v>
      </c>
      <c r="J39" s="83"/>
      <c r="K39" s="249"/>
      <c r="L39" s="94"/>
      <c r="M39" s="249"/>
      <c r="N39" s="94"/>
      <c r="O39" s="109"/>
      <c r="P39" s="387" t="s">
        <v>520</v>
      </c>
      <c r="Q39" s="109" t="n">
        <f aca="false">F14*E14</f>
        <v>1000</v>
      </c>
      <c r="R39" s="109"/>
    </row>
    <row r="40" customFormat="false" ht="23.25" hidden="false" customHeight="true" outlineLevel="0" collapsed="false">
      <c r="A40" s="319" t="s">
        <v>525</v>
      </c>
      <c r="B40" s="427" t="s">
        <v>526</v>
      </c>
      <c r="C40" s="427"/>
      <c r="D40" s="427"/>
      <c r="E40" s="427"/>
      <c r="F40" s="427"/>
      <c r="G40" s="427"/>
      <c r="H40" s="96" t="s">
        <v>46</v>
      </c>
      <c r="I40" s="83" t="n">
        <f aca="false">C7*6*D7</f>
        <v>6000</v>
      </c>
      <c r="J40" s="83"/>
      <c r="K40" s="249"/>
      <c r="L40" s="94"/>
      <c r="M40" s="249"/>
      <c r="N40" s="94"/>
      <c r="O40" s="109"/>
      <c r="P40" s="387" t="s">
        <v>201</v>
      </c>
      <c r="Q40" s="109" t="n">
        <f aca="false">F15*E15</f>
        <v>2607</v>
      </c>
      <c r="R40" s="109"/>
    </row>
    <row r="41" customFormat="false" ht="23.25" hidden="false" customHeight="true" outlineLevel="0" collapsed="false">
      <c r="A41" s="319" t="s">
        <v>527</v>
      </c>
      <c r="B41" s="427" t="s">
        <v>528</v>
      </c>
      <c r="C41" s="427"/>
      <c r="D41" s="427"/>
      <c r="E41" s="427"/>
      <c r="F41" s="427"/>
      <c r="G41" s="427"/>
      <c r="H41" s="96" t="s">
        <v>46</v>
      </c>
      <c r="I41" s="83" t="n">
        <f aca="false">B7*1+C7*2*D7</f>
        <v>3000</v>
      </c>
      <c r="J41" s="83"/>
      <c r="K41" s="249"/>
      <c r="L41" s="94"/>
      <c r="M41" s="249"/>
      <c r="N41" s="94"/>
      <c r="O41" s="109"/>
      <c r="P41" s="387" t="s">
        <v>503</v>
      </c>
      <c r="Q41" s="109" t="n">
        <f aca="false">F16*E16</f>
        <v>950</v>
      </c>
      <c r="R41" s="109"/>
    </row>
    <row r="42" customFormat="false" ht="23.25" hidden="false" customHeight="true" outlineLevel="0" collapsed="false">
      <c r="A42" s="319" t="s">
        <v>504</v>
      </c>
      <c r="B42" s="427" t="s">
        <v>226</v>
      </c>
      <c r="C42" s="427"/>
      <c r="D42" s="427"/>
      <c r="E42" s="427"/>
      <c r="F42" s="427"/>
      <c r="G42" s="427"/>
      <c r="H42" s="96" t="s">
        <v>64</v>
      </c>
      <c r="I42" s="83" t="n">
        <f aca="false">D7*2</f>
        <v>2</v>
      </c>
      <c r="J42" s="83"/>
      <c r="K42" s="249"/>
      <c r="L42" s="94"/>
      <c r="M42" s="249"/>
      <c r="N42" s="94"/>
      <c r="O42" s="109"/>
      <c r="P42" s="387" t="s">
        <v>193</v>
      </c>
      <c r="Q42" s="109" t="n">
        <f aca="false">F17*E17</f>
        <v>2850</v>
      </c>
      <c r="R42" s="109"/>
    </row>
    <row r="43" customFormat="false" ht="23.25" hidden="false" customHeight="true" outlineLevel="0" collapsed="false">
      <c r="A43" s="319" t="s">
        <v>505</v>
      </c>
      <c r="B43" s="427" t="s">
        <v>506</v>
      </c>
      <c r="C43" s="427"/>
      <c r="D43" s="427"/>
      <c r="E43" s="427"/>
      <c r="F43" s="427"/>
      <c r="G43" s="427"/>
      <c r="H43" s="96" t="s">
        <v>64</v>
      </c>
      <c r="I43" s="428" t="n">
        <f aca="false">D7*12</f>
        <v>12</v>
      </c>
      <c r="J43" s="428"/>
      <c r="K43" s="93"/>
      <c r="L43" s="93"/>
      <c r="M43" s="249"/>
      <c r="N43" s="93"/>
      <c r="O43" s="109"/>
      <c r="P43" s="387" t="s">
        <v>197</v>
      </c>
      <c r="Q43" s="109" t="n">
        <f aca="false">F18*E18</f>
        <v>950</v>
      </c>
      <c r="R43" s="109"/>
    </row>
    <row r="44" customFormat="false" ht="23.25" hidden="false" customHeight="true" outlineLevel="0" collapsed="false">
      <c r="A44" s="319" t="s">
        <v>507</v>
      </c>
      <c r="B44" s="427" t="s">
        <v>230</v>
      </c>
      <c r="C44" s="427"/>
      <c r="D44" s="427"/>
      <c r="E44" s="427"/>
      <c r="F44" s="427"/>
      <c r="G44" s="427"/>
      <c r="H44" s="96" t="s">
        <v>64</v>
      </c>
      <c r="I44" s="428" t="n">
        <f aca="false">D7*2</f>
        <v>2</v>
      </c>
      <c r="J44" s="428"/>
      <c r="K44" s="93"/>
      <c r="L44" s="93"/>
      <c r="M44" s="249"/>
      <c r="N44" s="94"/>
      <c r="O44" s="109"/>
      <c r="P44" s="387" t="s">
        <v>200</v>
      </c>
      <c r="Q44" s="109" t="n">
        <f aca="false">F19*E19</f>
        <v>950</v>
      </c>
      <c r="R44" s="109"/>
    </row>
    <row r="45" customFormat="false" ht="23.25" hidden="false" customHeight="true" outlineLevel="0" collapsed="false">
      <c r="A45" s="319" t="s">
        <v>508</v>
      </c>
      <c r="B45" s="427" t="s">
        <v>509</v>
      </c>
      <c r="C45" s="427"/>
      <c r="D45" s="427"/>
      <c r="E45" s="427"/>
      <c r="F45" s="427"/>
      <c r="G45" s="427"/>
      <c r="H45" s="96" t="s">
        <v>64</v>
      </c>
      <c r="I45" s="428" t="n">
        <f aca="false">D7*6</f>
        <v>6</v>
      </c>
      <c r="J45" s="428"/>
      <c r="K45" s="93"/>
      <c r="L45" s="93"/>
      <c r="M45" s="93"/>
      <c r="N45" s="93"/>
      <c r="O45" s="109"/>
      <c r="P45" s="387" t="s">
        <v>188</v>
      </c>
      <c r="Q45" s="109" t="n">
        <f aca="false">F20*E20+E21*F21</f>
        <v>7695</v>
      </c>
      <c r="R45" s="109"/>
    </row>
    <row r="46" customFormat="false" ht="23.25" hidden="false" customHeight="true" outlineLevel="0" collapsed="false">
      <c r="A46" s="319" t="s">
        <v>510</v>
      </c>
      <c r="B46" s="431" t="s">
        <v>511</v>
      </c>
      <c r="C46" s="431"/>
      <c r="D46" s="431"/>
      <c r="E46" s="431"/>
      <c r="F46" s="431"/>
      <c r="G46" s="431"/>
      <c r="H46" s="96" t="s">
        <v>64</v>
      </c>
      <c r="I46" s="428" t="n">
        <f aca="false">D7*12</f>
        <v>12</v>
      </c>
      <c r="J46" s="428"/>
      <c r="K46" s="93"/>
      <c r="L46" s="93"/>
      <c r="M46" s="93"/>
      <c r="N46" s="93"/>
      <c r="O46" s="109"/>
      <c r="P46" s="387" t="s">
        <v>512</v>
      </c>
      <c r="Q46" s="109" t="n">
        <f aca="false">F22*E22+E23*F23</f>
        <v>2579</v>
      </c>
      <c r="R46" s="109"/>
    </row>
    <row r="47" customFormat="false" ht="23.25" hidden="false" customHeight="true" outlineLevel="0" collapsed="false">
      <c r="A47" s="319" t="s">
        <v>529</v>
      </c>
      <c r="B47" s="431" t="s">
        <v>530</v>
      </c>
      <c r="C47" s="431"/>
      <c r="D47" s="431"/>
      <c r="E47" s="431"/>
      <c r="F47" s="431"/>
      <c r="G47" s="431"/>
      <c r="H47" s="96" t="s">
        <v>64</v>
      </c>
      <c r="I47" s="83" t="n">
        <f aca="false">D7*12</f>
        <v>12</v>
      </c>
      <c r="J47" s="83"/>
      <c r="K47" s="93"/>
      <c r="L47" s="93"/>
      <c r="M47" s="93"/>
      <c r="N47" s="93"/>
      <c r="O47" s="109"/>
      <c r="P47" s="109"/>
      <c r="Q47" s="109"/>
      <c r="R47" s="109"/>
    </row>
    <row r="48" customFormat="false" ht="23.25" hidden="false" customHeight="true" outlineLevel="0" collapsed="false">
      <c r="A48" s="128" t="s">
        <v>513</v>
      </c>
      <c r="B48" s="433" t="s">
        <v>514</v>
      </c>
      <c r="C48" s="433"/>
      <c r="D48" s="433"/>
      <c r="E48" s="433"/>
      <c r="F48" s="433"/>
      <c r="G48" s="433"/>
      <c r="H48" s="26" t="s">
        <v>46</v>
      </c>
      <c r="I48" s="120" t="n">
        <f aca="false">B7*2+C7*4*D7</f>
        <v>6000</v>
      </c>
      <c r="J48" s="120"/>
      <c r="K48" s="93"/>
      <c r="L48" s="93"/>
      <c r="M48" s="93"/>
      <c r="N48" s="93"/>
      <c r="O48" s="93"/>
      <c r="P48" s="93"/>
      <c r="Q48" s="93"/>
      <c r="R48" s="93"/>
    </row>
    <row r="49" customFormat="false" ht="23.25" hidden="false" customHeight="true" outlineLevel="0" collapsed="false">
      <c r="A49" s="128" t="s">
        <v>237</v>
      </c>
      <c r="B49" s="431" t="s">
        <v>238</v>
      </c>
      <c r="C49" s="431"/>
      <c r="D49" s="431"/>
      <c r="E49" s="431"/>
      <c r="F49" s="431"/>
      <c r="G49" s="431"/>
      <c r="H49" s="96" t="s">
        <v>46</v>
      </c>
      <c r="I49" s="83" t="n">
        <f aca="false">C7*2*D7</f>
        <v>2000</v>
      </c>
      <c r="J49" s="83"/>
      <c r="K49" s="93"/>
      <c r="L49" s="93"/>
      <c r="M49" s="93"/>
      <c r="N49" s="93"/>
      <c r="O49" s="93"/>
      <c r="P49" s="93"/>
      <c r="Q49" s="93"/>
      <c r="R49" s="93"/>
    </row>
    <row r="50" customFormat="false" ht="23.25" hidden="false" customHeight="true" outlineLevel="0" collapsed="false">
      <c r="A50" s="128" t="s">
        <v>531</v>
      </c>
      <c r="B50" s="431" t="s">
        <v>238</v>
      </c>
      <c r="C50" s="431"/>
      <c r="D50" s="431"/>
      <c r="E50" s="431"/>
      <c r="F50" s="431"/>
      <c r="G50" s="431"/>
      <c r="H50" s="96" t="s">
        <v>46</v>
      </c>
      <c r="I50" s="434" t="n">
        <f aca="false">B7*2*D7</f>
        <v>2000</v>
      </c>
      <c r="J50" s="434"/>
      <c r="K50" s="93"/>
      <c r="L50" s="93"/>
      <c r="M50" s="93"/>
      <c r="N50" s="93"/>
      <c r="O50" s="93"/>
      <c r="P50" s="93"/>
      <c r="Q50" s="93"/>
      <c r="R50" s="93"/>
    </row>
    <row r="51" customFormat="false" ht="21" hidden="false" customHeight="true" outlineLevel="0" collapsed="false">
      <c r="A51" s="128" t="s">
        <v>515</v>
      </c>
      <c r="B51" s="431" t="s">
        <v>516</v>
      </c>
      <c r="C51" s="431"/>
      <c r="D51" s="431"/>
      <c r="E51" s="431"/>
      <c r="F51" s="431"/>
      <c r="G51" s="431"/>
      <c r="H51" s="96" t="s">
        <v>46</v>
      </c>
      <c r="I51" s="120" t="n">
        <f aca="false">C7*2*D7</f>
        <v>2000</v>
      </c>
      <c r="J51" s="120"/>
      <c r="K51" s="93"/>
      <c r="L51" s="93"/>
      <c r="M51" s="93"/>
      <c r="N51" s="93"/>
      <c r="O51" s="93"/>
      <c r="P51" s="93"/>
      <c r="Q51" s="93"/>
      <c r="R51" s="93"/>
    </row>
    <row r="52" customFormat="false" ht="23.25" hidden="false" customHeight="true" outlineLevel="0" collapsed="false">
      <c r="A52" s="379" t="s">
        <v>517</v>
      </c>
      <c r="B52" s="436" t="s">
        <v>518</v>
      </c>
      <c r="C52" s="436"/>
      <c r="D52" s="436"/>
      <c r="E52" s="436"/>
      <c r="F52" s="436"/>
      <c r="G52" s="436"/>
      <c r="H52" s="290" t="s">
        <v>46</v>
      </c>
      <c r="I52" s="209" t="n">
        <f aca="false">B7*4+C7*2*D7</f>
        <v>6000</v>
      </c>
      <c r="J52" s="209"/>
      <c r="K52" s="93"/>
      <c r="L52" s="93"/>
      <c r="M52" s="93"/>
      <c r="N52" s="93"/>
      <c r="O52" s="93"/>
      <c r="P52" s="93"/>
      <c r="Q52" s="93"/>
      <c r="R52" s="93"/>
    </row>
    <row r="53" customFormat="false" ht="23.25" hidden="false" customHeight="true" outlineLevel="0" collapsed="false">
      <c r="A53" s="475"/>
      <c r="K53" s="93"/>
      <c r="L53" s="93"/>
      <c r="M53" s="93"/>
      <c r="N53" s="93"/>
      <c r="O53" s="93"/>
      <c r="P53" s="93"/>
      <c r="Q53" s="93"/>
      <c r="R53" s="93"/>
    </row>
    <row r="54" customFormat="false" ht="19.5" hidden="false" customHeight="true" outlineLevel="0" collapsed="false">
      <c r="K54" s="93"/>
      <c r="L54" s="93"/>
      <c r="M54" s="93"/>
      <c r="N54" s="93"/>
      <c r="O54" s="93"/>
      <c r="P54" s="93"/>
      <c r="Q54" s="93"/>
      <c r="R54" s="93"/>
    </row>
    <row r="55" customFormat="false" ht="21" hidden="false" customHeight="true" outlineLevel="0" collapsed="false">
      <c r="K55" s="93"/>
      <c r="L55" s="93"/>
      <c r="M55" s="93"/>
      <c r="N55" s="93"/>
      <c r="O55" s="93"/>
      <c r="P55" s="93"/>
      <c r="Q55" s="93"/>
      <c r="R55" s="93"/>
    </row>
    <row r="56" customFormat="false" ht="15" hidden="false" customHeight="false" outlineLevel="0" collapsed="false">
      <c r="K56" s="93"/>
      <c r="L56" s="93"/>
      <c r="M56" s="93"/>
      <c r="N56" s="93"/>
      <c r="O56" s="93"/>
      <c r="P56" s="93"/>
      <c r="Q56" s="93"/>
      <c r="R56" s="93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532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57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79" t="s">
        <v>533</v>
      </c>
      <c r="L3" s="257" t="n">
        <f aca="false">IF(L34&gt;6000,L34/6000,1)</f>
        <v>1</v>
      </c>
      <c r="M3" s="15" t="n">
        <f aca="false">ROUNDUP(L3,0)</f>
        <v>1</v>
      </c>
      <c r="N3" s="259" t="n">
        <f aca="false">1.301*6*K26</f>
        <v>390.3</v>
      </c>
      <c r="O3" s="259"/>
      <c r="P3" s="259" t="n">
        <f aca="false">N3*M3</f>
        <v>390.3</v>
      </c>
      <c r="Q3" s="259"/>
      <c r="R3" s="397" t="str">
        <f aca="false">F5</f>
        <v>BRANCO</v>
      </c>
      <c r="S3" s="261" t="n">
        <v>6000</v>
      </c>
      <c r="T3" s="476" t="n">
        <f aca="false">L34*1.301/1000</f>
        <v>2.544756</v>
      </c>
      <c r="U3" s="263" t="n">
        <f aca="false">M3*7.806</f>
        <v>7.806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534</v>
      </c>
      <c r="L4" s="265" t="n">
        <f aca="false">IF(L35&gt;6000,L35/6000,1)</f>
        <v>1</v>
      </c>
      <c r="M4" s="24" t="n">
        <f aca="false">ROUNDUP(L4,0)</f>
        <v>1</v>
      </c>
      <c r="N4" s="266" t="n">
        <f aca="false">0.688*6*K26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268" t="n">
        <v>6000</v>
      </c>
      <c r="T4" s="476" t="n">
        <f aca="false">L35*0.688/1000</f>
        <v>1.345728</v>
      </c>
      <c r="U4" s="262" t="n">
        <f aca="false">M4*8.4</f>
        <v>8.4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535</v>
      </c>
      <c r="L5" s="265" t="n">
        <f aca="false">IF(L36&gt;6000,L36/6000,1)</f>
        <v>1</v>
      </c>
      <c r="M5" s="24" t="n">
        <f aca="false">ROUNDUP(L5,0)</f>
        <v>1</v>
      </c>
      <c r="N5" s="266" t="n">
        <f aca="false">0.669*6*K26</f>
        <v>200.7</v>
      </c>
      <c r="O5" s="266"/>
      <c r="P5" s="266" t="n">
        <f aca="false">N5*M5</f>
        <v>200.7</v>
      </c>
      <c r="Q5" s="266"/>
      <c r="R5" s="96" t="str">
        <f aca="false">F5</f>
        <v>BRANCO</v>
      </c>
      <c r="S5" s="268" t="n">
        <v>6000</v>
      </c>
      <c r="T5" s="476" t="n">
        <f aca="false">L36*0.669/1000</f>
        <v>1.308564</v>
      </c>
      <c r="U5" s="262" t="n">
        <f aca="false">M5*5.286</f>
        <v>5.286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536</v>
      </c>
      <c r="L6" s="265" t="n">
        <f aca="false">IF(L37&gt;6000,L37/6000,1)</f>
        <v>1</v>
      </c>
      <c r="M6" s="24" t="n">
        <f aca="false">ROUNDUP(L6,0)</f>
        <v>1</v>
      </c>
      <c r="N6" s="266" t="n">
        <f aca="false">1.027*6*K26</f>
        <v>308.1</v>
      </c>
      <c r="O6" s="266"/>
      <c r="P6" s="266" t="n">
        <f aca="false">N6*M6</f>
        <v>308.1</v>
      </c>
      <c r="Q6" s="266"/>
      <c r="R6" s="96" t="str">
        <f aca="false">F5</f>
        <v>BRANCO</v>
      </c>
      <c r="S6" s="268" t="n">
        <v>4600</v>
      </c>
      <c r="T6" s="476" t="n">
        <f aca="false">L37*1.027/1000</f>
        <v>4.28259</v>
      </c>
      <c r="U6" s="262" t="n">
        <f aca="false">M6*7.986</f>
        <v>7.986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79" t="s">
        <v>186</v>
      </c>
      <c r="L7" s="265" t="n">
        <f aca="false">IF(L38&gt;6000,L38/6000,1)</f>
        <v>1</v>
      </c>
      <c r="M7" s="24" t="n">
        <f aca="false">ROUNDUP(L7,0)</f>
        <v>1</v>
      </c>
      <c r="N7" s="266" t="n">
        <f aca="false">0.762*6*K26</f>
        <v>228.6</v>
      </c>
      <c r="O7" s="266"/>
      <c r="P7" s="266" t="n">
        <f aca="false">N7*M7</f>
        <v>228.6</v>
      </c>
      <c r="Q7" s="266"/>
      <c r="R7" s="96" t="str">
        <f aca="false">F5</f>
        <v>BRANCO</v>
      </c>
      <c r="S7" s="268" t="n">
        <v>4600</v>
      </c>
      <c r="T7" s="476" t="n">
        <f aca="false">L38*0.762/1000</f>
        <v>1.490472</v>
      </c>
      <c r="U7" s="262" t="n">
        <f aca="false">M7*4.014</f>
        <v>4.014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79" t="s">
        <v>537</v>
      </c>
      <c r="L8" s="265" t="n">
        <f aca="false">IF(L39&gt;6000,L39/6000,1)</f>
        <v>1</v>
      </c>
      <c r="M8" s="24" t="n">
        <f aca="false">ROUNDUP(L8,0)</f>
        <v>1</v>
      </c>
      <c r="N8" s="266" t="n">
        <f aca="false">1.4*6*K26</f>
        <v>420</v>
      </c>
      <c r="O8" s="266"/>
      <c r="P8" s="266" t="n">
        <f aca="false">N8*M8</f>
        <v>420</v>
      </c>
      <c r="Q8" s="266"/>
      <c r="R8" s="96" t="str">
        <f aca="false">F5</f>
        <v>BRANCO</v>
      </c>
      <c r="S8" s="268" t="n">
        <v>4600</v>
      </c>
      <c r="T8" s="476" t="n">
        <f aca="false">L39*1.4/1000</f>
        <v>2.7384</v>
      </c>
      <c r="U8" s="262" t="n">
        <f aca="false">M8*4.572</f>
        <v>4.572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(B7-203)/2</f>
        <v>898.5</v>
      </c>
      <c r="F9" s="390" t="n">
        <f aca="false">C7-336</f>
        <v>1764</v>
      </c>
      <c r="G9" s="270"/>
      <c r="H9" s="270"/>
      <c r="I9" s="270"/>
      <c r="J9" s="270"/>
      <c r="K9" s="79" t="s">
        <v>538</v>
      </c>
      <c r="L9" s="265" t="n">
        <f aca="false">IF(L40&gt;6000,L40/6000,1)</f>
        <v>1</v>
      </c>
      <c r="M9" s="24" t="n">
        <f aca="false">ROUNDUP(L9,0)</f>
        <v>1</v>
      </c>
      <c r="N9" s="266" t="n">
        <f aca="false">0.783*6*K26</f>
        <v>234.9</v>
      </c>
      <c r="O9" s="266"/>
      <c r="P9" s="266" t="n">
        <f aca="false">N9*M9</f>
        <v>234.9</v>
      </c>
      <c r="Q9" s="266"/>
      <c r="R9" s="96" t="str">
        <f aca="false">R8</f>
        <v>BRANCO</v>
      </c>
      <c r="S9" s="268" t="n">
        <v>6000</v>
      </c>
      <c r="T9" s="476" t="n">
        <f aca="false">L40*0.783/1000</f>
        <v>1.531548</v>
      </c>
      <c r="U9" s="262" t="n">
        <f aca="false">M9*8.97</f>
        <v>8.97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79" t="s">
        <v>539</v>
      </c>
      <c r="L10" s="265" t="n">
        <f aca="false">IF(L41&gt;6000,L41/6000,1)</f>
        <v>1</v>
      </c>
      <c r="M10" s="24" t="n">
        <f aca="false">ROUNDUP(L10,0)</f>
        <v>1</v>
      </c>
      <c r="N10" s="277" t="n">
        <f aca="false">0.878*6*K26</f>
        <v>263.4</v>
      </c>
      <c r="O10" s="277"/>
      <c r="P10" s="277" t="n">
        <f aca="false">N10*M10</f>
        <v>263.4</v>
      </c>
      <c r="Q10" s="277"/>
      <c r="R10" s="96" t="str">
        <f aca="false">F5</f>
        <v>BRANCO</v>
      </c>
      <c r="S10" s="268" t="n">
        <v>6000</v>
      </c>
      <c r="T10" s="476" t="n">
        <f aca="false">L41*0.878/1000</f>
        <v>1.717368</v>
      </c>
      <c r="U10" s="262" t="n">
        <f aca="false">M10*6.558</f>
        <v>6.558</v>
      </c>
    </row>
    <row r="11" customFormat="false" ht="25.5" hidden="false" customHeight="true" outlineLevel="0" collapsed="false">
      <c r="A11" s="67" t="s">
        <v>533</v>
      </c>
      <c r="B11" s="278"/>
      <c r="C11" s="278"/>
      <c r="D11" s="278"/>
      <c r="E11" s="15" t="n">
        <f aca="false">D7*1</f>
        <v>1</v>
      </c>
      <c r="F11" s="69" t="n">
        <f aca="false">B7-44</f>
        <v>1956</v>
      </c>
      <c r="G11" s="69"/>
      <c r="H11" s="72" t="s">
        <v>17</v>
      </c>
      <c r="I11" s="72"/>
      <c r="J11" s="72" t="s">
        <v>42</v>
      </c>
      <c r="K11" s="79" t="s">
        <v>540</v>
      </c>
      <c r="L11" s="265" t="n">
        <f aca="false">IF(L42&gt;6000,L42/6000,1)</f>
        <v>1</v>
      </c>
      <c r="M11" s="24" t="n">
        <f aca="false">ROUNDUP(L11,0)</f>
        <v>1</v>
      </c>
      <c r="N11" s="266" t="n">
        <f aca="false">0.71*6*K26</f>
        <v>213</v>
      </c>
      <c r="O11" s="266"/>
      <c r="P11" s="266" t="n">
        <f aca="false">N11*M11</f>
        <v>213</v>
      </c>
      <c r="Q11" s="266"/>
      <c r="R11" s="96" t="str">
        <f aca="false">F5</f>
        <v>BRANCO</v>
      </c>
      <c r="S11" s="268" t="n">
        <v>6000</v>
      </c>
      <c r="T11" s="476" t="n">
        <f aca="false">L42*0.71/1000</f>
        <v>2.65256</v>
      </c>
      <c r="U11" s="262" t="n">
        <f aca="false">M11*1.578</f>
        <v>1.578</v>
      </c>
    </row>
    <row r="12" customFormat="false" ht="25.5" hidden="false" customHeight="true" outlineLevel="0" collapsed="false">
      <c r="A12" s="79" t="s">
        <v>534</v>
      </c>
      <c r="B12" s="279"/>
      <c r="C12" s="279"/>
      <c r="D12" s="279"/>
      <c r="E12" s="24" t="n">
        <f aca="false">D7*1</f>
        <v>1</v>
      </c>
      <c r="F12" s="97" t="n">
        <f aca="false">B7-44</f>
        <v>1956</v>
      </c>
      <c r="G12" s="97"/>
      <c r="H12" s="83" t="s">
        <v>17</v>
      </c>
      <c r="I12" s="83"/>
      <c r="J12" s="83" t="s">
        <v>42</v>
      </c>
      <c r="K12" s="79" t="s">
        <v>541</v>
      </c>
      <c r="L12" s="265" t="n">
        <f aca="false">IF(L43&gt;6000,L43/6000,1)</f>
        <v>1</v>
      </c>
      <c r="M12" s="24" t="n">
        <f aca="false">ROUNDUP(L12,0)</f>
        <v>1</v>
      </c>
      <c r="N12" s="266" t="n">
        <f aca="false">0.881*6*K26</f>
        <v>264.3</v>
      </c>
      <c r="O12" s="266"/>
      <c r="P12" s="266" t="n">
        <f aca="false">N12*M12</f>
        <v>264.3</v>
      </c>
      <c r="Q12" s="266"/>
      <c r="R12" s="96" t="str">
        <f aca="false">F5</f>
        <v>BRANCO</v>
      </c>
      <c r="S12" s="268" t="n">
        <v>6000</v>
      </c>
      <c r="T12" s="476" t="n">
        <f aca="false">L43*0.881/1000</f>
        <v>1.679186</v>
      </c>
      <c r="U12" s="280" t="n">
        <f aca="false">M12*4.404</f>
        <v>4.404</v>
      </c>
    </row>
    <row r="13" customFormat="false" ht="25.5" hidden="false" customHeight="true" outlineLevel="0" collapsed="false">
      <c r="A13" s="79" t="s">
        <v>535</v>
      </c>
      <c r="B13" s="279"/>
      <c r="C13" s="279"/>
      <c r="D13" s="279"/>
      <c r="E13" s="24" t="n">
        <f aca="false">D7*1</f>
        <v>1</v>
      </c>
      <c r="F13" s="97" t="n">
        <f aca="false">B7-44</f>
        <v>1956</v>
      </c>
      <c r="G13" s="97"/>
      <c r="H13" s="83" t="s">
        <v>17</v>
      </c>
      <c r="I13" s="83"/>
      <c r="J13" s="83" t="s">
        <v>42</v>
      </c>
      <c r="K13" s="79" t="s">
        <v>542</v>
      </c>
      <c r="L13" s="265" t="n">
        <f aca="false">IF(L44&gt;6000,L44/6000,1)</f>
        <v>1</v>
      </c>
      <c r="M13" s="46" t="n">
        <f aca="false">ROUNDUP(L13,0)</f>
        <v>1</v>
      </c>
      <c r="N13" s="266" t="n">
        <f aca="false">0.255*6*K26</f>
        <v>76.5</v>
      </c>
      <c r="O13" s="266"/>
      <c r="P13" s="266" t="n">
        <f aca="false">N13*M13</f>
        <v>76.5</v>
      </c>
      <c r="Q13" s="266"/>
      <c r="R13" s="96" t="str">
        <f aca="false">F5</f>
        <v>BRANCO</v>
      </c>
      <c r="S13" s="268" t="n">
        <v>6000</v>
      </c>
      <c r="T13" s="476" t="n">
        <f aca="false">L44*0.255/1000</f>
        <v>0.95268</v>
      </c>
      <c r="U13" s="280" t="n">
        <f aca="false">M13*4.26</f>
        <v>4.26</v>
      </c>
    </row>
    <row r="14" customFormat="false" ht="25.5" hidden="false" customHeight="true" outlineLevel="0" collapsed="false">
      <c r="A14" s="79" t="s">
        <v>536</v>
      </c>
      <c r="B14" s="279"/>
      <c r="C14" s="279"/>
      <c r="D14" s="279"/>
      <c r="E14" s="24" t="n">
        <f aca="false">D7*2</f>
        <v>2</v>
      </c>
      <c r="F14" s="24" t="n">
        <f aca="false">C7-15</f>
        <v>2085</v>
      </c>
      <c r="G14" s="24"/>
      <c r="H14" s="83" t="s">
        <v>18</v>
      </c>
      <c r="I14" s="83"/>
      <c r="J14" s="83" t="s">
        <v>42</v>
      </c>
      <c r="K14" s="79" t="s">
        <v>201</v>
      </c>
      <c r="L14" s="265" t="n">
        <f aca="false">IF(L45&gt;6000,L45/6000,1)</f>
        <v>1</v>
      </c>
      <c r="M14" s="46" t="n">
        <f aca="false">ROUNDUP(L14,0)</f>
        <v>1</v>
      </c>
      <c r="N14" s="266" t="n">
        <f aca="false">0.507*6*K26</f>
        <v>152.1</v>
      </c>
      <c r="O14" s="266"/>
      <c r="P14" s="25" t="n">
        <f aca="false">N14*M14</f>
        <v>152.1</v>
      </c>
      <c r="Q14" s="25"/>
      <c r="R14" s="96" t="str">
        <f aca="false">F5</f>
        <v>BRANCO</v>
      </c>
      <c r="S14" s="268" t="n">
        <v>6000</v>
      </c>
      <c r="T14" s="476" t="n">
        <f aca="false">L45*0.507/1000</f>
        <v>0.935415</v>
      </c>
      <c r="U14" s="262" t="n">
        <f aca="false">M14*0.48</f>
        <v>0.48</v>
      </c>
    </row>
    <row r="15" customFormat="false" ht="25.5" hidden="false" customHeight="true" outlineLevel="0" collapsed="false">
      <c r="A15" s="79" t="s">
        <v>186</v>
      </c>
      <c r="B15" s="279"/>
      <c r="C15" s="279"/>
      <c r="D15" s="279"/>
      <c r="E15" s="46" t="n">
        <f aca="false">D7*1</f>
        <v>1</v>
      </c>
      <c r="F15" s="24" t="n">
        <f aca="false">B7-44</f>
        <v>1956</v>
      </c>
      <c r="G15" s="24"/>
      <c r="H15" s="83" t="s">
        <v>17</v>
      </c>
      <c r="I15" s="83"/>
      <c r="J15" s="83" t="s">
        <v>42</v>
      </c>
      <c r="K15" s="79" t="s">
        <v>543</v>
      </c>
      <c r="L15" s="265" t="n">
        <f aca="false">IF(L46&gt;6000,L46/6000,1)</f>
        <v>1</v>
      </c>
      <c r="M15" s="46" t="n">
        <f aca="false">ROUNDUP(L15,0)</f>
        <v>1</v>
      </c>
      <c r="N15" s="266" t="n">
        <f aca="false">0.989*6*K26</f>
        <v>296.7</v>
      </c>
      <c r="O15" s="266"/>
      <c r="P15" s="25" t="n">
        <f aca="false">N15*M15</f>
        <v>296.7</v>
      </c>
      <c r="Q15" s="25"/>
      <c r="R15" s="96" t="str">
        <f aca="false">F5</f>
        <v>BRANCO</v>
      </c>
      <c r="S15" s="268" t="n">
        <v>6000</v>
      </c>
      <c r="T15" s="476" t="n">
        <f aca="false">L46*0.989/1000</f>
        <v>1.824705</v>
      </c>
      <c r="U15" s="262" t="n">
        <f aca="false">M15*0.48</f>
        <v>0.48</v>
      </c>
    </row>
    <row r="16" customFormat="false" ht="25.5" hidden="false" customHeight="true" outlineLevel="0" collapsed="false">
      <c r="A16" s="79" t="s">
        <v>537</v>
      </c>
      <c r="B16" s="279"/>
      <c r="C16" s="279"/>
      <c r="D16" s="279"/>
      <c r="E16" s="24" t="n">
        <f aca="false">D7*1</f>
        <v>1</v>
      </c>
      <c r="F16" s="24" t="n">
        <f aca="false">B7-44</f>
        <v>1956</v>
      </c>
      <c r="G16" s="24"/>
      <c r="H16" s="83" t="s">
        <v>17</v>
      </c>
      <c r="I16" s="83"/>
      <c r="J16" s="83" t="s">
        <v>42</v>
      </c>
      <c r="K16" s="79" t="s">
        <v>193</v>
      </c>
      <c r="L16" s="265" t="n">
        <f aca="false">IF(L47&gt;6000,L47/6000,1)</f>
        <v>1</v>
      </c>
      <c r="M16" s="46" t="n">
        <f aca="false">ROUNDUP(L16,0)</f>
        <v>1</v>
      </c>
      <c r="N16" s="266" t="n">
        <f aca="false">0.52*6*K26</f>
        <v>156</v>
      </c>
      <c r="O16" s="266"/>
      <c r="P16" s="25" t="n">
        <f aca="false">N16*M16</f>
        <v>156</v>
      </c>
      <c r="Q16" s="25"/>
      <c r="R16" s="96" t="str">
        <f aca="false">F5</f>
        <v>BRANCO</v>
      </c>
      <c r="S16" s="268" t="n">
        <v>6000</v>
      </c>
      <c r="T16" s="476" t="n">
        <f aca="false">L47*0.52/1000</f>
        <v>1.87928</v>
      </c>
      <c r="U16" s="280" t="n">
        <f aca="false">M16*3.12</f>
        <v>3.12</v>
      </c>
    </row>
    <row r="17" customFormat="false" ht="25.5" hidden="false" customHeight="true" outlineLevel="0" collapsed="false">
      <c r="A17" s="79" t="s">
        <v>538</v>
      </c>
      <c r="B17" s="279"/>
      <c r="C17" s="279"/>
      <c r="D17" s="279"/>
      <c r="E17" s="24" t="n">
        <f aca="false">D7*1</f>
        <v>1</v>
      </c>
      <c r="F17" s="24" t="n">
        <f aca="false">B7-44</f>
        <v>1956</v>
      </c>
      <c r="G17" s="24"/>
      <c r="H17" s="83" t="s">
        <v>17</v>
      </c>
      <c r="I17" s="83"/>
      <c r="J17" s="83" t="s">
        <v>42</v>
      </c>
      <c r="K17" s="79" t="s">
        <v>197</v>
      </c>
      <c r="L17" s="265" t="n">
        <f aca="false">IF(L48&gt;6000,L48/6000,1)</f>
        <v>1</v>
      </c>
      <c r="M17" s="46" t="n">
        <f aca="false">ROUNDUP(L17,0)</f>
        <v>1</v>
      </c>
      <c r="N17" s="266" t="n">
        <f aca="false">0.48*6*K26</f>
        <v>144</v>
      </c>
      <c r="O17" s="266"/>
      <c r="P17" s="25" t="n">
        <f aca="false">N17*M17</f>
        <v>144</v>
      </c>
      <c r="Q17" s="25"/>
      <c r="R17" s="96" t="str">
        <f aca="false">F5</f>
        <v>BRANCO</v>
      </c>
      <c r="S17" s="268" t="n">
        <v>6000</v>
      </c>
      <c r="T17" s="476" t="n">
        <f aca="false">L48*0.48/1000</f>
        <v>0.86736</v>
      </c>
      <c r="U17" s="262" t="n">
        <f aca="false">M17*3.042</f>
        <v>3.042</v>
      </c>
    </row>
    <row r="18" customFormat="false" ht="25.5" hidden="false" customHeight="true" outlineLevel="0" collapsed="false">
      <c r="A18" s="79" t="s">
        <v>539</v>
      </c>
      <c r="B18" s="279"/>
      <c r="C18" s="279"/>
      <c r="D18" s="279"/>
      <c r="E18" s="24" t="n">
        <f aca="false">D7*1</f>
        <v>1</v>
      </c>
      <c r="F18" s="24" t="n">
        <f aca="false">B7-44</f>
        <v>1956</v>
      </c>
      <c r="G18" s="24"/>
      <c r="H18" s="83" t="s">
        <v>17</v>
      </c>
      <c r="I18" s="83"/>
      <c r="J18" s="83" t="s">
        <v>42</v>
      </c>
      <c r="K18" s="79" t="s">
        <v>200</v>
      </c>
      <c r="L18" s="265" t="n">
        <f aca="false">IF(L49&gt;6000,L49/6000,1)</f>
        <v>1</v>
      </c>
      <c r="M18" s="46" t="n">
        <f aca="false">ROUNDUP(L18,0)</f>
        <v>1</v>
      </c>
      <c r="N18" s="266" t="n">
        <f aca="false">0.507*6*K26</f>
        <v>152.1</v>
      </c>
      <c r="O18" s="266"/>
      <c r="P18" s="25" t="n">
        <f aca="false">N18*M18</f>
        <v>152.1</v>
      </c>
      <c r="Q18" s="25"/>
      <c r="R18" s="96" t="str">
        <f aca="false">F5</f>
        <v>BRANCO</v>
      </c>
      <c r="S18" s="268" t="n">
        <v>6000</v>
      </c>
      <c r="T18" s="476" t="n">
        <f aca="false">L49*0.507/1000</f>
        <v>0.916149</v>
      </c>
      <c r="U18" s="262" t="n">
        <f aca="false">M18*3.12</f>
        <v>3.12</v>
      </c>
    </row>
    <row r="19" customFormat="false" ht="22.5" hidden="false" customHeight="true" outlineLevel="0" collapsed="false">
      <c r="A19" s="79" t="s">
        <v>540</v>
      </c>
      <c r="B19" s="279"/>
      <c r="C19" s="279"/>
      <c r="D19" s="279"/>
      <c r="E19" s="24" t="n">
        <f aca="false">D7*2</f>
        <v>2</v>
      </c>
      <c r="F19" s="24" t="n">
        <f aca="false">C7-232</f>
        <v>1868</v>
      </c>
      <c r="G19" s="24"/>
      <c r="H19" s="83" t="s">
        <v>18</v>
      </c>
      <c r="I19" s="83"/>
      <c r="J19" s="83" t="s">
        <v>42</v>
      </c>
      <c r="K19" s="79" t="s">
        <v>544</v>
      </c>
      <c r="L19" s="265" t="n">
        <f aca="false">IF(L50&gt;6000,L50/6000,1)</f>
        <v>1</v>
      </c>
      <c r="M19" s="46" t="n">
        <f aca="false">ROUNDUP(L19,0)</f>
        <v>1</v>
      </c>
      <c r="N19" s="266" t="n">
        <f aca="false">0.371*6*K26</f>
        <v>111.3</v>
      </c>
      <c r="O19" s="266"/>
      <c r="P19" s="25" t="n">
        <f aca="false">N19*M19</f>
        <v>111.3</v>
      </c>
      <c r="Q19" s="25"/>
      <c r="R19" s="96" t="str">
        <f aca="false">F5</f>
        <v>BRANCO</v>
      </c>
      <c r="S19" s="268" t="n">
        <v>6000</v>
      </c>
      <c r="T19" s="476" t="n">
        <f aca="false">L50*0.48/1000</f>
        <v>0.89808</v>
      </c>
      <c r="U19" s="262" t="n">
        <f aca="false">M19*2.226</f>
        <v>2.226</v>
      </c>
    </row>
    <row r="20" customFormat="false" ht="22.5" hidden="false" customHeight="true" outlineLevel="0" collapsed="false">
      <c r="A20" s="79" t="s">
        <v>541</v>
      </c>
      <c r="B20" s="279"/>
      <c r="C20" s="279"/>
      <c r="D20" s="279"/>
      <c r="E20" s="46" t="n">
        <f aca="false">D7*1</f>
        <v>1</v>
      </c>
      <c r="F20" s="24" t="n">
        <f aca="false">B7-94</f>
        <v>1906</v>
      </c>
      <c r="G20" s="24"/>
      <c r="H20" s="83" t="s">
        <v>17</v>
      </c>
      <c r="I20" s="83"/>
      <c r="J20" s="83" t="s">
        <v>42</v>
      </c>
      <c r="K20" s="79" t="s">
        <v>545</v>
      </c>
      <c r="L20" s="265" t="n">
        <f aca="false">IF(L51&gt;6000,L51/6000,1)</f>
        <v>5.3239837398374</v>
      </c>
      <c r="M20" s="46" t="n">
        <f aca="false">ROUNDUP(L20,0)</f>
        <v>6</v>
      </c>
      <c r="N20" s="266" t="n">
        <f aca="false">0.08*6*K26</f>
        <v>24</v>
      </c>
      <c r="O20" s="266"/>
      <c r="P20" s="25" t="n">
        <f aca="false">N20*M20</f>
        <v>144</v>
      </c>
      <c r="Q20" s="25"/>
      <c r="R20" s="96" t="str">
        <f aca="false">F5</f>
        <v>BRANCO</v>
      </c>
      <c r="S20" s="268" t="n">
        <v>6000</v>
      </c>
      <c r="T20" s="476" t="n">
        <f aca="false">L51*0.507/1000</f>
        <v>16.1955585365854</v>
      </c>
      <c r="U20" s="262" t="n">
        <f aca="false">M20*0.48</f>
        <v>2.88</v>
      </c>
    </row>
    <row r="21" customFormat="false" ht="21" hidden="false" customHeight="true" outlineLevel="0" collapsed="false">
      <c r="A21" s="79" t="s">
        <v>542</v>
      </c>
      <c r="B21" s="80"/>
      <c r="C21" s="80"/>
      <c r="D21" s="80"/>
      <c r="E21" s="46" t="n">
        <f aca="false">D7*2</f>
        <v>2</v>
      </c>
      <c r="F21" s="97" t="n">
        <f aca="false">C7-232</f>
        <v>1868</v>
      </c>
      <c r="G21" s="97"/>
      <c r="H21" s="28" t="s">
        <v>18</v>
      </c>
      <c r="I21" s="28"/>
      <c r="J21" s="83" t="s">
        <v>42</v>
      </c>
      <c r="K21" s="79" t="s">
        <v>546</v>
      </c>
      <c r="L21" s="265" t="n">
        <f aca="false">IF(L52&gt;6000,L52/6000,1)</f>
        <v>10.6479674796748</v>
      </c>
      <c r="M21" s="46" t="n">
        <f aca="false">ROUNDUP(L21,0)</f>
        <v>11</v>
      </c>
      <c r="N21" s="266" t="n">
        <f aca="false">0.08*6*K26</f>
        <v>24</v>
      </c>
      <c r="O21" s="266"/>
      <c r="P21" s="25" t="n">
        <f aca="false">N21*M21</f>
        <v>264</v>
      </c>
      <c r="Q21" s="25"/>
      <c r="R21" s="96" t="str">
        <f aca="false">F5</f>
        <v>BRANCO</v>
      </c>
      <c r="S21" s="268" t="n">
        <v>6000</v>
      </c>
      <c r="T21" s="476" t="n">
        <f aca="false">L52*0.111/1000</f>
        <v>7.09154634146342</v>
      </c>
      <c r="U21" s="262" t="n">
        <f aca="false">M21*0.48</f>
        <v>5.28</v>
      </c>
    </row>
    <row r="22" customFormat="false" ht="26.25" hidden="false" customHeight="true" outlineLevel="0" collapsed="false">
      <c r="A22" s="79" t="s">
        <v>201</v>
      </c>
      <c r="B22" s="80"/>
      <c r="C22" s="80"/>
      <c r="D22" s="80"/>
      <c r="E22" s="24" t="n">
        <f aca="false">D7*2</f>
        <v>2</v>
      </c>
      <c r="F22" s="24" t="n">
        <f aca="false">(B7-155)/2</f>
        <v>922.5</v>
      </c>
      <c r="G22" s="24"/>
      <c r="H22" s="83" t="s">
        <v>17</v>
      </c>
      <c r="I22" s="83"/>
      <c r="J22" s="83" t="s">
        <v>42</v>
      </c>
      <c r="K22" s="79" t="s">
        <v>188</v>
      </c>
      <c r="L22" s="265" t="n">
        <f aca="false">IF(L53&gt;6000,L53/6000,1)</f>
        <v>1.719</v>
      </c>
      <c r="M22" s="46" t="n">
        <f aca="false">ROUNDUP(L22,0)</f>
        <v>2</v>
      </c>
      <c r="N22" s="266" t="n">
        <f aca="false">0.111*6*K26</f>
        <v>33.3</v>
      </c>
      <c r="O22" s="266"/>
      <c r="P22" s="25" t="n">
        <f aca="false">N22*M22</f>
        <v>66.6</v>
      </c>
      <c r="Q22" s="25"/>
      <c r="R22" s="96" t="str">
        <f aca="false">F5</f>
        <v>BRANCO</v>
      </c>
      <c r="S22" s="268" t="n">
        <v>6000</v>
      </c>
      <c r="T22" s="476" t="n">
        <f aca="false">L53*0.111/1000</f>
        <v>1.144854</v>
      </c>
      <c r="U22" s="262" t="n">
        <f aca="false">M22*0.666</f>
        <v>1.332</v>
      </c>
    </row>
    <row r="23" customFormat="false" ht="26.25" hidden="false" customHeight="true" outlineLevel="0" collapsed="false">
      <c r="A23" s="79" t="s">
        <v>543</v>
      </c>
      <c r="B23" s="80"/>
      <c r="C23" s="80"/>
      <c r="D23" s="80"/>
      <c r="E23" s="24" t="n">
        <f aca="false">D7*2</f>
        <v>2</v>
      </c>
      <c r="F23" s="24" t="n">
        <f aca="false">F22</f>
        <v>922.5</v>
      </c>
      <c r="G23" s="24"/>
      <c r="H23" s="83" t="s">
        <v>17</v>
      </c>
      <c r="I23" s="83"/>
      <c r="J23" s="83" t="s">
        <v>42</v>
      </c>
      <c r="K23" s="79"/>
      <c r="L23" s="283"/>
      <c r="M23" s="442"/>
      <c r="N23" s="284"/>
      <c r="O23" s="280"/>
      <c r="P23" s="120"/>
      <c r="Q23" s="120"/>
      <c r="R23" s="96"/>
      <c r="S23" s="268"/>
      <c r="T23" s="476"/>
      <c r="U23" s="262"/>
    </row>
    <row r="24" customFormat="false" ht="26.25" hidden="false" customHeight="true" outlineLevel="0" collapsed="false">
      <c r="A24" s="79" t="s">
        <v>193</v>
      </c>
      <c r="B24" s="80"/>
      <c r="C24" s="80"/>
      <c r="D24" s="80"/>
      <c r="E24" s="46" t="n">
        <f aca="false">D7*2</f>
        <v>2</v>
      </c>
      <c r="F24" s="24" t="n">
        <f aca="false">C7-293</f>
        <v>1807</v>
      </c>
      <c r="G24" s="24"/>
      <c r="H24" s="83" t="s">
        <v>18</v>
      </c>
      <c r="I24" s="83"/>
      <c r="J24" s="83" t="s">
        <v>42</v>
      </c>
      <c r="K24" s="452"/>
      <c r="L24" s="286"/>
      <c r="M24" s="445"/>
      <c r="N24" s="285"/>
      <c r="O24" s="288"/>
      <c r="P24" s="209"/>
      <c r="Q24" s="209"/>
      <c r="R24" s="290"/>
      <c r="S24" s="268"/>
      <c r="T24" s="476"/>
      <c r="U24" s="291"/>
    </row>
    <row r="25" customFormat="false" ht="26.25" hidden="false" customHeight="true" outlineLevel="0" collapsed="false">
      <c r="A25" s="79" t="s">
        <v>197</v>
      </c>
      <c r="B25" s="80"/>
      <c r="C25" s="80"/>
      <c r="D25" s="80"/>
      <c r="E25" s="46" t="n">
        <f aca="false">D7*1</f>
        <v>1</v>
      </c>
      <c r="F25" s="24" t="n">
        <f aca="false">F24</f>
        <v>1807</v>
      </c>
      <c r="G25" s="24"/>
      <c r="H25" s="83" t="s">
        <v>18</v>
      </c>
      <c r="I25" s="83"/>
      <c r="J25" s="83" t="s">
        <v>42</v>
      </c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73" t="s">
        <v>130</v>
      </c>
      <c r="T25" s="73"/>
      <c r="U25" s="292" t="n">
        <f aca="false">SUM(T3:T24)</f>
        <v>53.9967998780488</v>
      </c>
    </row>
    <row r="26" customFormat="false" ht="26.25" hidden="false" customHeight="true" outlineLevel="0" collapsed="false">
      <c r="A26" s="79" t="s">
        <v>200</v>
      </c>
      <c r="B26" s="293"/>
      <c r="C26" s="293"/>
      <c r="D26" s="293"/>
      <c r="E26" s="46" t="n">
        <f aca="false">D7*1</f>
        <v>1</v>
      </c>
      <c r="F26" s="24" t="n">
        <f aca="false">F24</f>
        <v>1807</v>
      </c>
      <c r="G26" s="24"/>
      <c r="H26" s="28" t="s">
        <v>18</v>
      </c>
      <c r="I26" s="28"/>
      <c r="J26" s="83" t="s">
        <v>42</v>
      </c>
      <c r="K26" s="410" t="n">
        <v>50</v>
      </c>
      <c r="L26" s="410" t="n">
        <v>100</v>
      </c>
      <c r="M26" s="302" t="n">
        <f aca="false">U25*L26</f>
        <v>5399.67998780488</v>
      </c>
      <c r="N26" s="302"/>
      <c r="O26" s="303" t="n">
        <v>0.1</v>
      </c>
      <c r="P26" s="85" t="n">
        <f aca="false">K30*O26+K30</f>
        <v>2969.82399329268</v>
      </c>
      <c r="Q26" s="85"/>
      <c r="R26" s="85"/>
      <c r="S26" s="181" t="s">
        <v>131</v>
      </c>
      <c r="T26" s="181"/>
      <c r="U26" s="294" t="n">
        <f aca="false">SUM(U3:U24)</f>
        <v>85.794</v>
      </c>
    </row>
    <row r="27" customFormat="false" ht="23.25" hidden="false" customHeight="true" outlineLevel="0" collapsed="false">
      <c r="A27" s="79" t="s">
        <v>544</v>
      </c>
      <c r="B27" s="26"/>
      <c r="C27" s="26"/>
      <c r="D27" s="26"/>
      <c r="E27" s="206" t="n">
        <f aca="false">D7*1</f>
        <v>1</v>
      </c>
      <c r="F27" s="206" t="n">
        <f aca="false">B7-129</f>
        <v>1871</v>
      </c>
      <c r="G27" s="206"/>
      <c r="H27" s="28" t="s">
        <v>17</v>
      </c>
      <c r="I27" s="28"/>
      <c r="J27" s="83" t="s">
        <v>42</v>
      </c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31.7972001219512</v>
      </c>
    </row>
    <row r="28" customFormat="false" ht="23.25" hidden="false" customHeight="true" outlineLevel="0" collapsed="false">
      <c r="A28" s="79" t="s">
        <v>545</v>
      </c>
      <c r="B28" s="26"/>
      <c r="C28" s="26"/>
      <c r="D28" s="26"/>
      <c r="E28" s="205" t="n">
        <f aca="false">((C7/3)/41)*D7</f>
        <v>17.0731707317073</v>
      </c>
      <c r="F28" s="206" t="n">
        <f aca="false">B7-129</f>
        <v>1871</v>
      </c>
      <c r="G28" s="206"/>
      <c r="H28" s="28" t="s">
        <v>17</v>
      </c>
      <c r="I28" s="28"/>
      <c r="J28" s="83" t="s">
        <v>42</v>
      </c>
      <c r="K28" s="84" t="n">
        <f aca="false">U26*K26</f>
        <v>4289.7</v>
      </c>
      <c r="L28" s="84"/>
      <c r="O28" s="296"/>
      <c r="Q28" s="296"/>
      <c r="R28" s="296"/>
      <c r="S28" s="296"/>
      <c r="T28" s="296"/>
      <c r="U28" s="296"/>
    </row>
    <row r="29" customFormat="false" ht="23.25" hidden="false" customHeight="true" outlineLevel="0" collapsed="false">
      <c r="A29" s="79" t="s">
        <v>546</v>
      </c>
      <c r="B29" s="26"/>
      <c r="C29" s="26"/>
      <c r="D29" s="26"/>
      <c r="E29" s="205" t="n">
        <f aca="false">(((C7/3)/41)*2)*D7</f>
        <v>34.1463414634146</v>
      </c>
      <c r="F29" s="205" t="n">
        <f aca="false">B7-129</f>
        <v>1871</v>
      </c>
      <c r="G29" s="205"/>
      <c r="H29" s="28" t="s">
        <v>17</v>
      </c>
      <c r="I29" s="28"/>
      <c r="J29" s="83" t="s">
        <v>42</v>
      </c>
      <c r="K29" s="73" t="s">
        <v>199</v>
      </c>
      <c r="L29" s="73"/>
    </row>
    <row r="30" customFormat="false" ht="23.25" hidden="false" customHeight="true" outlineLevel="0" collapsed="false">
      <c r="A30" s="79" t="s">
        <v>188</v>
      </c>
      <c r="B30" s="26"/>
      <c r="C30" s="26"/>
      <c r="D30" s="26"/>
      <c r="E30" s="206" t="n">
        <f aca="false">D7*4</f>
        <v>4</v>
      </c>
      <c r="F30" s="205" t="n">
        <f aca="false">F22</f>
        <v>922.5</v>
      </c>
      <c r="G30" s="205"/>
      <c r="H30" s="28" t="s">
        <v>17</v>
      </c>
      <c r="I30" s="28"/>
      <c r="J30" s="83" t="s">
        <v>42</v>
      </c>
      <c r="K30" s="84" t="n">
        <f aca="false">U25*K26</f>
        <v>2699.83999390244</v>
      </c>
      <c r="L30" s="84"/>
    </row>
    <row r="31" customFormat="false" ht="23.25" hidden="false" customHeight="true" outlineLevel="0" collapsed="false">
      <c r="A31" s="99" t="s">
        <v>188</v>
      </c>
      <c r="B31" s="209"/>
      <c r="C31" s="209"/>
      <c r="D31" s="209"/>
      <c r="E31" s="477" t="n">
        <f aca="false">D7*4</f>
        <v>4</v>
      </c>
      <c r="F31" s="210" t="n">
        <f aca="false">C7-444</f>
        <v>1656</v>
      </c>
      <c r="G31" s="210"/>
      <c r="H31" s="478" t="s">
        <v>18</v>
      </c>
      <c r="I31" s="478"/>
      <c r="J31" s="103" t="s">
        <v>42</v>
      </c>
      <c r="K31" s="109"/>
      <c r="L31" s="109"/>
      <c r="M31" s="109"/>
      <c r="N31" s="109"/>
    </row>
    <row r="32" customFormat="false" ht="17.25" hidden="false" customHeight="true" outlineLevel="0" collapsed="false">
      <c r="F32" s="153"/>
      <c r="G32" s="153"/>
      <c r="K32" s="109"/>
      <c r="L32" s="109"/>
      <c r="M32" s="109"/>
      <c r="N32" s="109"/>
    </row>
    <row r="33" customFormat="false" ht="15.75" hidden="false" customHeight="true" outlineLevel="0" collapsed="false">
      <c r="F33" s="153"/>
      <c r="G33" s="153"/>
      <c r="K33" s="93"/>
      <c r="L33" s="93"/>
      <c r="M33" s="93"/>
      <c r="N33" s="93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 t="s">
        <v>533</v>
      </c>
      <c r="L34" s="109" t="n">
        <f aca="false">F11*E11</f>
        <v>1956</v>
      </c>
      <c r="M34" s="109"/>
      <c r="N34" s="93"/>
      <c r="O34" s="93"/>
      <c r="P34" s="93"/>
      <c r="Q34" s="93"/>
      <c r="R34" s="93"/>
    </row>
    <row r="35" customFormat="false" ht="15" hidden="false" customHeight="true" outlineLevel="0" collapsed="false">
      <c r="A35" s="479" t="s">
        <v>51</v>
      </c>
      <c r="B35" s="20" t="s">
        <v>26</v>
      </c>
      <c r="C35" s="20"/>
      <c r="D35" s="20"/>
      <c r="E35" s="20"/>
      <c r="F35" s="20"/>
      <c r="G35" s="20"/>
      <c r="H35" s="227" t="s">
        <v>5</v>
      </c>
      <c r="I35" s="20" t="s">
        <v>207</v>
      </c>
      <c r="J35" s="20"/>
      <c r="K35" s="387" t="s">
        <v>534</v>
      </c>
      <c r="L35" s="109" t="n">
        <f aca="false">F12*E12</f>
        <v>1956</v>
      </c>
      <c r="M35" s="109"/>
      <c r="N35" s="93"/>
      <c r="O35" s="93"/>
      <c r="P35" s="93"/>
      <c r="Q35" s="93"/>
      <c r="R35" s="93"/>
    </row>
    <row r="36" customFormat="false" ht="27" hidden="false" customHeight="true" outlineLevel="0" collapsed="false">
      <c r="A36" s="313" t="s">
        <v>523</v>
      </c>
      <c r="B36" s="314" t="s">
        <v>524</v>
      </c>
      <c r="C36" s="314"/>
      <c r="D36" s="314"/>
      <c r="E36" s="314"/>
      <c r="F36" s="314"/>
      <c r="G36" s="314"/>
      <c r="H36" s="397" t="s">
        <v>64</v>
      </c>
      <c r="I36" s="72" t="n">
        <f aca="false">D7*2</f>
        <v>2</v>
      </c>
      <c r="J36" s="72"/>
      <c r="K36" s="387" t="s">
        <v>535</v>
      </c>
      <c r="L36" s="133" t="n">
        <f aca="false">F13*E13</f>
        <v>1956</v>
      </c>
      <c r="M36" s="387"/>
      <c r="N36" s="94"/>
      <c r="O36" s="93"/>
      <c r="P36" s="93"/>
      <c r="Q36" s="93"/>
      <c r="R36" s="93"/>
    </row>
    <row r="37" customFormat="false" ht="27" hidden="false" customHeight="true" outlineLevel="0" collapsed="false">
      <c r="A37" s="319" t="s">
        <v>499</v>
      </c>
      <c r="B37" s="320" t="s">
        <v>500</v>
      </c>
      <c r="C37" s="320"/>
      <c r="D37" s="320"/>
      <c r="E37" s="320"/>
      <c r="F37" s="320"/>
      <c r="G37" s="320"/>
      <c r="H37" s="96" t="s">
        <v>64</v>
      </c>
      <c r="I37" s="83" t="n">
        <f aca="false">D7*2</f>
        <v>2</v>
      </c>
      <c r="J37" s="83"/>
      <c r="K37" s="387" t="s">
        <v>536</v>
      </c>
      <c r="L37" s="133" t="n">
        <f aca="false">F14*E14</f>
        <v>4170</v>
      </c>
      <c r="M37" s="387"/>
      <c r="N37" s="94"/>
      <c r="O37" s="93"/>
      <c r="P37" s="93"/>
      <c r="Q37" s="93"/>
      <c r="R37" s="93"/>
    </row>
    <row r="38" customFormat="false" ht="23.25" hidden="false" customHeight="true" outlineLevel="0" collapsed="false">
      <c r="A38" s="319" t="s">
        <v>547</v>
      </c>
      <c r="B38" s="320" t="s">
        <v>548</v>
      </c>
      <c r="C38" s="320"/>
      <c r="D38" s="320"/>
      <c r="E38" s="320"/>
      <c r="F38" s="320"/>
      <c r="G38" s="320"/>
      <c r="H38" s="96" t="s">
        <v>64</v>
      </c>
      <c r="I38" s="83" t="n">
        <f aca="false">D7*1</f>
        <v>1</v>
      </c>
      <c r="J38" s="83"/>
      <c r="K38" s="387" t="s">
        <v>186</v>
      </c>
      <c r="L38" s="133" t="n">
        <f aca="false">F15*E15</f>
        <v>1956</v>
      </c>
      <c r="M38" s="387"/>
      <c r="N38" s="94"/>
      <c r="O38" s="93"/>
      <c r="P38" s="93"/>
      <c r="Q38" s="93"/>
      <c r="R38" s="93"/>
    </row>
    <row r="39" customFormat="false" ht="23.25" hidden="false" customHeight="true" outlineLevel="0" collapsed="false">
      <c r="A39" s="319" t="s">
        <v>549</v>
      </c>
      <c r="B39" s="320" t="s">
        <v>236</v>
      </c>
      <c r="C39" s="320"/>
      <c r="D39" s="320"/>
      <c r="E39" s="320"/>
      <c r="F39" s="320"/>
      <c r="G39" s="320"/>
      <c r="H39" s="96" t="s">
        <v>64</v>
      </c>
      <c r="I39" s="83" t="n">
        <f aca="false">D7*4</f>
        <v>4</v>
      </c>
      <c r="J39" s="83"/>
      <c r="K39" s="387" t="s">
        <v>537</v>
      </c>
      <c r="L39" s="133" t="n">
        <f aca="false">F16*E16</f>
        <v>1956</v>
      </c>
      <c r="M39" s="387"/>
      <c r="N39" s="94"/>
      <c r="O39" s="93"/>
      <c r="P39" s="93"/>
      <c r="Q39" s="93"/>
      <c r="R39" s="93"/>
    </row>
    <row r="40" customFormat="false" ht="23.25" hidden="false" customHeight="true" outlineLevel="0" collapsed="false">
      <c r="A40" s="319" t="s">
        <v>550</v>
      </c>
      <c r="B40" s="320" t="s">
        <v>340</v>
      </c>
      <c r="C40" s="320"/>
      <c r="D40" s="320"/>
      <c r="E40" s="320"/>
      <c r="F40" s="320"/>
      <c r="G40" s="320"/>
      <c r="H40" s="96" t="s">
        <v>64</v>
      </c>
      <c r="I40" s="83" t="n">
        <f aca="false">D7*12</f>
        <v>12</v>
      </c>
      <c r="J40" s="83"/>
      <c r="K40" s="387" t="s">
        <v>538</v>
      </c>
      <c r="L40" s="133" t="n">
        <f aca="false">F17*E17</f>
        <v>1956</v>
      </c>
      <c r="M40" s="387"/>
      <c r="N40" s="94"/>
      <c r="O40" s="93"/>
      <c r="P40" s="93"/>
      <c r="Q40" s="93"/>
      <c r="R40" s="93"/>
    </row>
    <row r="41" customFormat="false" ht="23.25" hidden="false" customHeight="true" outlineLevel="0" collapsed="false">
      <c r="A41" s="319" t="s">
        <v>504</v>
      </c>
      <c r="B41" s="320" t="s">
        <v>551</v>
      </c>
      <c r="C41" s="320"/>
      <c r="D41" s="320"/>
      <c r="E41" s="320"/>
      <c r="F41" s="320"/>
      <c r="G41" s="320"/>
      <c r="H41" s="96" t="s">
        <v>64</v>
      </c>
      <c r="I41" s="83" t="n">
        <f aca="false">D7*1</f>
        <v>1</v>
      </c>
      <c r="J41" s="83"/>
      <c r="K41" s="387" t="s">
        <v>539</v>
      </c>
      <c r="L41" s="133" t="n">
        <f aca="false">F18*E18</f>
        <v>1956</v>
      </c>
      <c r="M41" s="387"/>
      <c r="N41" s="94"/>
      <c r="O41" s="93"/>
      <c r="P41" s="93"/>
      <c r="Q41" s="93"/>
      <c r="R41" s="93"/>
    </row>
    <row r="42" customFormat="false" ht="23.25" hidden="false" customHeight="true" outlineLevel="0" collapsed="false">
      <c r="A42" s="319" t="s">
        <v>505</v>
      </c>
      <c r="B42" s="320" t="s">
        <v>506</v>
      </c>
      <c r="C42" s="320"/>
      <c r="D42" s="320"/>
      <c r="E42" s="320"/>
      <c r="F42" s="320"/>
      <c r="G42" s="320"/>
      <c r="H42" s="96" t="s">
        <v>64</v>
      </c>
      <c r="I42" s="83" t="n">
        <f aca="false">D7*8</f>
        <v>8</v>
      </c>
      <c r="J42" s="83"/>
      <c r="K42" s="387" t="s">
        <v>540</v>
      </c>
      <c r="L42" s="133" t="n">
        <f aca="false">F19*E19</f>
        <v>3736</v>
      </c>
      <c r="M42" s="387"/>
      <c r="N42" s="94"/>
      <c r="O42" s="93"/>
      <c r="P42" s="93"/>
      <c r="Q42" s="93"/>
      <c r="R42" s="93"/>
    </row>
    <row r="43" customFormat="false" ht="23.25" hidden="false" customHeight="true" outlineLevel="0" collapsed="false">
      <c r="A43" s="319" t="s">
        <v>507</v>
      </c>
      <c r="B43" s="320" t="s">
        <v>551</v>
      </c>
      <c r="C43" s="320"/>
      <c r="D43" s="320"/>
      <c r="E43" s="320"/>
      <c r="F43" s="320"/>
      <c r="G43" s="320"/>
      <c r="H43" s="96" t="s">
        <v>64</v>
      </c>
      <c r="I43" s="428" t="n">
        <f aca="false">D7*1</f>
        <v>1</v>
      </c>
      <c r="J43" s="428"/>
      <c r="K43" s="387" t="s">
        <v>541</v>
      </c>
      <c r="L43" s="109" t="n">
        <f aca="false">F20*E20</f>
        <v>1906</v>
      </c>
      <c r="M43" s="387"/>
      <c r="N43" s="93"/>
      <c r="O43" s="93"/>
      <c r="P43" s="93"/>
      <c r="Q43" s="93"/>
      <c r="R43" s="93"/>
    </row>
    <row r="44" customFormat="false" ht="23.25" hidden="false" customHeight="true" outlineLevel="0" collapsed="false">
      <c r="A44" s="319" t="s">
        <v>508</v>
      </c>
      <c r="B44" s="320" t="s">
        <v>289</v>
      </c>
      <c r="C44" s="320"/>
      <c r="D44" s="320"/>
      <c r="E44" s="320"/>
      <c r="F44" s="320"/>
      <c r="G44" s="320"/>
      <c r="H44" s="96" t="s">
        <v>64</v>
      </c>
      <c r="I44" s="428" t="n">
        <f aca="false">D7*4</f>
        <v>4</v>
      </c>
      <c r="J44" s="428"/>
      <c r="K44" s="387" t="s">
        <v>542</v>
      </c>
      <c r="L44" s="109" t="n">
        <f aca="false">F21*E21</f>
        <v>3736</v>
      </c>
      <c r="M44" s="387"/>
      <c r="N44" s="94"/>
      <c r="O44" s="93"/>
      <c r="P44" s="93"/>
      <c r="Q44" s="93"/>
      <c r="R44" s="93"/>
    </row>
    <row r="45" customFormat="false" ht="23.25" hidden="false" customHeight="true" outlineLevel="0" collapsed="false">
      <c r="A45" s="319" t="s">
        <v>552</v>
      </c>
      <c r="B45" s="320" t="s">
        <v>553</v>
      </c>
      <c r="C45" s="320"/>
      <c r="D45" s="320"/>
      <c r="E45" s="320"/>
      <c r="F45" s="320"/>
      <c r="G45" s="320"/>
      <c r="H45" s="96" t="s">
        <v>64</v>
      </c>
      <c r="I45" s="428" t="n">
        <f aca="false">D7*2</f>
        <v>2</v>
      </c>
      <c r="J45" s="428"/>
      <c r="K45" s="387" t="s">
        <v>201</v>
      </c>
      <c r="L45" s="109" t="n">
        <f aca="false">F22*E22</f>
        <v>1845</v>
      </c>
      <c r="M45" s="109"/>
      <c r="N45" s="93"/>
      <c r="O45" s="93"/>
      <c r="P45" s="93"/>
      <c r="Q45" s="93"/>
      <c r="R45" s="93"/>
    </row>
    <row r="46" customFormat="false" ht="23.25" hidden="false" customHeight="true" outlineLevel="0" collapsed="false">
      <c r="A46" s="319" t="s">
        <v>554</v>
      </c>
      <c r="B46" s="480" t="s">
        <v>555</v>
      </c>
      <c r="C46" s="480"/>
      <c r="D46" s="480"/>
      <c r="E46" s="480"/>
      <c r="F46" s="480"/>
      <c r="G46" s="480"/>
      <c r="H46" s="96" t="s">
        <v>64</v>
      </c>
      <c r="I46" s="428" t="n">
        <f aca="false">D7*2</f>
        <v>2</v>
      </c>
      <c r="J46" s="428"/>
      <c r="K46" s="387" t="s">
        <v>543</v>
      </c>
      <c r="L46" s="109" t="n">
        <f aca="false">F23*E23</f>
        <v>1845</v>
      </c>
      <c r="M46" s="109"/>
      <c r="N46" s="93"/>
    </row>
    <row r="47" customFormat="false" ht="23.25" hidden="false" customHeight="true" outlineLevel="0" collapsed="false">
      <c r="A47" s="319" t="s">
        <v>556</v>
      </c>
      <c r="B47" s="480" t="s">
        <v>557</v>
      </c>
      <c r="C47" s="480"/>
      <c r="D47" s="480"/>
      <c r="E47" s="480"/>
      <c r="F47" s="480"/>
      <c r="G47" s="480"/>
      <c r="H47" s="96" t="s">
        <v>64</v>
      </c>
      <c r="I47" s="83" t="n">
        <f aca="false">D7*48</f>
        <v>48</v>
      </c>
      <c r="J47" s="83"/>
      <c r="K47" s="387" t="s">
        <v>193</v>
      </c>
      <c r="L47" s="109" t="n">
        <f aca="false">F24*E24</f>
        <v>3614</v>
      </c>
      <c r="M47" s="109"/>
      <c r="N47" s="93"/>
    </row>
    <row r="48" customFormat="false" ht="23.25" hidden="false" customHeight="true" outlineLevel="0" collapsed="false">
      <c r="A48" s="128" t="s">
        <v>558</v>
      </c>
      <c r="B48" s="480" t="s">
        <v>559</v>
      </c>
      <c r="C48" s="480"/>
      <c r="D48" s="480"/>
      <c r="E48" s="480"/>
      <c r="F48" s="480"/>
      <c r="G48" s="480"/>
      <c r="H48" s="96" t="s">
        <v>46</v>
      </c>
      <c r="I48" s="120" t="n">
        <f aca="false">B7*1*D7</f>
        <v>2000</v>
      </c>
      <c r="J48" s="120"/>
      <c r="K48" s="387" t="s">
        <v>197</v>
      </c>
      <c r="L48" s="109" t="n">
        <f aca="false">F25*E25</f>
        <v>1807</v>
      </c>
      <c r="M48" s="109"/>
      <c r="N48" s="93"/>
    </row>
    <row r="49" customFormat="false" ht="23.25" hidden="false" customHeight="true" outlineLevel="0" collapsed="false">
      <c r="A49" s="128" t="s">
        <v>560</v>
      </c>
      <c r="B49" s="480" t="s">
        <v>561</v>
      </c>
      <c r="C49" s="480"/>
      <c r="D49" s="480"/>
      <c r="E49" s="480"/>
      <c r="F49" s="480"/>
      <c r="G49" s="480"/>
      <c r="H49" s="96" t="s">
        <v>64</v>
      </c>
      <c r="I49" s="83" t="n">
        <f aca="false">D7*2</f>
        <v>2</v>
      </c>
      <c r="J49" s="83"/>
      <c r="K49" s="387" t="s">
        <v>200</v>
      </c>
      <c r="L49" s="109" t="n">
        <f aca="false">F26*E26</f>
        <v>1807</v>
      </c>
      <c r="M49" s="109"/>
      <c r="N49" s="93"/>
    </row>
    <row r="50" customFormat="false" ht="23.25" hidden="false" customHeight="true" outlineLevel="0" collapsed="false">
      <c r="A50" s="128" t="s">
        <v>562</v>
      </c>
      <c r="B50" s="480" t="s">
        <v>563</v>
      </c>
      <c r="C50" s="480"/>
      <c r="D50" s="480"/>
      <c r="E50" s="480"/>
      <c r="F50" s="480"/>
      <c r="G50" s="480"/>
      <c r="H50" s="96" t="s">
        <v>46</v>
      </c>
      <c r="I50" s="434" t="n">
        <f aca="false">(B7*4)+(C7*4)*D7</f>
        <v>16400</v>
      </c>
      <c r="J50" s="434"/>
      <c r="K50" s="387" t="s">
        <v>544</v>
      </c>
      <c r="L50" s="109" t="n">
        <f aca="false">F27*E27</f>
        <v>1871</v>
      </c>
      <c r="M50" s="109"/>
      <c r="N50" s="93"/>
    </row>
    <row r="51" customFormat="false" ht="21" hidden="false" customHeight="true" outlineLevel="0" collapsed="false">
      <c r="A51" s="128" t="s">
        <v>513</v>
      </c>
      <c r="B51" s="480" t="s">
        <v>238</v>
      </c>
      <c r="C51" s="480"/>
      <c r="D51" s="480"/>
      <c r="E51" s="480"/>
      <c r="F51" s="480"/>
      <c r="G51" s="480"/>
      <c r="H51" s="96" t="s">
        <v>46</v>
      </c>
      <c r="I51" s="120" t="n">
        <f aca="false">I50</f>
        <v>16400</v>
      </c>
      <c r="J51" s="120"/>
      <c r="K51" s="387" t="s">
        <v>545</v>
      </c>
      <c r="L51" s="109" t="n">
        <f aca="false">F28*E28</f>
        <v>31943.9024390244</v>
      </c>
      <c r="M51" s="109"/>
      <c r="N51" s="93"/>
    </row>
    <row r="52" customFormat="false" ht="23.25" hidden="false" customHeight="true" outlineLevel="0" collapsed="false">
      <c r="A52" s="128" t="s">
        <v>237</v>
      </c>
      <c r="B52" s="480" t="s">
        <v>238</v>
      </c>
      <c r="C52" s="480"/>
      <c r="D52" s="480"/>
      <c r="E52" s="480"/>
      <c r="F52" s="480"/>
      <c r="G52" s="480"/>
      <c r="H52" s="96" t="s">
        <v>46</v>
      </c>
      <c r="I52" s="120" t="n">
        <f aca="false">B7*4*D7</f>
        <v>8000</v>
      </c>
      <c r="J52" s="120"/>
      <c r="K52" s="387" t="s">
        <v>546</v>
      </c>
      <c r="L52" s="109" t="n">
        <f aca="false">F29*E29</f>
        <v>63887.8048780488</v>
      </c>
      <c r="M52" s="109"/>
      <c r="N52" s="93"/>
    </row>
    <row r="53" customFormat="false" ht="23.25" hidden="false" customHeight="true" outlineLevel="0" collapsed="false">
      <c r="A53" s="128" t="s">
        <v>531</v>
      </c>
      <c r="B53" s="480" t="s">
        <v>238</v>
      </c>
      <c r="C53" s="480"/>
      <c r="D53" s="480"/>
      <c r="E53" s="480"/>
      <c r="F53" s="480"/>
      <c r="G53" s="480"/>
      <c r="H53" s="96" t="s">
        <v>46</v>
      </c>
      <c r="I53" s="120" t="n">
        <f aca="false">B7*2*D7</f>
        <v>4000</v>
      </c>
      <c r="J53" s="120"/>
      <c r="K53" s="387" t="s">
        <v>188</v>
      </c>
      <c r="L53" s="109" t="n">
        <f aca="false">F30*E30+E31*F31</f>
        <v>10314</v>
      </c>
      <c r="M53" s="109"/>
      <c r="N53" s="93"/>
    </row>
    <row r="54" customFormat="false" ht="19.5" hidden="false" customHeight="true" outlineLevel="0" collapsed="false">
      <c r="A54" s="128" t="s">
        <v>525</v>
      </c>
      <c r="B54" s="480" t="s">
        <v>564</v>
      </c>
      <c r="C54" s="480"/>
      <c r="D54" s="480"/>
      <c r="E54" s="480"/>
      <c r="F54" s="480"/>
      <c r="G54" s="480"/>
      <c r="H54" s="96" t="s">
        <v>46</v>
      </c>
      <c r="I54" s="120" t="n">
        <f aca="false">B7*1*D7</f>
        <v>2000</v>
      </c>
      <c r="J54" s="120"/>
      <c r="K54" s="387"/>
      <c r="L54" s="109"/>
      <c r="M54" s="109"/>
      <c r="N54" s="93"/>
    </row>
    <row r="55" customFormat="false" ht="21" hidden="false" customHeight="true" outlineLevel="0" collapsed="false">
      <c r="A55" s="128" t="s">
        <v>517</v>
      </c>
      <c r="B55" s="480" t="s">
        <v>564</v>
      </c>
      <c r="C55" s="480"/>
      <c r="D55" s="480"/>
      <c r="E55" s="480"/>
      <c r="F55" s="480"/>
      <c r="G55" s="480"/>
      <c r="H55" s="96" t="s">
        <v>46</v>
      </c>
      <c r="I55" s="120" t="n">
        <f aca="false">B7*4*D7</f>
        <v>8000</v>
      </c>
      <c r="J55" s="120"/>
    </row>
    <row r="56" customFormat="false" ht="23.25" hidden="false" customHeight="true" outlineLevel="0" collapsed="false">
      <c r="A56" s="481" t="s">
        <v>565</v>
      </c>
      <c r="B56" s="480" t="s">
        <v>566</v>
      </c>
      <c r="C56" s="480"/>
      <c r="D56" s="480"/>
      <c r="E56" s="480"/>
      <c r="F56" s="480"/>
      <c r="G56" s="480"/>
      <c r="H56" s="96" t="s">
        <v>64</v>
      </c>
      <c r="I56" s="120" t="n">
        <f aca="false">D7*35</f>
        <v>35</v>
      </c>
      <c r="J56" s="120"/>
    </row>
    <row r="57" customFormat="false" ht="23.25" hidden="false" customHeight="true" outlineLevel="0" collapsed="false">
      <c r="A57" s="481" t="s">
        <v>567</v>
      </c>
      <c r="B57" s="480" t="s">
        <v>568</v>
      </c>
      <c r="C57" s="480"/>
      <c r="D57" s="480"/>
      <c r="E57" s="480"/>
      <c r="F57" s="480"/>
      <c r="G57" s="480"/>
      <c r="H57" s="96" t="s">
        <v>64</v>
      </c>
      <c r="I57" s="120" t="n">
        <f aca="false">D7*24</f>
        <v>24</v>
      </c>
      <c r="J57" s="120"/>
    </row>
    <row r="58" customFormat="false" ht="23.25" hidden="false" customHeight="true" outlineLevel="0" collapsed="false">
      <c r="A58" s="481" t="s">
        <v>529</v>
      </c>
      <c r="B58" s="480" t="s">
        <v>569</v>
      </c>
      <c r="C58" s="480"/>
      <c r="D58" s="480"/>
      <c r="E58" s="480"/>
      <c r="F58" s="480"/>
      <c r="G58" s="480"/>
      <c r="H58" s="96" t="s">
        <v>64</v>
      </c>
      <c r="I58" s="120" t="n">
        <f aca="false">D7*20</f>
        <v>20</v>
      </c>
      <c r="J58" s="120"/>
    </row>
    <row r="59" customFormat="false" ht="23.25" hidden="false" customHeight="true" outlineLevel="0" collapsed="false">
      <c r="A59" s="481" t="s">
        <v>570</v>
      </c>
      <c r="B59" s="480" t="s">
        <v>571</v>
      </c>
      <c r="C59" s="480"/>
      <c r="D59" s="480"/>
      <c r="E59" s="480"/>
      <c r="F59" s="480"/>
      <c r="G59" s="480"/>
      <c r="H59" s="96" t="s">
        <v>46</v>
      </c>
      <c r="I59" s="120" t="n">
        <f aca="false">B7*4*D7</f>
        <v>8000</v>
      </c>
      <c r="J59" s="120"/>
    </row>
    <row r="60" customFormat="false" ht="23.25" hidden="false" customHeight="true" outlineLevel="0" collapsed="false">
      <c r="A60" s="482" t="s">
        <v>572</v>
      </c>
      <c r="B60" s="483" t="s">
        <v>573</v>
      </c>
      <c r="C60" s="483"/>
      <c r="D60" s="483"/>
      <c r="E60" s="483"/>
      <c r="F60" s="483"/>
      <c r="G60" s="483"/>
      <c r="H60" s="290" t="s">
        <v>64</v>
      </c>
      <c r="I60" s="209" t="n">
        <f aca="false">D7*20</f>
        <v>20</v>
      </c>
      <c r="J60" s="209"/>
    </row>
    <row r="64" customFormat="false" ht="15" hidden="false" customHeight="false" outlineLevel="0" collapsed="false">
      <c r="C64" s="1" t="s">
        <v>23</v>
      </c>
    </row>
  </sheetData>
  <mergeCells count="194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N18:O18"/>
    <mergeCell ref="P18:Q18"/>
    <mergeCell ref="B19:D19"/>
    <mergeCell ref="F19:G19"/>
    <mergeCell ref="H19:I19"/>
    <mergeCell ref="N19:O19"/>
    <mergeCell ref="P19:Q19"/>
    <mergeCell ref="B20:D20"/>
    <mergeCell ref="F20:G20"/>
    <mergeCell ref="H20:I20"/>
    <mergeCell ref="N20:O20"/>
    <mergeCell ref="P20:Q20"/>
    <mergeCell ref="B21:D21"/>
    <mergeCell ref="F21:G21"/>
    <mergeCell ref="H21:I21"/>
    <mergeCell ref="N21:O21"/>
    <mergeCell ref="P21:Q21"/>
    <mergeCell ref="B22:D22"/>
    <mergeCell ref="F22:G22"/>
    <mergeCell ref="H22:I22"/>
    <mergeCell ref="N22:O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B27:D27"/>
    <mergeCell ref="F27:G27"/>
    <mergeCell ref="H27:I27"/>
    <mergeCell ref="K27:L27"/>
    <mergeCell ref="Q27:R27"/>
    <mergeCell ref="S27:T27"/>
    <mergeCell ref="B28:D28"/>
    <mergeCell ref="F28:G28"/>
    <mergeCell ref="H28:I28"/>
    <mergeCell ref="K28:L28"/>
    <mergeCell ref="B29:D29"/>
    <mergeCell ref="F29:G29"/>
    <mergeCell ref="H29:I29"/>
    <mergeCell ref="K29:L29"/>
    <mergeCell ref="B30:D30"/>
    <mergeCell ref="F30:G30"/>
    <mergeCell ref="H30:I30"/>
    <mergeCell ref="K30:L30"/>
    <mergeCell ref="B31:D31"/>
    <mergeCell ref="F31:G31"/>
    <mergeCell ref="H31:I31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  <mergeCell ref="B54:G54"/>
    <mergeCell ref="I54:J54"/>
    <mergeCell ref="B55:G55"/>
    <mergeCell ref="I55:J55"/>
    <mergeCell ref="B56:G56"/>
    <mergeCell ref="I56:J56"/>
    <mergeCell ref="B57:G57"/>
    <mergeCell ref="I57:J57"/>
    <mergeCell ref="B58:G58"/>
    <mergeCell ref="I58:J58"/>
    <mergeCell ref="B59:G59"/>
    <mergeCell ref="I59:J59"/>
    <mergeCell ref="B60:G60"/>
    <mergeCell ref="I60:J6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574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57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533</v>
      </c>
      <c r="L3" s="257" t="n">
        <f aca="false">IF(L34&gt;6000,L34/6000,1)</f>
        <v>1</v>
      </c>
      <c r="M3" s="395" t="n">
        <f aca="false">ROUNDUP(L3,0)</f>
        <v>1</v>
      </c>
      <c r="N3" s="259" t="n">
        <f aca="false">1.301*6*K26</f>
        <v>390.3</v>
      </c>
      <c r="O3" s="259"/>
      <c r="P3" s="259" t="n">
        <f aca="false">N3*M3</f>
        <v>390.3</v>
      </c>
      <c r="Q3" s="259"/>
      <c r="R3" s="397" t="str">
        <f aca="false">F5</f>
        <v>BRANCO</v>
      </c>
      <c r="S3" s="261" t="n">
        <v>6000</v>
      </c>
      <c r="T3" s="476" t="n">
        <f aca="false">L34*1.301/1000</f>
        <v>1.243756</v>
      </c>
      <c r="U3" s="263" t="n">
        <f aca="false">M3*7.806</f>
        <v>7.806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537</v>
      </c>
      <c r="L4" s="265" t="n">
        <f aca="false">IF(L35&gt;6000,L35/6000,1)</f>
        <v>1</v>
      </c>
      <c r="M4" s="91" t="n">
        <f aca="false">ROUNDUP(L4,0)</f>
        <v>1</v>
      </c>
      <c r="N4" s="266" t="n">
        <f aca="false">1.4*6*K26</f>
        <v>420</v>
      </c>
      <c r="O4" s="266"/>
      <c r="P4" s="266" t="n">
        <f aca="false">N4*M4</f>
        <v>420</v>
      </c>
      <c r="Q4" s="266"/>
      <c r="R4" s="96" t="str">
        <f aca="false">F5</f>
        <v>BRANCO</v>
      </c>
      <c r="S4" s="268" t="n">
        <v>6000</v>
      </c>
      <c r="T4" s="476" t="n">
        <f aca="false">L35*1.4/1000</f>
        <v>1.3384</v>
      </c>
      <c r="U4" s="262" t="n">
        <f aca="false">M4*8.4</f>
        <v>8.4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116" t="s">
        <v>541</v>
      </c>
      <c r="L5" s="265" t="n">
        <f aca="false">IF(L36&gt;6000,L36/6000,1)</f>
        <v>1</v>
      </c>
      <c r="M5" s="91" t="n">
        <f aca="false">ROUNDUP(L5,0)</f>
        <v>1</v>
      </c>
      <c r="N5" s="266" t="n">
        <f aca="false">0.881*6*K26</f>
        <v>264.3</v>
      </c>
      <c r="O5" s="266"/>
      <c r="P5" s="266" t="n">
        <f aca="false">N5*M5</f>
        <v>264.3</v>
      </c>
      <c r="Q5" s="266"/>
      <c r="R5" s="96" t="str">
        <f aca="false">F5</f>
        <v>BRANCO</v>
      </c>
      <c r="S5" s="268" t="n">
        <v>6000</v>
      </c>
      <c r="T5" s="476" t="n">
        <f aca="false">L36*0.881/1000</f>
        <v>0.842236</v>
      </c>
      <c r="U5" s="262" t="n">
        <f aca="false">M5*5.286</f>
        <v>5.286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575</v>
      </c>
      <c r="L6" s="265" t="n">
        <f aca="false">IF(L37&gt;6000,L37/6000,1)</f>
        <v>1</v>
      </c>
      <c r="M6" s="91" t="n">
        <f aca="false">ROUNDUP(L6,0)</f>
        <v>1</v>
      </c>
      <c r="N6" s="266" t="n">
        <f aca="false">1.331*6*K26</f>
        <v>399.3</v>
      </c>
      <c r="O6" s="266"/>
      <c r="P6" s="266" t="n">
        <f aca="false">N6*M6</f>
        <v>399.3</v>
      </c>
      <c r="Q6" s="266"/>
      <c r="R6" s="96" t="str">
        <f aca="false">F5</f>
        <v>BRANCO</v>
      </c>
      <c r="S6" s="268" t="n">
        <v>4600</v>
      </c>
      <c r="T6" s="476" t="n">
        <f aca="false">L37*1.331/1000</f>
        <v>1.271105</v>
      </c>
      <c r="U6" s="262" t="n">
        <f aca="false">M6*7.986</f>
        <v>7.986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116" t="s">
        <v>535</v>
      </c>
      <c r="L7" s="265" t="n">
        <f aca="false">IF(L38&gt;6000,L38/6000,1)</f>
        <v>1</v>
      </c>
      <c r="M7" s="91" t="n">
        <f aca="false">ROUNDUP(L7,0)</f>
        <v>1</v>
      </c>
      <c r="N7" s="266" t="n">
        <f aca="false">0.669*6*K26</f>
        <v>200.7</v>
      </c>
      <c r="O7" s="266"/>
      <c r="P7" s="266" t="n">
        <f aca="false">N7*M7</f>
        <v>200.7</v>
      </c>
      <c r="Q7" s="266"/>
      <c r="R7" s="96" t="str">
        <f aca="false">F5</f>
        <v>BRANCO</v>
      </c>
      <c r="S7" s="268" t="n">
        <v>4600</v>
      </c>
      <c r="T7" s="476" t="n">
        <f aca="false">L38*0.669/1000</f>
        <v>0.639564</v>
      </c>
      <c r="U7" s="262" t="n">
        <f aca="false">M7*4.014</f>
        <v>4.014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186</v>
      </c>
      <c r="L8" s="265" t="n">
        <f aca="false">IF(L39&gt;6000,L39/6000,1)</f>
        <v>1</v>
      </c>
      <c r="M8" s="91" t="n">
        <f aca="false">ROUNDUP(L8,0)</f>
        <v>1</v>
      </c>
      <c r="N8" s="266" t="n">
        <f aca="false">0.762*6*K26</f>
        <v>228.6</v>
      </c>
      <c r="O8" s="266"/>
      <c r="P8" s="266" t="n">
        <f aca="false">N8*M8</f>
        <v>228.6</v>
      </c>
      <c r="Q8" s="266"/>
      <c r="R8" s="96" t="str">
        <f aca="false">F5</f>
        <v>BRANCO</v>
      </c>
      <c r="S8" s="268" t="n">
        <v>4600</v>
      </c>
      <c r="T8" s="476" t="n">
        <f aca="false">L39*0.762/1000</f>
        <v>0.728472</v>
      </c>
      <c r="U8" s="262" t="n">
        <f aca="false">M8*4.572</f>
        <v>4.572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(B7-203)/2</f>
        <v>398.5</v>
      </c>
      <c r="F9" s="390" t="n">
        <f aca="false">C7-336</f>
        <v>664</v>
      </c>
      <c r="G9" s="270"/>
      <c r="H9" s="270"/>
      <c r="I9" s="270"/>
      <c r="J9" s="270"/>
      <c r="K9" s="116" t="s">
        <v>576</v>
      </c>
      <c r="L9" s="265" t="n">
        <f aca="false">IF(L40&gt;6000,L40/6000,1)</f>
        <v>1</v>
      </c>
      <c r="M9" s="91" t="n">
        <f aca="false">ROUNDUP(L9,0)</f>
        <v>1</v>
      </c>
      <c r="N9" s="266" t="n">
        <f aca="false">1.495*6*K26</f>
        <v>448.5</v>
      </c>
      <c r="O9" s="266"/>
      <c r="P9" s="266" t="n">
        <f aca="false">N9*M9</f>
        <v>448.5</v>
      </c>
      <c r="Q9" s="266"/>
      <c r="R9" s="96" t="str">
        <f aca="false">R8</f>
        <v>BRANCO</v>
      </c>
      <c r="S9" s="268" t="n">
        <v>6000</v>
      </c>
      <c r="T9" s="476" t="n">
        <f aca="false">L40*1.495/1000</f>
        <v>1.42922</v>
      </c>
      <c r="U9" s="262" t="n">
        <f aca="false">M9*8.97</f>
        <v>8.97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536</v>
      </c>
      <c r="L10" s="265" t="n">
        <f aca="false">IF(L41&gt;6000,L41/6000,1)</f>
        <v>1</v>
      </c>
      <c r="M10" s="91" t="n">
        <f aca="false">ROUNDUP(L10,0)</f>
        <v>1</v>
      </c>
      <c r="N10" s="277" t="n">
        <f aca="false">1.093*6*K26</f>
        <v>327.9</v>
      </c>
      <c r="O10" s="277"/>
      <c r="P10" s="277" t="n">
        <f aca="false">N10*M10</f>
        <v>327.9</v>
      </c>
      <c r="Q10" s="277"/>
      <c r="R10" s="96" t="str">
        <f aca="false">F5</f>
        <v>BRANCO</v>
      </c>
      <c r="S10" s="268" t="n">
        <v>6000</v>
      </c>
      <c r="T10" s="476" t="n">
        <f aca="false">L41*1.093/1000</f>
        <v>2.186</v>
      </c>
      <c r="U10" s="262" t="n">
        <f aca="false">M10*6.558</f>
        <v>6.558</v>
      </c>
    </row>
    <row r="11" customFormat="false" ht="25.5" hidden="false" customHeight="true" outlineLevel="0" collapsed="false">
      <c r="A11" s="67" t="s">
        <v>533</v>
      </c>
      <c r="B11" s="278"/>
      <c r="C11" s="278"/>
      <c r="D11" s="278"/>
      <c r="E11" s="15" t="n">
        <f aca="false">D7*1</f>
        <v>1</v>
      </c>
      <c r="F11" s="69" t="n">
        <f aca="false">B7-44</f>
        <v>956</v>
      </c>
      <c r="G11" s="69"/>
      <c r="H11" s="72" t="s">
        <v>17</v>
      </c>
      <c r="I11" s="72"/>
      <c r="J11" s="72" t="s">
        <v>42</v>
      </c>
      <c r="K11" s="116" t="s">
        <v>496</v>
      </c>
      <c r="L11" s="265" t="n">
        <f aca="false">IF(L42&gt;6000,L42/6000,1)</f>
        <v>1</v>
      </c>
      <c r="M11" s="91" t="n">
        <f aca="false">ROUNDUP(L11,0)</f>
        <v>1</v>
      </c>
      <c r="N11" s="266" t="n">
        <f aca="false">0.263*6*K26</f>
        <v>78.9</v>
      </c>
      <c r="O11" s="266"/>
      <c r="P11" s="266" t="n">
        <f aca="false">N11*M11</f>
        <v>78.9</v>
      </c>
      <c r="Q11" s="266"/>
      <c r="R11" s="96" t="str">
        <f aca="false">F5</f>
        <v>BRANCO</v>
      </c>
      <c r="S11" s="268" t="n">
        <v>6000</v>
      </c>
      <c r="T11" s="476" t="n">
        <f aca="false">L42*0.263/1000</f>
        <v>0.403968</v>
      </c>
      <c r="U11" s="262" t="n">
        <f aca="false">M11*1.578</f>
        <v>1.578</v>
      </c>
    </row>
    <row r="12" customFormat="false" ht="25.5" hidden="false" customHeight="true" outlineLevel="0" collapsed="false">
      <c r="A12" s="79" t="s">
        <v>537</v>
      </c>
      <c r="B12" s="279"/>
      <c r="C12" s="279"/>
      <c r="D12" s="279"/>
      <c r="E12" s="24" t="n">
        <f aca="false">D7*1</f>
        <v>1</v>
      </c>
      <c r="F12" s="97" t="n">
        <f aca="false">B7-44</f>
        <v>956</v>
      </c>
      <c r="G12" s="97"/>
      <c r="H12" s="83" t="s">
        <v>17</v>
      </c>
      <c r="I12" s="83"/>
      <c r="J12" s="83" t="s">
        <v>42</v>
      </c>
      <c r="K12" s="116" t="s">
        <v>577</v>
      </c>
      <c r="L12" s="265" t="n">
        <f aca="false">IF(L43&gt;6000,L43/6000,1)</f>
        <v>1</v>
      </c>
      <c r="M12" s="91" t="n">
        <f aca="false">ROUNDUP(L12,0)</f>
        <v>1</v>
      </c>
      <c r="N12" s="266" t="n">
        <f aca="false">0.734*6*K26</f>
        <v>220.2</v>
      </c>
      <c r="O12" s="266"/>
      <c r="P12" s="266" t="n">
        <f aca="false">N12*M12</f>
        <v>220.2</v>
      </c>
      <c r="Q12" s="266"/>
      <c r="R12" s="96" t="str">
        <f aca="false">F5</f>
        <v>BRANCO</v>
      </c>
      <c r="S12" s="268" t="n">
        <v>6000</v>
      </c>
      <c r="T12" s="476" t="n">
        <f aca="false">L43*0.734/1000</f>
        <v>0.563712</v>
      </c>
      <c r="U12" s="280" t="n">
        <f aca="false">M12*4.404</f>
        <v>4.404</v>
      </c>
    </row>
    <row r="13" customFormat="false" ht="25.5" hidden="false" customHeight="true" outlineLevel="0" collapsed="false">
      <c r="A13" s="79" t="s">
        <v>541</v>
      </c>
      <c r="B13" s="279"/>
      <c r="C13" s="279"/>
      <c r="D13" s="279"/>
      <c r="E13" s="24" t="n">
        <f aca="false">D7*1</f>
        <v>1</v>
      </c>
      <c r="F13" s="97" t="n">
        <f aca="false">B7-44</f>
        <v>956</v>
      </c>
      <c r="G13" s="97"/>
      <c r="H13" s="83" t="s">
        <v>17</v>
      </c>
      <c r="I13" s="83"/>
      <c r="J13" s="83" t="s">
        <v>42</v>
      </c>
      <c r="K13" s="116" t="s">
        <v>540</v>
      </c>
      <c r="L13" s="265" t="n">
        <f aca="false">IF(L44&gt;6000,L44/6000,1)</f>
        <v>1</v>
      </c>
      <c r="M13" s="295" t="n">
        <f aca="false">ROUNDUP(L13,0)</f>
        <v>1</v>
      </c>
      <c r="N13" s="266" t="n">
        <f aca="false">0.71*6*K26</f>
        <v>213</v>
      </c>
      <c r="O13" s="266"/>
      <c r="P13" s="266" t="n">
        <f aca="false">N13*M13</f>
        <v>213</v>
      </c>
      <c r="Q13" s="266"/>
      <c r="R13" s="96" t="str">
        <f aca="false">F5</f>
        <v>BRANCO</v>
      </c>
      <c r="S13" s="268" t="n">
        <v>6000</v>
      </c>
      <c r="T13" s="476" t="n">
        <f aca="false">L44*0.71/1000</f>
        <v>1.1289</v>
      </c>
      <c r="U13" s="280" t="n">
        <f aca="false">M13*4.26</f>
        <v>4.26</v>
      </c>
    </row>
    <row r="14" customFormat="false" ht="25.5" hidden="false" customHeight="true" outlineLevel="0" collapsed="false">
      <c r="A14" s="79" t="s">
        <v>575</v>
      </c>
      <c r="B14" s="279"/>
      <c r="C14" s="279"/>
      <c r="D14" s="279"/>
      <c r="E14" s="24" t="n">
        <f aca="false">D7*1</f>
        <v>1</v>
      </c>
      <c r="F14" s="24" t="n">
        <f aca="false">B7-45</f>
        <v>955</v>
      </c>
      <c r="G14" s="24"/>
      <c r="H14" s="83" t="s">
        <v>17</v>
      </c>
      <c r="I14" s="83"/>
      <c r="J14" s="83" t="s">
        <v>42</v>
      </c>
      <c r="K14" s="116" t="s">
        <v>578</v>
      </c>
      <c r="L14" s="265" t="n">
        <f aca="false">IF(L45&gt;6000,L45/6000,1)</f>
        <v>1.18563685636856</v>
      </c>
      <c r="M14" s="153" t="n">
        <f aca="false">ROUNDUP(L14,0)</f>
        <v>2</v>
      </c>
      <c r="N14" s="266" t="n">
        <f aca="false">0.08*6*K26</f>
        <v>24</v>
      </c>
      <c r="O14" s="266"/>
      <c r="P14" s="25" t="n">
        <f aca="false">N14*M14</f>
        <v>48</v>
      </c>
      <c r="Q14" s="25"/>
      <c r="R14" s="96" t="str">
        <f aca="false">F5</f>
        <v>BRANCO</v>
      </c>
      <c r="S14" s="268" t="n">
        <v>6000</v>
      </c>
      <c r="T14" s="476" t="n">
        <f aca="false">L45*0.08/1000</f>
        <v>0.56910569105691</v>
      </c>
      <c r="U14" s="262" t="n">
        <f aca="false">M14*0.48</f>
        <v>0.96</v>
      </c>
    </row>
    <row r="15" customFormat="false" ht="25.5" hidden="false" customHeight="true" outlineLevel="0" collapsed="false">
      <c r="A15" s="79" t="s">
        <v>535</v>
      </c>
      <c r="B15" s="279"/>
      <c r="C15" s="279"/>
      <c r="D15" s="279"/>
      <c r="E15" s="46" t="n">
        <f aca="false">D7*1</f>
        <v>1</v>
      </c>
      <c r="F15" s="24" t="n">
        <f aca="false">B7-44</f>
        <v>956</v>
      </c>
      <c r="G15" s="24"/>
      <c r="H15" s="83" t="s">
        <v>17</v>
      </c>
      <c r="I15" s="83"/>
      <c r="J15" s="83" t="s">
        <v>42</v>
      </c>
      <c r="K15" s="116" t="s">
        <v>579</v>
      </c>
      <c r="L15" s="265" t="n">
        <f aca="false">IF(L46&gt;6000,L46/6000,1)</f>
        <v>2.37127371273713</v>
      </c>
      <c r="M15" s="153" t="n">
        <f aca="false">ROUNDUP(L15,0)</f>
        <v>3</v>
      </c>
      <c r="N15" s="266" t="n">
        <f aca="false">0.08*6*K26</f>
        <v>24</v>
      </c>
      <c r="O15" s="266"/>
      <c r="P15" s="25" t="n">
        <f aca="false">N15*M15</f>
        <v>72</v>
      </c>
      <c r="Q15" s="25"/>
      <c r="R15" s="96" t="str">
        <f aca="false">F5</f>
        <v>BRANCO</v>
      </c>
      <c r="S15" s="268" t="n">
        <v>6000</v>
      </c>
      <c r="T15" s="476" t="n">
        <f aca="false">L46*0.08/1000</f>
        <v>1.13821138211382</v>
      </c>
      <c r="U15" s="262" t="n">
        <f aca="false">M15*0.48</f>
        <v>1.44</v>
      </c>
    </row>
    <row r="16" customFormat="false" ht="25.5" hidden="false" customHeight="true" outlineLevel="0" collapsed="false">
      <c r="A16" s="79" t="s">
        <v>186</v>
      </c>
      <c r="B16" s="279"/>
      <c r="C16" s="279"/>
      <c r="D16" s="279"/>
      <c r="E16" s="24" t="n">
        <f aca="false">D7*1</f>
        <v>1</v>
      </c>
      <c r="F16" s="24" t="n">
        <f aca="false">B7-44</f>
        <v>956</v>
      </c>
      <c r="G16" s="24"/>
      <c r="H16" s="83" t="s">
        <v>17</v>
      </c>
      <c r="I16" s="83"/>
      <c r="J16" s="83" t="s">
        <v>42</v>
      </c>
      <c r="K16" s="116" t="s">
        <v>544</v>
      </c>
      <c r="L16" s="265" t="n">
        <f aca="false">IF(L47&gt;6000,L47/6000,1)</f>
        <v>1</v>
      </c>
      <c r="M16" s="153" t="n">
        <f aca="false">ROUNDUP(L16,0)</f>
        <v>1</v>
      </c>
      <c r="N16" s="266" t="n">
        <f aca="false">0.371*6*K26</f>
        <v>111.3</v>
      </c>
      <c r="O16" s="266"/>
      <c r="P16" s="25" t="n">
        <f aca="false">N16*M16</f>
        <v>111.3</v>
      </c>
      <c r="Q16" s="25"/>
      <c r="R16" s="96" t="str">
        <f aca="false">F5</f>
        <v>BRANCO</v>
      </c>
      <c r="S16" s="268" t="n">
        <v>6000</v>
      </c>
      <c r="T16" s="476" t="n">
        <f aca="false">L47*0.371/1000</f>
        <v>0.324625</v>
      </c>
      <c r="U16" s="280" t="n">
        <f aca="false">M16*2.226</f>
        <v>2.226</v>
      </c>
    </row>
    <row r="17" customFormat="false" ht="25.5" hidden="false" customHeight="true" outlineLevel="0" collapsed="false">
      <c r="A17" s="79" t="s">
        <v>576</v>
      </c>
      <c r="B17" s="279"/>
      <c r="C17" s="279"/>
      <c r="D17" s="279"/>
      <c r="E17" s="24" t="n">
        <f aca="false">D7*1</f>
        <v>1</v>
      </c>
      <c r="F17" s="24" t="n">
        <f aca="false">B7-44</f>
        <v>956</v>
      </c>
      <c r="G17" s="24"/>
      <c r="H17" s="83" t="s">
        <v>17</v>
      </c>
      <c r="I17" s="83"/>
      <c r="J17" s="83" t="s">
        <v>42</v>
      </c>
      <c r="K17" s="116" t="s">
        <v>201</v>
      </c>
      <c r="L17" s="265" t="n">
        <f aca="false">IF(L48&gt;6000,L48/6000,1)</f>
        <v>1</v>
      </c>
      <c r="M17" s="153" t="n">
        <f aca="false">ROUNDUP(L17,0)</f>
        <v>1</v>
      </c>
      <c r="N17" s="266" t="n">
        <f aca="false">0.507*6*K26</f>
        <v>152.1</v>
      </c>
      <c r="O17" s="266"/>
      <c r="P17" s="25" t="n">
        <f aca="false">N17*M17</f>
        <v>152.1</v>
      </c>
      <c r="Q17" s="25"/>
      <c r="R17" s="96" t="str">
        <f aca="false">F5</f>
        <v>BRANCO</v>
      </c>
      <c r="S17" s="268" t="n">
        <v>6000</v>
      </c>
      <c r="T17" s="476" t="n">
        <f aca="false">L48*0.507/1000</f>
        <v>0.820326</v>
      </c>
      <c r="U17" s="262" t="n">
        <f aca="false">M17*3.042</f>
        <v>3.042</v>
      </c>
    </row>
    <row r="18" customFormat="false" ht="25.5" hidden="false" customHeight="true" outlineLevel="0" collapsed="false">
      <c r="A18" s="79" t="s">
        <v>536</v>
      </c>
      <c r="B18" s="279"/>
      <c r="C18" s="279"/>
      <c r="D18" s="279"/>
      <c r="E18" s="24" t="n">
        <f aca="false">D7*2</f>
        <v>2</v>
      </c>
      <c r="F18" s="24" t="n">
        <f aca="false">C7</f>
        <v>1000</v>
      </c>
      <c r="G18" s="24"/>
      <c r="H18" s="83" t="s">
        <v>18</v>
      </c>
      <c r="I18" s="83"/>
      <c r="J18" s="83" t="s">
        <v>42</v>
      </c>
      <c r="K18" s="116" t="s">
        <v>193</v>
      </c>
      <c r="L18" s="265" t="n">
        <f aca="false">IF(L49&gt;6000,L49/6000,1)</f>
        <v>1</v>
      </c>
      <c r="M18" s="153" t="n">
        <f aca="false">ROUNDUP(L18,0)</f>
        <v>1</v>
      </c>
      <c r="N18" s="266" t="n">
        <f aca="false">0.52*6*K26</f>
        <v>156</v>
      </c>
      <c r="O18" s="266"/>
      <c r="P18" s="25" t="n">
        <f aca="false">N18*M18</f>
        <v>156</v>
      </c>
      <c r="Q18" s="25"/>
      <c r="R18" s="96" t="str">
        <f aca="false">F5</f>
        <v>BRANCO</v>
      </c>
      <c r="S18" s="268" t="n">
        <v>6000</v>
      </c>
      <c r="T18" s="476" t="n">
        <f aca="false">L49*0.52/1000</f>
        <v>0.77792</v>
      </c>
      <c r="U18" s="262" t="n">
        <f aca="false">M18*3.12</f>
        <v>3.12</v>
      </c>
    </row>
    <row r="19" customFormat="false" ht="22.5" hidden="false" customHeight="true" outlineLevel="0" collapsed="false">
      <c r="A19" s="79" t="s">
        <v>496</v>
      </c>
      <c r="B19" s="279"/>
      <c r="C19" s="279"/>
      <c r="D19" s="279"/>
      <c r="E19" s="24" t="n">
        <f aca="false">D7*2</f>
        <v>2</v>
      </c>
      <c r="F19" s="24" t="n">
        <f aca="false">C7-232</f>
        <v>768</v>
      </c>
      <c r="G19" s="24"/>
      <c r="H19" s="83" t="s">
        <v>18</v>
      </c>
      <c r="I19" s="83"/>
      <c r="J19" s="83" t="s">
        <v>42</v>
      </c>
      <c r="K19" s="116" t="s">
        <v>197</v>
      </c>
      <c r="L19" s="265" t="n">
        <f aca="false">IF(L50&gt;6000,L50/6000,1)</f>
        <v>1</v>
      </c>
      <c r="M19" s="153" t="n">
        <f aca="false">ROUNDUP(L19,0)</f>
        <v>1</v>
      </c>
      <c r="N19" s="266" t="n">
        <f aca="false">0.48*6*K26</f>
        <v>144</v>
      </c>
      <c r="O19" s="266"/>
      <c r="P19" s="25" t="n">
        <f aca="false">N19*M19</f>
        <v>144</v>
      </c>
      <c r="Q19" s="25"/>
      <c r="R19" s="96" t="str">
        <f aca="false">F5</f>
        <v>BRANCO</v>
      </c>
      <c r="S19" s="268" t="n">
        <v>6000</v>
      </c>
      <c r="T19" s="476" t="n">
        <f aca="false">L50*0.48/1000</f>
        <v>0.35904</v>
      </c>
      <c r="U19" s="262" t="n">
        <f aca="false">M19*2.88</f>
        <v>2.88</v>
      </c>
    </row>
    <row r="20" customFormat="false" ht="22.5" hidden="false" customHeight="true" outlineLevel="0" collapsed="false">
      <c r="A20" s="79" t="s">
        <v>577</v>
      </c>
      <c r="B20" s="279"/>
      <c r="C20" s="279"/>
      <c r="D20" s="279"/>
      <c r="E20" s="46" t="n">
        <f aca="false">D7*1</f>
        <v>1</v>
      </c>
      <c r="F20" s="24" t="n">
        <f aca="false">C7-232</f>
        <v>768</v>
      </c>
      <c r="G20" s="24"/>
      <c r="H20" s="83" t="s">
        <v>18</v>
      </c>
      <c r="I20" s="83"/>
      <c r="J20" s="83" t="s">
        <v>42</v>
      </c>
      <c r="K20" s="116" t="s">
        <v>200</v>
      </c>
      <c r="L20" s="265" t="n">
        <f aca="false">IF(L51&gt;6000,L51/6000,1)</f>
        <v>1</v>
      </c>
      <c r="M20" s="153" t="n">
        <f aca="false">ROUNDUP(L20,0)</f>
        <v>1</v>
      </c>
      <c r="N20" s="266" t="n">
        <f aca="false">0.507*6*K26</f>
        <v>152.1</v>
      </c>
      <c r="O20" s="266"/>
      <c r="P20" s="25" t="n">
        <f aca="false">N20*M20</f>
        <v>152.1</v>
      </c>
      <c r="Q20" s="25"/>
      <c r="R20" s="96" t="str">
        <f aca="false">F5</f>
        <v>BRANCO</v>
      </c>
      <c r="S20" s="268" t="n">
        <v>6000</v>
      </c>
      <c r="T20" s="476" t="n">
        <f aca="false">L51*0.507/1000</f>
        <v>0.379236</v>
      </c>
      <c r="U20" s="262" t="n">
        <f aca="false">M20*3.042</f>
        <v>3.042</v>
      </c>
    </row>
    <row r="21" customFormat="false" ht="21" hidden="false" customHeight="true" outlineLevel="0" collapsed="false">
      <c r="A21" s="79" t="s">
        <v>540</v>
      </c>
      <c r="B21" s="80"/>
      <c r="C21" s="80"/>
      <c r="D21" s="80"/>
      <c r="E21" s="46" t="n">
        <f aca="false">D7*2</f>
        <v>2</v>
      </c>
      <c r="F21" s="97" t="n">
        <f aca="false">C7-205</f>
        <v>795</v>
      </c>
      <c r="G21" s="97"/>
      <c r="H21" s="28" t="s">
        <v>18</v>
      </c>
      <c r="I21" s="28"/>
      <c r="J21" s="83" t="s">
        <v>42</v>
      </c>
      <c r="K21" s="116" t="s">
        <v>188</v>
      </c>
      <c r="L21" s="265" t="n">
        <f aca="false">IF(L52&gt;6000,L52/6000,1)</f>
        <v>1</v>
      </c>
      <c r="M21" s="153" t="n">
        <f aca="false">ROUNDUP(L21,0)</f>
        <v>1</v>
      </c>
      <c r="N21" s="266" t="n">
        <f aca="false">0.111*6*K26</f>
        <v>33.3</v>
      </c>
      <c r="O21" s="266"/>
      <c r="P21" s="25" t="n">
        <f aca="false">N21*M21</f>
        <v>33.3</v>
      </c>
      <c r="Q21" s="25"/>
      <c r="R21" s="96" t="str">
        <f aca="false">F5</f>
        <v>BRANCO</v>
      </c>
      <c r="S21" s="268" t="n">
        <v>6000</v>
      </c>
      <c r="T21" s="476" t="n">
        <f aca="false">L52*0.111/1000</f>
        <v>0.466422</v>
      </c>
      <c r="U21" s="262" t="n">
        <f aca="false">M21*0.666</f>
        <v>0.666</v>
      </c>
    </row>
    <row r="22" customFormat="false" ht="26.25" hidden="false" customHeight="true" outlineLevel="0" collapsed="false">
      <c r="A22" s="79" t="s">
        <v>578</v>
      </c>
      <c r="B22" s="80"/>
      <c r="C22" s="80"/>
      <c r="D22" s="80"/>
      <c r="E22" s="24" t="n">
        <f aca="false">((C7/3)/41)*D7</f>
        <v>8.13008130081301</v>
      </c>
      <c r="F22" s="24" t="n">
        <f aca="false">B7-125</f>
        <v>875</v>
      </c>
      <c r="G22" s="24"/>
      <c r="H22" s="83" t="s">
        <v>17</v>
      </c>
      <c r="I22" s="83"/>
      <c r="J22" s="83" t="s">
        <v>42</v>
      </c>
      <c r="K22" s="116" t="s">
        <v>580</v>
      </c>
      <c r="L22" s="265" t="n">
        <f aca="false">IF(L53&gt;6000,L53/6000,1)</f>
        <v>1</v>
      </c>
      <c r="M22" s="153" t="n">
        <f aca="false">ROUNDUP(L22,0)</f>
        <v>1</v>
      </c>
      <c r="N22" s="266" t="n">
        <f aca="false">0.265*6*K26</f>
        <v>79.5</v>
      </c>
      <c r="O22" s="266"/>
      <c r="P22" s="25" t="n">
        <f aca="false">N22*M22</f>
        <v>79.5</v>
      </c>
      <c r="Q22" s="25"/>
      <c r="R22" s="96" t="str">
        <f aca="false">F5</f>
        <v>BRANCO</v>
      </c>
      <c r="S22" s="268" t="n">
        <v>6000</v>
      </c>
      <c r="T22" s="476" t="n">
        <f aca="false">L53*0.265/1000</f>
        <v>0.04452</v>
      </c>
      <c r="U22" s="262" t="n">
        <f aca="false">M22*1.59</f>
        <v>1.59</v>
      </c>
    </row>
    <row r="23" customFormat="false" ht="26.25" hidden="false" customHeight="true" outlineLevel="0" collapsed="false">
      <c r="A23" s="79" t="s">
        <v>579</v>
      </c>
      <c r="B23" s="80"/>
      <c r="C23" s="80"/>
      <c r="D23" s="80"/>
      <c r="E23" s="24" t="n">
        <f aca="false">(((C7/3)/41)*2)*D7</f>
        <v>16.260162601626</v>
      </c>
      <c r="F23" s="24" t="n">
        <f aca="false">B7-125</f>
        <v>875</v>
      </c>
      <c r="G23" s="24"/>
      <c r="H23" s="83" t="s">
        <v>17</v>
      </c>
      <c r="I23" s="83"/>
      <c r="J23" s="83" t="s">
        <v>42</v>
      </c>
      <c r="K23" s="116"/>
      <c r="L23" s="283"/>
      <c r="M23" s="471"/>
      <c r="N23" s="284"/>
      <c r="O23" s="280"/>
      <c r="P23" s="120"/>
      <c r="Q23" s="120"/>
      <c r="R23" s="96"/>
      <c r="S23" s="268"/>
      <c r="T23" s="476"/>
      <c r="U23" s="262"/>
    </row>
    <row r="24" customFormat="false" ht="26.25" hidden="false" customHeight="true" outlineLevel="0" collapsed="false">
      <c r="A24" s="79" t="s">
        <v>544</v>
      </c>
      <c r="B24" s="80"/>
      <c r="C24" s="80"/>
      <c r="D24" s="80"/>
      <c r="E24" s="46" t="n">
        <f aca="false">D7*1</f>
        <v>1</v>
      </c>
      <c r="F24" s="24" t="n">
        <f aca="false">B7-125</f>
        <v>875</v>
      </c>
      <c r="G24" s="24"/>
      <c r="H24" s="83" t="s">
        <v>17</v>
      </c>
      <c r="I24" s="83"/>
      <c r="J24" s="83" t="s">
        <v>42</v>
      </c>
      <c r="K24" s="285"/>
      <c r="L24" s="286"/>
      <c r="M24" s="472"/>
      <c r="N24" s="285"/>
      <c r="O24" s="288"/>
      <c r="P24" s="209"/>
      <c r="Q24" s="209"/>
      <c r="R24" s="290"/>
      <c r="S24" s="268"/>
      <c r="T24" s="476"/>
      <c r="U24" s="291"/>
    </row>
    <row r="25" customFormat="false" ht="26.25" hidden="false" customHeight="true" outlineLevel="0" collapsed="false">
      <c r="A25" s="79" t="s">
        <v>201</v>
      </c>
      <c r="B25" s="80"/>
      <c r="C25" s="80"/>
      <c r="D25" s="80"/>
      <c r="E25" s="46" t="n">
        <f aca="false">D7*4</f>
        <v>4</v>
      </c>
      <c r="F25" s="24" t="n">
        <f aca="false">(B7-191)/2</f>
        <v>404.5</v>
      </c>
      <c r="G25" s="24"/>
      <c r="H25" s="83" t="s">
        <v>17</v>
      </c>
      <c r="I25" s="83"/>
      <c r="J25" s="83" t="s">
        <v>42</v>
      </c>
      <c r="K25" s="297" t="s">
        <v>133</v>
      </c>
      <c r="L25" s="484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73" t="s">
        <v>130</v>
      </c>
      <c r="T25" s="73"/>
      <c r="U25" s="292" t="n">
        <f aca="false">SUM(T3:T24)</f>
        <v>16.6547390731707</v>
      </c>
    </row>
    <row r="26" customFormat="false" ht="26.25" hidden="false" customHeight="true" outlineLevel="0" collapsed="false">
      <c r="A26" s="79" t="s">
        <v>193</v>
      </c>
      <c r="B26" s="293"/>
      <c r="C26" s="293"/>
      <c r="D26" s="293"/>
      <c r="E26" s="46" t="n">
        <f aca="false">D7*2</f>
        <v>2</v>
      </c>
      <c r="F26" s="97" t="n">
        <f aca="false">C7-252</f>
        <v>748</v>
      </c>
      <c r="G26" s="97"/>
      <c r="H26" s="28" t="s">
        <v>18</v>
      </c>
      <c r="I26" s="28"/>
      <c r="J26" s="83" t="s">
        <v>42</v>
      </c>
      <c r="K26" s="410" t="n">
        <v>50</v>
      </c>
      <c r="L26" s="410" t="n">
        <v>100</v>
      </c>
      <c r="M26" s="302" t="n">
        <f aca="false">U25*L26</f>
        <v>1665.47390731707</v>
      </c>
      <c r="N26" s="302"/>
      <c r="O26" s="303" t="n">
        <v>0.1</v>
      </c>
      <c r="P26" s="85" t="n">
        <f aca="false">K30*O26+K30</f>
        <v>916.01064902439</v>
      </c>
      <c r="Q26" s="85"/>
      <c r="R26" s="85"/>
      <c r="S26" s="181" t="s">
        <v>131</v>
      </c>
      <c r="T26" s="181"/>
      <c r="U26" s="294" t="n">
        <f aca="false">SUM(U3:U24)</f>
        <v>82.8</v>
      </c>
    </row>
    <row r="27" customFormat="false" ht="23.25" hidden="false" customHeight="true" outlineLevel="0" collapsed="false">
      <c r="A27" s="79" t="s">
        <v>197</v>
      </c>
      <c r="B27" s="26"/>
      <c r="C27" s="26"/>
      <c r="D27" s="26"/>
      <c r="E27" s="206" t="n">
        <f aca="false">D7*1</f>
        <v>1</v>
      </c>
      <c r="F27" s="206" t="n">
        <f aca="false">F26</f>
        <v>748</v>
      </c>
      <c r="G27" s="206"/>
      <c r="H27" s="28" t="s">
        <v>18</v>
      </c>
      <c r="I27" s="28"/>
      <c r="J27" s="83" t="s">
        <v>42</v>
      </c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66.1452609268293</v>
      </c>
    </row>
    <row r="28" customFormat="false" ht="23.25" hidden="false" customHeight="true" outlineLevel="0" collapsed="false">
      <c r="A28" s="79" t="s">
        <v>200</v>
      </c>
      <c r="B28" s="26"/>
      <c r="C28" s="26"/>
      <c r="D28" s="26"/>
      <c r="E28" s="206" t="n">
        <f aca="false">D7*1</f>
        <v>1</v>
      </c>
      <c r="F28" s="206" t="n">
        <f aca="false">F26</f>
        <v>748</v>
      </c>
      <c r="G28" s="206"/>
      <c r="H28" s="28" t="s">
        <v>18</v>
      </c>
      <c r="I28" s="28"/>
      <c r="J28" s="83" t="s">
        <v>42</v>
      </c>
      <c r="K28" s="84" t="n">
        <f aca="false">U26*K26</f>
        <v>4140</v>
      </c>
      <c r="L28" s="84"/>
      <c r="O28" s="296"/>
      <c r="Q28" s="296"/>
      <c r="R28" s="296"/>
      <c r="S28" s="296"/>
      <c r="T28" s="296"/>
      <c r="U28" s="296"/>
    </row>
    <row r="29" customFormat="false" ht="23.25" hidden="false" customHeight="true" outlineLevel="0" collapsed="false">
      <c r="A29" s="79" t="s">
        <v>188</v>
      </c>
      <c r="B29" s="26"/>
      <c r="C29" s="26"/>
      <c r="D29" s="26"/>
      <c r="E29" s="206" t="n">
        <f aca="false">D7*4</f>
        <v>4</v>
      </c>
      <c r="F29" s="205" t="n">
        <f aca="false">F25</f>
        <v>404.5</v>
      </c>
      <c r="G29" s="205"/>
      <c r="H29" s="28" t="s">
        <v>17</v>
      </c>
      <c r="I29" s="28"/>
      <c r="J29" s="83" t="s">
        <v>42</v>
      </c>
      <c r="K29" s="73" t="s">
        <v>199</v>
      </c>
      <c r="L29" s="73"/>
    </row>
    <row r="30" customFormat="false" ht="23.25" hidden="false" customHeight="true" outlineLevel="0" collapsed="false">
      <c r="A30" s="79" t="s">
        <v>188</v>
      </c>
      <c r="B30" s="26"/>
      <c r="C30" s="26"/>
      <c r="D30" s="26"/>
      <c r="E30" s="206" t="n">
        <f aca="false">D7*4</f>
        <v>4</v>
      </c>
      <c r="F30" s="206" t="n">
        <f aca="false">C7-354</f>
        <v>646</v>
      </c>
      <c r="G30" s="206"/>
      <c r="H30" s="28" t="s">
        <v>18</v>
      </c>
      <c r="I30" s="28"/>
      <c r="J30" s="83" t="s">
        <v>42</v>
      </c>
      <c r="K30" s="84" t="n">
        <f aca="false">U25*K26</f>
        <v>832.736953658537</v>
      </c>
      <c r="L30" s="84"/>
    </row>
    <row r="31" customFormat="false" ht="23.25" hidden="false" customHeight="true" outlineLevel="0" collapsed="false">
      <c r="A31" s="99" t="s">
        <v>580</v>
      </c>
      <c r="B31" s="209"/>
      <c r="C31" s="209"/>
      <c r="D31" s="209"/>
      <c r="E31" s="477" t="n">
        <f aca="false">D7*8</f>
        <v>8</v>
      </c>
      <c r="F31" s="210" t="n">
        <f aca="false">21</f>
        <v>21</v>
      </c>
      <c r="G31" s="210"/>
      <c r="H31" s="478"/>
      <c r="I31" s="478"/>
      <c r="J31" s="103" t="s">
        <v>42</v>
      </c>
      <c r="K31" s="109"/>
      <c r="L31" s="109"/>
      <c r="M31" s="109"/>
      <c r="N31" s="109"/>
    </row>
    <row r="32" customFormat="false" ht="17.25" hidden="false" customHeight="true" outlineLevel="0" collapsed="false">
      <c r="F32" s="153"/>
      <c r="G32" s="153"/>
      <c r="K32" s="109"/>
      <c r="L32" s="109"/>
      <c r="M32" s="109"/>
      <c r="N32" s="109"/>
    </row>
    <row r="33" customFormat="false" ht="15.75" hidden="false" customHeight="true" outlineLevel="0" collapsed="false">
      <c r="F33" s="153"/>
      <c r="G33" s="153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 t="s">
        <v>533</v>
      </c>
      <c r="L34" s="109" t="n">
        <f aca="false">F11*E11</f>
        <v>956</v>
      </c>
      <c r="M34" s="109"/>
      <c r="N34" s="109"/>
      <c r="O34" s="93"/>
      <c r="P34" s="93"/>
      <c r="Q34" s="93"/>
      <c r="R34" s="93"/>
    </row>
    <row r="35" customFormat="false" ht="15" hidden="false" customHeight="true" outlineLevel="0" collapsed="false">
      <c r="A35" s="479" t="s">
        <v>51</v>
      </c>
      <c r="B35" s="20" t="s">
        <v>26</v>
      </c>
      <c r="C35" s="20"/>
      <c r="D35" s="20"/>
      <c r="E35" s="20"/>
      <c r="F35" s="20"/>
      <c r="G35" s="20"/>
      <c r="H35" s="227" t="s">
        <v>5</v>
      </c>
      <c r="I35" s="20" t="s">
        <v>207</v>
      </c>
      <c r="J35" s="20"/>
      <c r="K35" s="387" t="s">
        <v>537</v>
      </c>
      <c r="L35" s="109" t="n">
        <f aca="false">F12*E12</f>
        <v>956</v>
      </c>
      <c r="M35" s="109"/>
      <c r="N35" s="109"/>
      <c r="O35" s="93"/>
      <c r="P35" s="93"/>
      <c r="Q35" s="93"/>
      <c r="R35" s="93"/>
    </row>
    <row r="36" customFormat="false" ht="27" hidden="false" customHeight="true" outlineLevel="0" collapsed="false">
      <c r="A36" s="485" t="s">
        <v>499</v>
      </c>
      <c r="B36" s="314" t="s">
        <v>500</v>
      </c>
      <c r="C36" s="314"/>
      <c r="D36" s="314"/>
      <c r="E36" s="314"/>
      <c r="F36" s="314"/>
      <c r="G36" s="314"/>
      <c r="H36" s="397" t="s">
        <v>64</v>
      </c>
      <c r="I36" s="72" t="n">
        <f aca="false">D7*2</f>
        <v>2</v>
      </c>
      <c r="J36" s="72"/>
      <c r="K36" s="387" t="s">
        <v>541</v>
      </c>
      <c r="L36" s="133" t="n">
        <f aca="false">F13*E13</f>
        <v>956</v>
      </c>
      <c r="M36" s="387"/>
      <c r="N36" s="133"/>
      <c r="O36" s="93"/>
      <c r="P36" s="93"/>
      <c r="Q36" s="93"/>
      <c r="R36" s="93"/>
    </row>
    <row r="37" customFormat="false" ht="27" hidden="false" customHeight="true" outlineLevel="0" collapsed="false">
      <c r="A37" s="486" t="s">
        <v>581</v>
      </c>
      <c r="B37" s="320" t="s">
        <v>582</v>
      </c>
      <c r="C37" s="320"/>
      <c r="D37" s="320"/>
      <c r="E37" s="320"/>
      <c r="F37" s="320"/>
      <c r="G37" s="320"/>
      <c r="H37" s="96" t="s">
        <v>64</v>
      </c>
      <c r="I37" s="83" t="n">
        <f aca="false">D7*2</f>
        <v>2</v>
      </c>
      <c r="J37" s="83"/>
      <c r="K37" s="387" t="s">
        <v>575</v>
      </c>
      <c r="L37" s="133" t="n">
        <f aca="false">F14*E14</f>
        <v>955</v>
      </c>
      <c r="M37" s="387"/>
      <c r="N37" s="133"/>
      <c r="O37" s="93"/>
      <c r="P37" s="93"/>
      <c r="Q37" s="93"/>
      <c r="R37" s="93"/>
    </row>
    <row r="38" customFormat="false" ht="23.25" hidden="false" customHeight="true" outlineLevel="0" collapsed="false">
      <c r="A38" s="486" t="s">
        <v>515</v>
      </c>
      <c r="B38" s="320" t="s">
        <v>583</v>
      </c>
      <c r="C38" s="320"/>
      <c r="D38" s="320"/>
      <c r="E38" s="320"/>
      <c r="F38" s="320"/>
      <c r="G38" s="320"/>
      <c r="H38" s="96" t="s">
        <v>46</v>
      </c>
      <c r="I38" s="83" t="n">
        <f aca="false">C7*1*D7</f>
        <v>1000</v>
      </c>
      <c r="J38" s="83"/>
      <c r="K38" s="387" t="s">
        <v>535</v>
      </c>
      <c r="L38" s="133" t="n">
        <f aca="false">F15*E15</f>
        <v>956</v>
      </c>
      <c r="M38" s="387"/>
      <c r="N38" s="133"/>
      <c r="O38" s="93"/>
      <c r="P38" s="93"/>
      <c r="Q38" s="93"/>
      <c r="R38" s="93"/>
    </row>
    <row r="39" customFormat="false" ht="23.25" hidden="false" customHeight="true" outlineLevel="0" collapsed="false">
      <c r="A39" s="486" t="s">
        <v>517</v>
      </c>
      <c r="B39" s="320" t="s">
        <v>584</v>
      </c>
      <c r="C39" s="320"/>
      <c r="D39" s="320"/>
      <c r="E39" s="320"/>
      <c r="F39" s="320"/>
      <c r="G39" s="320"/>
      <c r="H39" s="96" t="s">
        <v>46</v>
      </c>
      <c r="I39" s="83" t="n">
        <f aca="false">B7*4*D7</f>
        <v>4000</v>
      </c>
      <c r="J39" s="83"/>
      <c r="K39" s="387" t="s">
        <v>186</v>
      </c>
      <c r="L39" s="133" t="n">
        <f aca="false">F16*E16</f>
        <v>956</v>
      </c>
      <c r="M39" s="387"/>
      <c r="N39" s="133"/>
      <c r="O39" s="93"/>
      <c r="P39" s="93"/>
      <c r="Q39" s="93"/>
      <c r="R39" s="93"/>
    </row>
    <row r="40" customFormat="false" ht="23.25" hidden="false" customHeight="true" outlineLevel="0" collapsed="false">
      <c r="A40" s="486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83" t="n">
        <f aca="false">C7*4*D7</f>
        <v>4000</v>
      </c>
      <c r="J40" s="83"/>
      <c r="K40" s="387" t="s">
        <v>576</v>
      </c>
      <c r="L40" s="133" t="n">
        <f aca="false">F17*E17</f>
        <v>956</v>
      </c>
      <c r="M40" s="387"/>
      <c r="N40" s="133"/>
      <c r="O40" s="93"/>
      <c r="P40" s="93"/>
      <c r="Q40" s="93"/>
      <c r="R40" s="93"/>
    </row>
    <row r="41" customFormat="false" ht="23.25" hidden="false" customHeight="true" outlineLevel="0" collapsed="false">
      <c r="A41" s="486" t="s">
        <v>527</v>
      </c>
      <c r="B41" s="320" t="s">
        <v>585</v>
      </c>
      <c r="C41" s="320"/>
      <c r="D41" s="320"/>
      <c r="E41" s="320"/>
      <c r="F41" s="320"/>
      <c r="G41" s="320"/>
      <c r="H41" s="96" t="s">
        <v>46</v>
      </c>
      <c r="I41" s="83" t="n">
        <f aca="false">B7+(C7*2)*D7</f>
        <v>3000</v>
      </c>
      <c r="J41" s="83"/>
      <c r="K41" s="387" t="s">
        <v>536</v>
      </c>
      <c r="L41" s="133" t="n">
        <f aca="false">F18*E18</f>
        <v>2000</v>
      </c>
      <c r="M41" s="387"/>
      <c r="N41" s="133"/>
      <c r="O41" s="93"/>
      <c r="P41" s="93"/>
      <c r="Q41" s="93"/>
      <c r="R41" s="93"/>
    </row>
    <row r="42" customFormat="false" ht="23.25" hidden="false" customHeight="true" outlineLevel="0" collapsed="false">
      <c r="A42" s="486" t="s">
        <v>504</v>
      </c>
      <c r="B42" s="320" t="s">
        <v>226</v>
      </c>
      <c r="C42" s="320"/>
      <c r="D42" s="320"/>
      <c r="E42" s="320"/>
      <c r="F42" s="320"/>
      <c r="G42" s="320"/>
      <c r="H42" s="96" t="s">
        <v>64</v>
      </c>
      <c r="I42" s="83" t="n">
        <f aca="false">D7*1</f>
        <v>1</v>
      </c>
      <c r="J42" s="83"/>
      <c r="K42" s="387" t="s">
        <v>496</v>
      </c>
      <c r="L42" s="133" t="n">
        <f aca="false">F19*E19</f>
        <v>1536</v>
      </c>
      <c r="M42" s="387"/>
      <c r="N42" s="133"/>
      <c r="O42" s="93"/>
      <c r="P42" s="93"/>
      <c r="Q42" s="93"/>
      <c r="R42" s="93"/>
    </row>
    <row r="43" customFormat="false" ht="23.25" hidden="false" customHeight="true" outlineLevel="0" collapsed="false">
      <c r="A43" s="486" t="s">
        <v>505</v>
      </c>
      <c r="B43" s="320" t="s">
        <v>506</v>
      </c>
      <c r="C43" s="320"/>
      <c r="D43" s="320"/>
      <c r="E43" s="320"/>
      <c r="F43" s="320"/>
      <c r="G43" s="320"/>
      <c r="H43" s="96" t="s">
        <v>64</v>
      </c>
      <c r="I43" s="428" t="n">
        <f aca="false">D7*8</f>
        <v>8</v>
      </c>
      <c r="J43" s="428"/>
      <c r="K43" s="387" t="s">
        <v>577</v>
      </c>
      <c r="L43" s="109" t="n">
        <f aca="false">F20*E20</f>
        <v>768</v>
      </c>
      <c r="M43" s="387"/>
      <c r="N43" s="109"/>
      <c r="O43" s="93"/>
      <c r="P43" s="93"/>
      <c r="Q43" s="93"/>
      <c r="R43" s="93"/>
    </row>
    <row r="44" customFormat="false" ht="23.25" hidden="false" customHeight="true" outlineLevel="0" collapsed="false">
      <c r="A44" s="486" t="s">
        <v>507</v>
      </c>
      <c r="B44" s="320" t="s">
        <v>230</v>
      </c>
      <c r="C44" s="320"/>
      <c r="D44" s="320"/>
      <c r="E44" s="320"/>
      <c r="F44" s="320"/>
      <c r="G44" s="320"/>
      <c r="H44" s="96" t="s">
        <v>64</v>
      </c>
      <c r="I44" s="428" t="n">
        <f aca="false">D7*1</f>
        <v>1</v>
      </c>
      <c r="J44" s="428"/>
      <c r="K44" s="387" t="s">
        <v>540</v>
      </c>
      <c r="L44" s="109" t="n">
        <f aca="false">F21*E21</f>
        <v>1590</v>
      </c>
      <c r="M44" s="387"/>
      <c r="N44" s="133"/>
      <c r="O44" s="93"/>
      <c r="P44" s="93"/>
      <c r="Q44" s="93"/>
      <c r="R44" s="93"/>
    </row>
    <row r="45" customFormat="false" ht="23.25" hidden="false" customHeight="true" outlineLevel="0" collapsed="false">
      <c r="A45" s="486" t="s">
        <v>508</v>
      </c>
      <c r="B45" s="320" t="s">
        <v>509</v>
      </c>
      <c r="C45" s="320"/>
      <c r="D45" s="320"/>
      <c r="E45" s="320"/>
      <c r="F45" s="320"/>
      <c r="G45" s="320"/>
      <c r="H45" s="96" t="s">
        <v>64</v>
      </c>
      <c r="I45" s="428" t="n">
        <f aca="false">D7*6</f>
        <v>6</v>
      </c>
      <c r="J45" s="428"/>
      <c r="K45" s="387" t="s">
        <v>578</v>
      </c>
      <c r="L45" s="109" t="n">
        <f aca="false">F22*E22</f>
        <v>7113.82113821138</v>
      </c>
      <c r="M45" s="109"/>
      <c r="N45" s="109"/>
      <c r="O45" s="93"/>
      <c r="P45" s="93"/>
      <c r="Q45" s="93"/>
      <c r="R45" s="93"/>
    </row>
    <row r="46" customFormat="false" ht="23.25" hidden="false" customHeight="true" outlineLevel="0" collapsed="false">
      <c r="A46" s="486" t="s">
        <v>510</v>
      </c>
      <c r="B46" s="480" t="s">
        <v>511</v>
      </c>
      <c r="C46" s="480"/>
      <c r="D46" s="480"/>
      <c r="E46" s="480"/>
      <c r="F46" s="480"/>
      <c r="G46" s="480"/>
      <c r="H46" s="96" t="s">
        <v>64</v>
      </c>
      <c r="I46" s="428" t="n">
        <f aca="false">D7*34</f>
        <v>34</v>
      </c>
      <c r="J46" s="428"/>
      <c r="K46" s="387" t="s">
        <v>579</v>
      </c>
      <c r="L46" s="109" t="n">
        <f aca="false">F23*E23</f>
        <v>14227.6422764228</v>
      </c>
      <c r="M46" s="109"/>
      <c r="N46" s="109"/>
    </row>
    <row r="47" customFormat="false" ht="23.25" hidden="false" customHeight="true" outlineLevel="0" collapsed="false">
      <c r="A47" s="486" t="s">
        <v>549</v>
      </c>
      <c r="B47" s="480" t="s">
        <v>236</v>
      </c>
      <c r="C47" s="480"/>
      <c r="D47" s="480"/>
      <c r="E47" s="480"/>
      <c r="F47" s="480"/>
      <c r="G47" s="480"/>
      <c r="H47" s="96" t="s">
        <v>64</v>
      </c>
      <c r="I47" s="83" t="n">
        <f aca="false">D7*4</f>
        <v>4</v>
      </c>
      <c r="J47" s="83"/>
      <c r="K47" s="387" t="s">
        <v>544</v>
      </c>
      <c r="L47" s="109" t="n">
        <f aca="false">F24*E24</f>
        <v>875</v>
      </c>
      <c r="M47" s="109"/>
      <c r="N47" s="109"/>
    </row>
    <row r="48" customFormat="false" ht="23.25" hidden="false" customHeight="true" outlineLevel="0" collapsed="false">
      <c r="A48" s="52" t="s">
        <v>562</v>
      </c>
      <c r="B48" s="487" t="s">
        <v>586</v>
      </c>
      <c r="C48" s="487"/>
      <c r="D48" s="487"/>
      <c r="E48" s="487"/>
      <c r="F48" s="487"/>
      <c r="G48" s="487"/>
      <c r="H48" s="26" t="s">
        <v>46</v>
      </c>
      <c r="I48" s="120" t="n">
        <f aca="false">(B7*3)+(C7*4)*D7</f>
        <v>7000</v>
      </c>
      <c r="J48" s="120"/>
      <c r="K48" s="387" t="s">
        <v>201</v>
      </c>
      <c r="L48" s="109" t="n">
        <f aca="false">F25*E25</f>
        <v>1618</v>
      </c>
      <c r="M48" s="109"/>
      <c r="N48" s="109"/>
    </row>
    <row r="49" customFormat="false" ht="23.25" hidden="false" customHeight="true" outlineLevel="0" collapsed="false">
      <c r="A49" s="486" t="s">
        <v>558</v>
      </c>
      <c r="B49" s="480" t="s">
        <v>587</v>
      </c>
      <c r="C49" s="480"/>
      <c r="D49" s="480"/>
      <c r="E49" s="480"/>
      <c r="F49" s="480"/>
      <c r="G49" s="480"/>
      <c r="H49" s="96"/>
      <c r="I49" s="83" t="n">
        <f aca="false">B7*1*D7</f>
        <v>1000</v>
      </c>
      <c r="J49" s="83"/>
      <c r="K49" s="387" t="s">
        <v>193</v>
      </c>
      <c r="L49" s="109" t="n">
        <f aca="false">F26*E26</f>
        <v>1496</v>
      </c>
      <c r="M49" s="109"/>
      <c r="N49" s="109"/>
    </row>
    <row r="50" customFormat="false" ht="23.25" hidden="false" customHeight="true" outlineLevel="0" collapsed="false">
      <c r="A50" s="208" t="s">
        <v>588</v>
      </c>
      <c r="B50" s="480" t="s">
        <v>589</v>
      </c>
      <c r="C50" s="480"/>
      <c r="D50" s="480"/>
      <c r="E50" s="480"/>
      <c r="F50" s="480"/>
      <c r="G50" s="480"/>
      <c r="H50" s="96" t="s">
        <v>64</v>
      </c>
      <c r="I50" s="434" t="n">
        <f aca="false">D7*1</f>
        <v>1</v>
      </c>
      <c r="J50" s="434"/>
      <c r="K50" s="387" t="s">
        <v>197</v>
      </c>
      <c r="L50" s="109" t="n">
        <f aca="false">F27*E27</f>
        <v>748</v>
      </c>
      <c r="M50" s="109"/>
      <c r="N50" s="109"/>
    </row>
    <row r="51" customFormat="false" ht="21" hidden="false" customHeight="true" outlineLevel="0" collapsed="false">
      <c r="A51" s="486" t="s">
        <v>590</v>
      </c>
      <c r="B51" s="487" t="s">
        <v>591</v>
      </c>
      <c r="C51" s="487"/>
      <c r="D51" s="487"/>
      <c r="E51" s="487"/>
      <c r="F51" s="487"/>
      <c r="G51" s="487"/>
      <c r="H51" s="96" t="s">
        <v>64</v>
      </c>
      <c r="I51" s="120" t="n">
        <f aca="false">D7*1</f>
        <v>1</v>
      </c>
      <c r="J51" s="120"/>
      <c r="K51" s="387" t="s">
        <v>200</v>
      </c>
      <c r="L51" s="109" t="n">
        <f aca="false">F28*E28</f>
        <v>748</v>
      </c>
      <c r="M51" s="109"/>
      <c r="N51" s="109"/>
    </row>
    <row r="52" customFormat="false" ht="23.25" hidden="false" customHeight="true" outlineLevel="0" collapsed="false">
      <c r="A52" s="486" t="s">
        <v>552</v>
      </c>
      <c r="B52" s="487" t="s">
        <v>592</v>
      </c>
      <c r="C52" s="487"/>
      <c r="D52" s="487"/>
      <c r="E52" s="487"/>
      <c r="F52" s="487"/>
      <c r="G52" s="487"/>
      <c r="H52" s="96" t="s">
        <v>64</v>
      </c>
      <c r="I52" s="120" t="n">
        <f aca="false">D7*2</f>
        <v>2</v>
      </c>
      <c r="J52" s="120"/>
      <c r="K52" s="387" t="s">
        <v>188</v>
      </c>
      <c r="L52" s="109" t="n">
        <f aca="false">F29*E29+E30*F30</f>
        <v>4202</v>
      </c>
      <c r="M52" s="109"/>
      <c r="N52" s="109"/>
    </row>
    <row r="53" customFormat="false" ht="23.25" hidden="false" customHeight="true" outlineLevel="0" collapsed="false">
      <c r="A53" s="488" t="s">
        <v>554</v>
      </c>
      <c r="B53" s="489" t="s">
        <v>593</v>
      </c>
      <c r="C53" s="489"/>
      <c r="D53" s="489"/>
      <c r="E53" s="489"/>
      <c r="F53" s="489"/>
      <c r="G53" s="489"/>
      <c r="H53" s="290" t="s">
        <v>64</v>
      </c>
      <c r="I53" s="209" t="n">
        <f aca="false">D7*2</f>
        <v>2</v>
      </c>
      <c r="J53" s="209"/>
      <c r="K53" s="387" t="s">
        <v>580</v>
      </c>
      <c r="L53" s="109" t="n">
        <f aca="false">F31*E31</f>
        <v>168</v>
      </c>
      <c r="M53" s="109"/>
      <c r="N53" s="109"/>
    </row>
    <row r="54" customFormat="false" ht="19.5" hidden="false" customHeight="true" outlineLevel="0" collapsed="false">
      <c r="K54" s="387"/>
      <c r="L54" s="109"/>
      <c r="M54" s="109"/>
      <c r="N54" s="109"/>
    </row>
    <row r="55" customFormat="false" ht="21" hidden="false" customHeight="true" outlineLevel="0" collapsed="false"/>
    <row r="64" customFormat="false" ht="15" hidden="false" customHeight="false" outlineLevel="0" collapsed="false">
      <c r="C64" s="1" t="s">
        <v>23</v>
      </c>
    </row>
  </sheetData>
  <mergeCells count="18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N18:O18"/>
    <mergeCell ref="P18:Q18"/>
    <mergeCell ref="B19:D19"/>
    <mergeCell ref="F19:G19"/>
    <mergeCell ref="H19:I19"/>
    <mergeCell ref="N19:O19"/>
    <mergeCell ref="P19:Q19"/>
    <mergeCell ref="B20:D20"/>
    <mergeCell ref="F20:G20"/>
    <mergeCell ref="H20:I20"/>
    <mergeCell ref="N20:O20"/>
    <mergeCell ref="P20:Q20"/>
    <mergeCell ref="B21:D21"/>
    <mergeCell ref="F21:G21"/>
    <mergeCell ref="H21:I21"/>
    <mergeCell ref="N21:O21"/>
    <mergeCell ref="P21:Q21"/>
    <mergeCell ref="B22:D22"/>
    <mergeCell ref="F22:G22"/>
    <mergeCell ref="H22:I22"/>
    <mergeCell ref="N22:O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B27:D27"/>
    <mergeCell ref="F27:G27"/>
    <mergeCell ref="H27:I27"/>
    <mergeCell ref="K27:L27"/>
    <mergeCell ref="Q27:R27"/>
    <mergeCell ref="S27:T27"/>
    <mergeCell ref="B28:D28"/>
    <mergeCell ref="F28:G28"/>
    <mergeCell ref="H28:I28"/>
    <mergeCell ref="K28:L28"/>
    <mergeCell ref="B29:D29"/>
    <mergeCell ref="F29:G29"/>
    <mergeCell ref="H29:I29"/>
    <mergeCell ref="K29:L29"/>
    <mergeCell ref="B30:D30"/>
    <mergeCell ref="F30:G30"/>
    <mergeCell ref="H30:I30"/>
    <mergeCell ref="K30:L30"/>
    <mergeCell ref="B31:D31"/>
    <mergeCell ref="F31:G31"/>
    <mergeCell ref="H31:I31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  <mergeCell ref="B50:G50"/>
    <mergeCell ref="I50:J50"/>
    <mergeCell ref="B51:G51"/>
    <mergeCell ref="I51:J51"/>
    <mergeCell ref="B52:G52"/>
    <mergeCell ref="I52:J52"/>
    <mergeCell ref="B53:G53"/>
    <mergeCell ref="I53:J5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595</v>
      </c>
      <c r="L3" s="257" t="n">
        <f aca="false">IF(P23&gt;6000,P23/6000,1)</f>
        <v>1</v>
      </c>
      <c r="M3" s="395" t="n">
        <f aca="false">ROUNDUP(L3,0)</f>
        <v>1</v>
      </c>
      <c r="N3" s="259" t="n">
        <f aca="false">1.586*6*K17</f>
        <v>475.8</v>
      </c>
      <c r="O3" s="259"/>
      <c r="P3" s="259" t="n">
        <f aca="false">N3*M3</f>
        <v>475.8</v>
      </c>
      <c r="Q3" s="259"/>
      <c r="R3" s="397" t="str">
        <f aca="false">F5</f>
        <v>BRANCO</v>
      </c>
      <c r="S3" s="397" t="n">
        <v>6000</v>
      </c>
      <c r="T3" s="440" t="n">
        <f aca="false">P23*1.586/1000</f>
        <v>7.888764</v>
      </c>
      <c r="U3" s="440" t="n">
        <f aca="false">M3*9.516</f>
        <v>9.516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596</v>
      </c>
      <c r="L4" s="265" t="n">
        <f aca="false">IF(P24&gt;6000,P24/6000,1)</f>
        <v>1</v>
      </c>
      <c r="M4" s="91" t="n">
        <f aca="false">ROUNDUP(L4,0)</f>
        <v>1</v>
      </c>
      <c r="N4" s="266" t="n">
        <f aca="false">1.512*6*K17</f>
        <v>453.6</v>
      </c>
      <c r="O4" s="266"/>
      <c r="P4" s="266" t="n">
        <f aca="false">N4*M4</f>
        <v>453.6</v>
      </c>
      <c r="Q4" s="266"/>
      <c r="R4" s="96" t="str">
        <f aca="false">F5</f>
        <v>BRANCO</v>
      </c>
      <c r="S4" s="96" t="n">
        <v>6000</v>
      </c>
      <c r="T4" s="439" t="n">
        <f aca="false">P24*1.512/1000</f>
        <v>7.520688</v>
      </c>
      <c r="U4" s="439" t="n">
        <f aca="false">M4*9.072</f>
        <v>9.072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79" t="s">
        <v>597</v>
      </c>
      <c r="L5" s="265" t="n">
        <f aca="false">IF(P25&gt;6000,P25/6000,1)</f>
        <v>1</v>
      </c>
      <c r="M5" s="91" t="n">
        <f aca="false">ROUNDUP(L5,0)</f>
        <v>1</v>
      </c>
      <c r="N5" s="266" t="n">
        <f aca="false">0.919*6*K17</f>
        <v>275.7</v>
      </c>
      <c r="O5" s="266"/>
      <c r="P5" s="266" t="n">
        <f aca="false">N5*M5</f>
        <v>275.7</v>
      </c>
      <c r="Q5" s="266"/>
      <c r="R5" s="96" t="str">
        <f aca="false">F5</f>
        <v>BRANCO</v>
      </c>
      <c r="S5" s="96" t="n">
        <v>6000</v>
      </c>
      <c r="T5" s="439" t="n">
        <f aca="false">P25*0.919/1000</f>
        <v>3.98846</v>
      </c>
      <c r="U5" s="439" t="n">
        <f aca="false">M5*5.514</f>
        <v>5.514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598</v>
      </c>
      <c r="L6" s="265" t="n">
        <f aca="false">IF(P26&gt;4600,P26/4600,1)</f>
        <v>1</v>
      </c>
      <c r="M6" s="91" t="n">
        <f aca="false">ROUNDUP(L6,0)</f>
        <v>1</v>
      </c>
      <c r="N6" s="266" t="n">
        <f aca="false">0.688*4.6*K17</f>
        <v>158.24</v>
      </c>
      <c r="O6" s="266"/>
      <c r="P6" s="266" t="n">
        <f aca="false">N6*M6</f>
        <v>158.24</v>
      </c>
      <c r="Q6" s="266"/>
      <c r="R6" s="96" t="str">
        <f aca="false">F5</f>
        <v>BRANCO</v>
      </c>
      <c r="S6" s="96" t="n">
        <v>4600</v>
      </c>
      <c r="T6" s="439" t="n">
        <f aca="false">P26*0.688/1000</f>
        <v>2.91712</v>
      </c>
      <c r="U6" s="439" t="n">
        <f aca="false">M6*3.164</f>
        <v>3.164</v>
      </c>
    </row>
    <row r="7" customFormat="false" ht="27" hidden="false" customHeight="true" outlineLevel="0" collapsed="false">
      <c r="A7" s="271" t="n">
        <v>700</v>
      </c>
      <c r="B7" s="272" t="n">
        <v>5000</v>
      </c>
      <c r="C7" s="272" t="n">
        <v>2170</v>
      </c>
      <c r="D7" s="272" t="n">
        <v>1</v>
      </c>
      <c r="E7" s="276" t="n">
        <f aca="false">(B7*C7)/10^6</f>
        <v>10.85</v>
      </c>
      <c r="F7" s="276"/>
      <c r="G7" s="270"/>
      <c r="H7" s="270"/>
      <c r="I7" s="270"/>
      <c r="J7" s="270"/>
      <c r="K7" s="79" t="s">
        <v>599</v>
      </c>
      <c r="L7" s="265" t="n">
        <f aca="false">IF(P27&gt;4600,P27/4600,1)</f>
        <v>1.38260869565217</v>
      </c>
      <c r="M7" s="91" t="n">
        <f aca="false">ROUNDUP(L7,0)</f>
        <v>2</v>
      </c>
      <c r="N7" s="266" t="n">
        <f aca="false">0.743*4.6*K17</f>
        <v>170.89</v>
      </c>
      <c r="O7" s="266"/>
      <c r="P7" s="266" t="n">
        <f aca="false">N7*M7</f>
        <v>341.78</v>
      </c>
      <c r="Q7" s="266"/>
      <c r="R7" s="96" t="str">
        <f aca="false">F5</f>
        <v>BRANCO</v>
      </c>
      <c r="S7" s="96" t="n">
        <v>4600</v>
      </c>
      <c r="T7" s="439" t="n">
        <f aca="false">P27*0.743/1000</f>
        <v>4.72548</v>
      </c>
      <c r="U7" s="439" t="n">
        <f aca="false">M7*3.417</f>
        <v>6.834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7595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79" t="s">
        <v>600</v>
      </c>
      <c r="L8" s="265" t="n">
        <f aca="false">IF(P28&gt;4600,P28/4600,1)</f>
        <v>1.38260869565217</v>
      </c>
      <c r="M8" s="91" t="n">
        <f aca="false">ROUNDUP(L8,0)</f>
        <v>2</v>
      </c>
      <c r="N8" s="266" t="n">
        <f aca="false">0.712*4.6*K17</f>
        <v>163.76</v>
      </c>
      <c r="O8" s="266"/>
      <c r="P8" s="266" t="n">
        <f aca="false">N8*M8</f>
        <v>327.52</v>
      </c>
      <c r="Q8" s="266"/>
      <c r="R8" s="96" t="str">
        <f aca="false">F5</f>
        <v>BRANCO</v>
      </c>
      <c r="S8" s="96" t="n">
        <v>4600</v>
      </c>
      <c r="T8" s="439" t="n">
        <f aca="false">P29*0.712/1000</f>
        <v>3.373456</v>
      </c>
      <c r="U8" s="439" t="n">
        <f aca="false">M8*3.275</f>
        <v>6.55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7595</v>
      </c>
      <c r="D9" s="275"/>
      <c r="E9" s="389" t="n">
        <f aca="false">(B7-286)/4</f>
        <v>1178.5</v>
      </c>
      <c r="F9" s="390" t="n">
        <f aca="false">C7-173</f>
        <v>1997</v>
      </c>
      <c r="G9" s="270"/>
      <c r="H9" s="270"/>
      <c r="I9" s="270"/>
      <c r="J9" s="270"/>
      <c r="K9" s="79" t="s">
        <v>543</v>
      </c>
      <c r="L9" s="265" t="n">
        <f aca="false">IF(P29&gt;6000,P29/6000,1)</f>
        <v>1</v>
      </c>
      <c r="M9" s="91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P29*0.98/1000</f>
        <v>4.64324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79" t="s">
        <v>601</v>
      </c>
      <c r="L10" s="265" t="n">
        <f aca="false">IF(P30&gt;6000,P30/6000,1)</f>
        <v>1</v>
      </c>
      <c r="M10" s="91" t="n">
        <f aca="false">ROUNDUP(L10,0)</f>
        <v>1</v>
      </c>
      <c r="N10" s="277" t="n">
        <f aca="false">0.206*6*K17</f>
        <v>61.8</v>
      </c>
      <c r="O10" s="277"/>
      <c r="P10" s="277" t="n">
        <f aca="false">N10*M10</f>
        <v>61.8</v>
      </c>
      <c r="Q10" s="277"/>
      <c r="R10" s="96" t="str">
        <f aca="false">F5</f>
        <v>BRANCO</v>
      </c>
      <c r="S10" s="96" t="n">
        <v>6000</v>
      </c>
      <c r="T10" s="439" t="n">
        <f aca="false">P30*0.206/1000</f>
        <v>0.884564</v>
      </c>
      <c r="U10" s="439" t="n">
        <f aca="false">M10*1.236</f>
        <v>1.236</v>
      </c>
    </row>
    <row r="11" customFormat="false" ht="25.5" hidden="false" customHeight="true" outlineLevel="0" collapsed="false">
      <c r="A11" s="67" t="s">
        <v>595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4974</v>
      </c>
      <c r="G11" s="69"/>
      <c r="H11" s="72" t="s">
        <v>17</v>
      </c>
      <c r="I11" s="72"/>
      <c r="J11" s="72" t="s">
        <v>42</v>
      </c>
      <c r="K11" s="79" t="s">
        <v>188</v>
      </c>
      <c r="L11" s="265" t="n">
        <f aca="false">IF(P31&gt;6000,P31/6000,1)</f>
        <v>4.20466666666667</v>
      </c>
      <c r="M11" s="91" t="n">
        <f aca="false">ROUNDUP(L11,0)</f>
        <v>5</v>
      </c>
      <c r="N11" s="266" t="n">
        <f aca="false">0.111*6*K17</f>
        <v>33.3</v>
      </c>
      <c r="O11" s="266"/>
      <c r="P11" s="266" t="n">
        <f aca="false">N11*M11</f>
        <v>166.5</v>
      </c>
      <c r="Q11" s="266"/>
      <c r="R11" s="96" t="str">
        <f aca="false">F5</f>
        <v>BRANCO</v>
      </c>
      <c r="S11" s="96" t="n">
        <v>6000</v>
      </c>
      <c r="T11" s="439" t="n">
        <f aca="false">P31*0.111/1000</f>
        <v>2.800308</v>
      </c>
      <c r="U11" s="439" t="n">
        <f aca="false">M11*0.666</f>
        <v>3.33</v>
      </c>
    </row>
    <row r="12" customFormat="false" ht="25.5" hidden="false" customHeight="true" outlineLevel="0" collapsed="false">
      <c r="A12" s="79" t="s">
        <v>596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4974</v>
      </c>
      <c r="G12" s="97"/>
      <c r="H12" s="83" t="s">
        <v>17</v>
      </c>
      <c r="I12" s="83"/>
      <c r="J12" s="83" t="s">
        <v>42</v>
      </c>
      <c r="K12" s="79" t="s">
        <v>602</v>
      </c>
      <c r="L12" s="265" t="n">
        <f aca="false">IF(P32&gt;6000,P32/6000,1)</f>
        <v>1</v>
      </c>
      <c r="M12" s="91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P32*0.267/1000</f>
        <v>1.34568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597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2170</v>
      </c>
      <c r="G13" s="97"/>
      <c r="H13" s="83" t="s">
        <v>18</v>
      </c>
      <c r="I13" s="83"/>
      <c r="J13" s="83" t="s">
        <v>42</v>
      </c>
      <c r="K13" s="79" t="s">
        <v>201</v>
      </c>
      <c r="L13" s="265" t="n">
        <f aca="false">IF(P33&gt;6000,P33/6000,1)</f>
        <v>1</v>
      </c>
      <c r="M13" s="153" t="n">
        <f aca="false">ROUNDUP(L13,0)</f>
        <v>1</v>
      </c>
      <c r="N13" s="266" t="n">
        <f aca="false">0.507*6*K17</f>
        <v>152.1</v>
      </c>
      <c r="O13" s="266"/>
      <c r="P13" s="266" t="n">
        <f aca="false">N13*M13</f>
        <v>152.1</v>
      </c>
      <c r="Q13" s="266"/>
      <c r="R13" s="96" t="str">
        <f aca="false">F5</f>
        <v>BRANCO</v>
      </c>
      <c r="S13" s="96" t="n">
        <v>6000</v>
      </c>
      <c r="T13" s="439" t="n">
        <f aca="false">P33*0.507/1000</f>
        <v>2.402166</v>
      </c>
      <c r="U13" s="96" t="n">
        <f aca="false">M13*3.042</f>
        <v>3.042</v>
      </c>
    </row>
    <row r="14" customFormat="false" ht="25.5" hidden="false" customHeight="true" outlineLevel="0" collapsed="false">
      <c r="A14" s="79" t="s">
        <v>598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C7-50</f>
        <v>2120</v>
      </c>
      <c r="G14" s="24"/>
      <c r="H14" s="83" t="s">
        <v>18</v>
      </c>
      <c r="I14" s="83"/>
      <c r="J14" s="83" t="s">
        <v>42</v>
      </c>
      <c r="K14" s="47"/>
      <c r="L14" s="47"/>
      <c r="M14" s="23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D7*3</f>
        <v>3</v>
      </c>
      <c r="F15" s="24" t="n">
        <f aca="false">C7-50</f>
        <v>2120</v>
      </c>
      <c r="G15" s="24"/>
      <c r="H15" s="83" t="s">
        <v>18</v>
      </c>
      <c r="I15" s="83"/>
      <c r="J15" s="83" t="s">
        <v>42</v>
      </c>
      <c r="K15" s="64"/>
      <c r="L15" s="64"/>
      <c r="M15" s="140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D7*3</f>
        <v>3</v>
      </c>
      <c r="F16" s="24" t="n">
        <f aca="false">C7-50</f>
        <v>2120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SUM(T3:T15)</f>
        <v>42.489926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(B7-262)/4</f>
        <v>1184.5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4248.9926</v>
      </c>
      <c r="N17" s="490"/>
      <c r="O17" s="303" t="n">
        <v>0.1</v>
      </c>
      <c r="P17" s="491" t="n">
        <f aca="false">K21*O17+K21</f>
        <v>2336.94593</v>
      </c>
      <c r="Q17" s="491"/>
      <c r="R17" s="491"/>
      <c r="S17" s="181" t="s">
        <v>131</v>
      </c>
      <c r="T17" s="181"/>
      <c r="U17" s="294" t="n">
        <f aca="false">SUM(U3:U15)</f>
        <v>55.794</v>
      </c>
    </row>
    <row r="18" customFormat="false" ht="25.5" hidden="false" customHeight="true" outlineLevel="0" collapsed="false">
      <c r="A18" s="79" t="s">
        <v>601</v>
      </c>
      <c r="B18" s="279" t="s">
        <v>196</v>
      </c>
      <c r="C18" s="279"/>
      <c r="D18" s="279"/>
      <c r="E18" s="46" t="n">
        <f aca="false">D7*2</f>
        <v>2</v>
      </c>
      <c r="F18" s="24" t="n">
        <f aca="false">C7-23</f>
        <v>2147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13.304074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1184.5</v>
      </c>
      <c r="G19" s="24"/>
      <c r="H19" s="83" t="s">
        <v>17</v>
      </c>
      <c r="I19" s="83"/>
      <c r="J19" s="83" t="s">
        <v>42</v>
      </c>
      <c r="K19" s="84" t="n">
        <f aca="false">U17*K17</f>
        <v>2789.7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C7-201</f>
        <v>1969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5040</v>
      </c>
      <c r="G21" s="97"/>
      <c r="H21" s="28" t="s">
        <v>17</v>
      </c>
      <c r="I21" s="28"/>
      <c r="J21" s="83" t="s">
        <v>42</v>
      </c>
      <c r="K21" s="84" t="n">
        <f aca="false">U16*K17</f>
        <v>2124.4963</v>
      </c>
      <c r="L21" s="84"/>
    </row>
    <row r="22" customFormat="false" ht="17.25" hidden="false" customHeight="true" outlineLevel="0" collapsed="false">
      <c r="A22" s="338" t="s">
        <v>201</v>
      </c>
      <c r="B22" s="80" t="s">
        <v>604</v>
      </c>
      <c r="C22" s="80"/>
      <c r="D22" s="80"/>
      <c r="E22" s="46" t="n">
        <f aca="false">D7*4</f>
        <v>4</v>
      </c>
      <c r="F22" s="24" t="n">
        <f aca="false">F17</f>
        <v>1184.5</v>
      </c>
      <c r="G22" s="24"/>
      <c r="H22" s="83" t="s">
        <v>17</v>
      </c>
      <c r="I22" s="83"/>
      <c r="J22" s="83" t="s">
        <v>42</v>
      </c>
      <c r="K22" s="109"/>
      <c r="L22" s="109"/>
      <c r="M22" s="109"/>
      <c r="N22" s="109"/>
      <c r="O22" s="109"/>
      <c r="P22" s="109"/>
      <c r="Q22" s="109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93"/>
      <c r="L23" s="93"/>
      <c r="M23" s="109"/>
      <c r="N23" s="387" t="s">
        <v>595</v>
      </c>
      <c r="O23" s="109"/>
      <c r="P23" s="109" t="n">
        <f aca="false">F11*E11</f>
        <v>4974</v>
      </c>
      <c r="Q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93"/>
      <c r="L24" s="93"/>
      <c r="M24" s="109"/>
      <c r="N24" s="387" t="s">
        <v>596</v>
      </c>
      <c r="O24" s="109"/>
      <c r="P24" s="109" t="n">
        <f aca="false">F12*E12</f>
        <v>4974</v>
      </c>
      <c r="Q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93"/>
      <c r="L25" s="93"/>
      <c r="M25" s="109"/>
      <c r="N25" s="387" t="s">
        <v>597</v>
      </c>
      <c r="O25" s="109"/>
      <c r="P25" s="109" t="n">
        <f aca="false">F13*E13</f>
        <v>4340</v>
      </c>
      <c r="Q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93"/>
      <c r="L26" s="93"/>
      <c r="M26" s="109"/>
      <c r="N26" s="387" t="s">
        <v>598</v>
      </c>
      <c r="O26" s="109"/>
      <c r="P26" s="109" t="n">
        <f aca="false">F14*E14</f>
        <v>4240</v>
      </c>
      <c r="Q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93"/>
      <c r="L27" s="93"/>
      <c r="M27" s="109"/>
      <c r="N27" s="387" t="s">
        <v>599</v>
      </c>
      <c r="O27" s="109"/>
      <c r="P27" s="109" t="n">
        <f aca="false">F15*E15</f>
        <v>6360</v>
      </c>
      <c r="Q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93"/>
      <c r="L28" s="93"/>
      <c r="M28" s="109"/>
      <c r="N28" s="387" t="s">
        <v>600</v>
      </c>
      <c r="O28" s="109"/>
      <c r="P28" s="109" t="n">
        <f aca="false">F16*E16</f>
        <v>6360</v>
      </c>
      <c r="Q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94"/>
      <c r="L29" s="432"/>
      <c r="M29" s="109"/>
      <c r="N29" s="387" t="s">
        <v>543</v>
      </c>
      <c r="O29" s="109"/>
      <c r="P29" s="109" t="n">
        <f aca="false">F17*E17</f>
        <v>4738</v>
      </c>
      <c r="Q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94"/>
      <c r="L30" s="93"/>
      <c r="M30" s="109"/>
      <c r="N30" s="387" t="s">
        <v>601</v>
      </c>
      <c r="O30" s="109"/>
      <c r="P30" s="109" t="n">
        <f aca="false">F18*E18</f>
        <v>4294</v>
      </c>
      <c r="Q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93"/>
      <c r="L31" s="93"/>
      <c r="M31" s="109"/>
      <c r="N31" s="387" t="s">
        <v>188</v>
      </c>
      <c r="O31" s="109"/>
      <c r="P31" s="109" t="n">
        <f aca="false">F19*E19+E20*F20</f>
        <v>25228</v>
      </c>
      <c r="Q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93"/>
      <c r="L32" s="93"/>
      <c r="M32" s="109"/>
      <c r="N32" s="387" t="s">
        <v>602</v>
      </c>
      <c r="O32" s="109"/>
      <c r="P32" s="109" t="n">
        <f aca="false">F21*E21</f>
        <v>5040</v>
      </c>
      <c r="Q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  <c r="K33" s="93"/>
      <c r="L33" s="93"/>
      <c r="M33" s="109"/>
      <c r="N33" s="492" t="s">
        <v>201</v>
      </c>
      <c r="O33" s="109"/>
      <c r="P33" s="109" t="n">
        <f aca="false">F22*E22</f>
        <v>4738</v>
      </c>
      <c r="Q33" s="109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  <c r="K34" s="93"/>
      <c r="L34" s="93"/>
      <c r="M34" s="109"/>
      <c r="N34" s="109"/>
      <c r="O34" s="109"/>
      <c r="P34" s="109"/>
      <c r="Q34" s="109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  <c r="K35" s="93"/>
      <c r="L35" s="93"/>
      <c r="M35" s="93"/>
      <c r="N35" s="93"/>
      <c r="O35" s="93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495"/>
      <c r="L36" s="496"/>
      <c r="M36" s="93"/>
      <c r="N36" s="93"/>
      <c r="O36" s="93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  <c r="K37" s="93"/>
      <c r="L37" s="93"/>
      <c r="M37" s="93"/>
      <c r="N37" s="93"/>
      <c r="O37" s="93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 t="s">
        <v>499</v>
      </c>
      <c r="B41" s="419" t="s">
        <v>607</v>
      </c>
      <c r="C41" s="419"/>
      <c r="D41" s="419"/>
      <c r="E41" s="419"/>
      <c r="F41" s="419"/>
      <c r="G41" s="120" t="s">
        <v>64</v>
      </c>
      <c r="H41" s="120"/>
      <c r="I41" s="28" t="n">
        <f aca="false">D7*2</f>
        <v>2</v>
      </c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D7*8</f>
        <v>8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D7*16</f>
        <v>16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D7*3</f>
        <v>3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I45</f>
        <v>3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D7*16</f>
        <v>16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(B7*2)+(C7*8)*D7</f>
        <v>27360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28680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B7*4*D7</f>
        <v>20000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8680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C7*2*D7</f>
        <v>4340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D7*24</f>
        <v>24</v>
      </c>
      <c r="J54" s="28"/>
    </row>
    <row r="55" customFormat="false" ht="21" hidden="false" customHeight="true" outlineLevel="0" collapsed="false">
      <c r="A55" s="501"/>
      <c r="B55" s="139"/>
      <c r="C55" s="203"/>
      <c r="D55" s="203"/>
      <c r="E55" s="203"/>
      <c r="F55" s="140"/>
      <c r="G55" s="209"/>
      <c r="H55" s="209"/>
      <c r="I55" s="478"/>
      <c r="J55" s="478"/>
    </row>
  </sheetData>
  <mergeCells count="14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74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">
        <v>75</v>
      </c>
      <c r="L3" s="14"/>
      <c r="M3" s="15" t="n">
        <f aca="false">ROUNDUP(P30,0)</f>
        <v>1</v>
      </c>
      <c r="N3" s="16" t="n">
        <v>120</v>
      </c>
      <c r="O3" s="16"/>
      <c r="P3" s="16" t="n">
        <f aca="false">N3*M3</f>
        <v>120</v>
      </c>
      <c r="Q3" s="16"/>
      <c r="R3" s="17" t="str">
        <f aca="false">F5</f>
        <v>BRANCO</v>
      </c>
      <c r="S3" s="18" t="n">
        <v>6000</v>
      </c>
      <c r="T3" s="19" t="n">
        <f aca="false">F13*E13</f>
        <v>760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A11</f>
        <v>ALX038</v>
      </c>
      <c r="L4" s="23"/>
      <c r="M4" s="24" t="n">
        <f aca="false">ROUNDUP(P31,0)</f>
        <v>3</v>
      </c>
      <c r="N4" s="25" t="n">
        <v>156</v>
      </c>
      <c r="O4" s="25"/>
      <c r="P4" s="25" t="n">
        <f aca="false">N4*M4</f>
        <v>468</v>
      </c>
      <c r="Q4" s="25"/>
      <c r="R4" s="26" t="str">
        <f aca="false">F5</f>
        <v>BRANCO</v>
      </c>
      <c r="S4" s="27" t="n">
        <v>6000</v>
      </c>
      <c r="T4" s="28" t="n">
        <f aca="false">F14*E14+F15*E15+F16*E16+F17*E17+F12*E12+F11*E11</f>
        <v>13512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20" t="s">
        <v>67</v>
      </c>
      <c r="E5" s="20"/>
      <c r="F5" s="143" t="s">
        <v>15</v>
      </c>
      <c r="G5" s="143"/>
      <c r="H5" s="144"/>
      <c r="I5" s="144"/>
      <c r="J5" s="144"/>
      <c r="K5" s="22" t="str">
        <f aca="false">A18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F5</f>
        <v>BRANCO</v>
      </c>
      <c r="S5" s="27" t="n">
        <v>6000</v>
      </c>
      <c r="T5" s="28" t="n">
        <f aca="false">F18*E18+F19*E19</f>
        <v>1585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30" t="s">
        <v>76</v>
      </c>
      <c r="E6" s="20" t="s">
        <v>77</v>
      </c>
      <c r="F6" s="20" t="s">
        <v>78</v>
      </c>
      <c r="G6" s="20"/>
      <c r="H6" s="144"/>
      <c r="I6" s="144"/>
      <c r="J6" s="144"/>
      <c r="K6" s="41" t="s">
        <v>68</v>
      </c>
      <c r="L6" s="23"/>
      <c r="M6" s="24" t="n">
        <f aca="false">ROUNDUP(P33,0)</f>
        <v>1</v>
      </c>
      <c r="N6" s="25" t="n">
        <v>35</v>
      </c>
      <c r="O6" s="25"/>
      <c r="P6" s="25" t="n">
        <f aca="false">N6*M6</f>
        <v>35</v>
      </c>
      <c r="Q6" s="25"/>
      <c r="R6" s="26" t="str">
        <f aca="false">F5</f>
        <v>BRANCO</v>
      </c>
      <c r="S6" s="27" t="n">
        <v>6000</v>
      </c>
      <c r="T6" s="28" t="n">
        <f aca="false">F22*E22+F23*E23+F20*E20</f>
        <v>5920</v>
      </c>
      <c r="U6" s="28"/>
    </row>
    <row r="7" customFormat="false" ht="27" hidden="false" customHeight="true" outlineLevel="0" collapsed="false">
      <c r="A7" s="42" t="n">
        <v>1</v>
      </c>
      <c r="B7" s="42" t="n">
        <v>1200</v>
      </c>
      <c r="C7" s="42" t="n">
        <v>800</v>
      </c>
      <c r="D7" s="44" t="n">
        <v>400</v>
      </c>
      <c r="E7" s="39" t="n">
        <v>450</v>
      </c>
      <c r="F7" s="38" t="n">
        <f aca="false">(B7-D7)-65</f>
        <v>735</v>
      </c>
      <c r="G7" s="38"/>
      <c r="H7" s="144"/>
      <c r="I7" s="144"/>
      <c r="J7" s="144"/>
      <c r="K7" s="22" t="s">
        <v>79</v>
      </c>
      <c r="L7" s="45"/>
      <c r="M7" s="46" t="n">
        <f aca="false">ROUNDUP(P34,0)</f>
        <v>1</v>
      </c>
      <c r="N7" s="25" t="n">
        <v>120</v>
      </c>
      <c r="O7" s="25"/>
      <c r="P7" s="25" t="n">
        <f aca="false">N7*M7</f>
        <v>120</v>
      </c>
      <c r="Q7" s="25"/>
      <c r="R7" s="47"/>
      <c r="S7" s="27" t="n">
        <v>6000</v>
      </c>
      <c r="T7" s="175" t="n">
        <f aca="false">F24*E24</f>
        <v>148</v>
      </c>
      <c r="U7" s="175"/>
    </row>
    <row r="8" customFormat="false" ht="24" hidden="false" customHeight="true" outlineLevel="0" collapsed="false">
      <c r="H8" s="144"/>
      <c r="I8" s="144"/>
      <c r="J8" s="144"/>
      <c r="K8" s="52" t="s">
        <v>80</v>
      </c>
      <c r="L8" s="45"/>
      <c r="M8" s="46" t="n">
        <f aca="false">ROUNDUP(P35,0)</f>
        <v>1</v>
      </c>
      <c r="N8" s="25" t="n">
        <v>30</v>
      </c>
      <c r="O8" s="25"/>
      <c r="P8" s="25" t="n">
        <f aca="false">N8*M8</f>
        <v>30</v>
      </c>
      <c r="Q8" s="25"/>
      <c r="R8" s="47"/>
      <c r="S8" s="27" t="n">
        <v>6000</v>
      </c>
      <c r="T8" s="175" t="n">
        <f aca="false">F21*E21</f>
        <v>1130</v>
      </c>
      <c r="U8" s="175"/>
    </row>
    <row r="9" customFormat="false" ht="26.25" hidden="false" customHeight="true" outlineLevel="0" collapsed="false">
      <c r="H9" s="144"/>
      <c r="I9" s="144"/>
      <c r="J9" s="144"/>
      <c r="K9" s="52"/>
      <c r="L9" s="45"/>
      <c r="M9" s="46"/>
      <c r="N9" s="25"/>
      <c r="O9" s="25"/>
      <c r="P9" s="25"/>
      <c r="Q9" s="25"/>
      <c r="R9" s="47"/>
      <c r="S9" s="27"/>
      <c r="T9" s="176"/>
      <c r="U9" s="177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178"/>
      <c r="U10" s="179"/>
    </row>
    <row r="11" customFormat="false" ht="25.5" hidden="false" customHeight="true" outlineLevel="0" collapsed="false">
      <c r="A11" s="116" t="s">
        <v>43</v>
      </c>
      <c r="B11" s="68" t="s">
        <v>32</v>
      </c>
      <c r="C11" s="68"/>
      <c r="D11" s="68"/>
      <c r="E11" s="69" t="n">
        <f aca="false">A7*2</f>
        <v>2</v>
      </c>
      <c r="F11" s="15" t="n">
        <f aca="false">B7</f>
        <v>1200</v>
      </c>
      <c r="G11" s="15"/>
      <c r="H11" s="180" t="s">
        <v>17</v>
      </c>
      <c r="I11" s="180"/>
      <c r="J11" s="72" t="s">
        <v>33</v>
      </c>
      <c r="K11" s="73" t="s">
        <v>34</v>
      </c>
      <c r="L11" s="73"/>
      <c r="M11" s="181" t="s">
        <v>35</v>
      </c>
      <c r="N11" s="181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116" t="s">
        <v>43</v>
      </c>
      <c r="B12" s="80" t="s">
        <v>39</v>
      </c>
      <c r="C12" s="80"/>
      <c r="D12" s="80"/>
      <c r="E12" s="46" t="n">
        <f aca="false">A7*2</f>
        <v>2</v>
      </c>
      <c r="F12" s="24" t="n">
        <f aca="false">C7</f>
        <v>800</v>
      </c>
      <c r="G12" s="24"/>
      <c r="H12" s="182" t="s">
        <v>18</v>
      </c>
      <c r="I12" s="182"/>
      <c r="J12" s="83" t="s">
        <v>33</v>
      </c>
      <c r="K12" s="84" t="n">
        <f aca="false">P3+P4+P5+P6+P7+P8+P9+P10</f>
        <v>849</v>
      </c>
      <c r="L12" s="84"/>
      <c r="M12" s="183" t="n">
        <f aca="false">I35</f>
        <v>304.8</v>
      </c>
      <c r="N12" s="183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1453.8</v>
      </c>
      <c r="U12" s="84"/>
    </row>
    <row r="13" customFormat="false" ht="25.5" hidden="false" customHeight="true" outlineLevel="0" collapsed="false">
      <c r="A13" s="116" t="s">
        <v>75</v>
      </c>
      <c r="B13" s="80" t="s">
        <v>81</v>
      </c>
      <c r="C13" s="80"/>
      <c r="D13" s="80"/>
      <c r="E13" s="46" t="n">
        <f aca="false">A7*1</f>
        <v>1</v>
      </c>
      <c r="F13" s="97" t="n">
        <f aca="false">C7-40</f>
        <v>760</v>
      </c>
      <c r="G13" s="97"/>
      <c r="H13" s="182" t="s">
        <v>18</v>
      </c>
      <c r="I13" s="182"/>
      <c r="J13" s="83" t="s">
        <v>42</v>
      </c>
      <c r="M13" s="184"/>
      <c r="N13" s="185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116" t="s">
        <v>43</v>
      </c>
      <c r="B14" s="80" t="s">
        <v>82</v>
      </c>
      <c r="C14" s="80"/>
      <c r="D14" s="80"/>
      <c r="E14" s="46" t="n">
        <f aca="false">A7*4</f>
        <v>4</v>
      </c>
      <c r="F14" s="24" t="n">
        <f aca="false">(F7+16)/2</f>
        <v>375.5</v>
      </c>
      <c r="G14" s="24"/>
      <c r="H14" s="182" t="s">
        <v>78</v>
      </c>
      <c r="I14" s="182"/>
      <c r="J14" s="83" t="s">
        <v>33</v>
      </c>
      <c r="K14" s="186" t="s">
        <v>36</v>
      </c>
      <c r="L14" s="186"/>
      <c r="M14" s="186"/>
      <c r="N14" s="186"/>
      <c r="O14" s="186"/>
      <c r="P14" s="186"/>
      <c r="Q14" s="186"/>
      <c r="R14" s="186"/>
      <c r="S14" s="186"/>
      <c r="T14" s="186"/>
      <c r="U14" s="186"/>
    </row>
    <row r="15" customFormat="false" ht="25.5" hidden="false" customHeight="true" outlineLevel="0" collapsed="false">
      <c r="A15" s="116" t="s">
        <v>43</v>
      </c>
      <c r="B15" s="80" t="s">
        <v>83</v>
      </c>
      <c r="C15" s="80"/>
      <c r="D15" s="80"/>
      <c r="E15" s="46" t="n">
        <f aca="false">A7*4</f>
        <v>4</v>
      </c>
      <c r="F15" s="24" t="n">
        <f aca="false">C7-20</f>
        <v>780</v>
      </c>
      <c r="G15" s="24"/>
      <c r="H15" s="182" t="s">
        <v>78</v>
      </c>
      <c r="I15" s="182"/>
      <c r="J15" s="83" t="s">
        <v>33</v>
      </c>
      <c r="K15" s="187" t="s">
        <v>84</v>
      </c>
      <c r="L15" s="187"/>
      <c r="M15" s="188" t="s">
        <v>85</v>
      </c>
      <c r="N15" s="188"/>
      <c r="O15" s="189" t="s">
        <v>86</v>
      </c>
      <c r="P15" s="189"/>
      <c r="Q15" s="190" t="s">
        <v>87</v>
      </c>
      <c r="R15" s="190"/>
      <c r="S15" s="191"/>
      <c r="T15" s="192" t="s">
        <v>88</v>
      </c>
      <c r="U15" s="192"/>
    </row>
    <row r="16" customFormat="false" ht="25.5" hidden="false" customHeight="true" outlineLevel="0" collapsed="false">
      <c r="A16" s="116" t="s">
        <v>43</v>
      </c>
      <c r="B16" s="80" t="s">
        <v>44</v>
      </c>
      <c r="C16" s="80"/>
      <c r="D16" s="80"/>
      <c r="E16" s="46" t="n">
        <f aca="false">A7*8</f>
        <v>8</v>
      </c>
      <c r="F16" s="97" t="n">
        <f aca="false">D7+20</f>
        <v>420</v>
      </c>
      <c r="G16" s="97"/>
      <c r="H16" s="182" t="s">
        <v>76</v>
      </c>
      <c r="I16" s="182"/>
      <c r="J16" s="83" t="s">
        <v>33</v>
      </c>
      <c r="K16" s="193" t="n">
        <f aca="false">D7-30</f>
        <v>370</v>
      </c>
      <c r="L16" s="193" t="n">
        <f aca="false">E7</f>
        <v>450</v>
      </c>
      <c r="M16" s="194" t="n">
        <f aca="false">E7-6</f>
        <v>444</v>
      </c>
      <c r="N16" s="195" t="n">
        <f aca="false">F17-50</f>
        <v>141.25</v>
      </c>
      <c r="O16" s="196" t="n">
        <f aca="false">D7-30</f>
        <v>370</v>
      </c>
      <c r="P16" s="196" t="n">
        <f aca="false">N16</f>
        <v>141.25</v>
      </c>
      <c r="Q16" s="197" t="n">
        <f aca="false">F14-5</f>
        <v>370.5</v>
      </c>
      <c r="R16" s="198" t="n">
        <f aca="false">F15-5</f>
        <v>775</v>
      </c>
      <c r="S16" s="164"/>
      <c r="T16" s="199" t="n">
        <f aca="false">F16-5</f>
        <v>415</v>
      </c>
      <c r="U16" s="200" t="n">
        <f aca="false">F17-5</f>
        <v>186.25</v>
      </c>
    </row>
    <row r="17" customFormat="false" ht="25.5" hidden="false" customHeight="true" outlineLevel="0" collapsed="false">
      <c r="A17" s="116" t="s">
        <v>43</v>
      </c>
      <c r="B17" s="80" t="s">
        <v>45</v>
      </c>
      <c r="C17" s="80"/>
      <c r="D17" s="80"/>
      <c r="E17" s="46" t="n">
        <f aca="false">A7*8</f>
        <v>8</v>
      </c>
      <c r="F17" s="24" t="n">
        <f aca="false">(C7-20-15)/4</f>
        <v>191.25</v>
      </c>
      <c r="G17" s="24"/>
      <c r="H17" s="182" t="s">
        <v>76</v>
      </c>
      <c r="I17" s="182"/>
      <c r="J17" s="83" t="s">
        <v>33</v>
      </c>
      <c r="K17" s="193" t="n">
        <f aca="false">A7*4</f>
        <v>4</v>
      </c>
      <c r="L17" s="193"/>
      <c r="M17" s="194" t="n">
        <f aca="false">A7*8</f>
        <v>8</v>
      </c>
      <c r="N17" s="194"/>
      <c r="O17" s="201" t="n">
        <f aca="false">A7*4</f>
        <v>4</v>
      </c>
      <c r="P17" s="201"/>
      <c r="Q17" s="202" t="n">
        <f aca="false">A7*2</f>
        <v>2</v>
      </c>
      <c r="R17" s="202"/>
      <c r="S17" s="203"/>
      <c r="T17" s="204" t="n">
        <f aca="false">A7*4</f>
        <v>4</v>
      </c>
      <c r="U17" s="204"/>
    </row>
    <row r="18" customFormat="false" ht="25.5" hidden="false" customHeight="true" outlineLevel="0" collapsed="false">
      <c r="A18" s="116" t="s">
        <v>46</v>
      </c>
      <c r="B18" s="80" t="s">
        <v>47</v>
      </c>
      <c r="C18" s="80"/>
      <c r="D18" s="80"/>
      <c r="E18" s="46" t="n">
        <f aca="false">A7*2</f>
        <v>2</v>
      </c>
      <c r="F18" s="24" t="n">
        <f aca="false">F14-141</f>
        <v>234.5</v>
      </c>
      <c r="G18" s="24"/>
      <c r="H18" s="182" t="s">
        <v>17</v>
      </c>
      <c r="I18" s="182"/>
      <c r="J18" s="83" t="s">
        <v>42</v>
      </c>
    </row>
    <row r="19" customFormat="false" ht="22.5" hidden="false" customHeight="true" outlineLevel="0" collapsed="false">
      <c r="A19" s="116" t="s">
        <v>46</v>
      </c>
      <c r="B19" s="80" t="s">
        <v>47</v>
      </c>
      <c r="C19" s="80"/>
      <c r="D19" s="80"/>
      <c r="E19" s="46" t="n">
        <f aca="false">A7*4</f>
        <v>4</v>
      </c>
      <c r="F19" s="24" t="n">
        <f aca="false">F16-141</f>
        <v>279</v>
      </c>
      <c r="G19" s="24"/>
      <c r="H19" s="182" t="s">
        <v>17</v>
      </c>
      <c r="I19" s="182"/>
      <c r="J19" s="83" t="s">
        <v>42</v>
      </c>
    </row>
    <row r="20" customFormat="false" ht="25.5" hidden="false" customHeight="true" outlineLevel="0" collapsed="false">
      <c r="A20" s="116" t="s">
        <v>68</v>
      </c>
      <c r="B20" s="80" t="s">
        <v>70</v>
      </c>
      <c r="C20" s="80"/>
      <c r="D20" s="80"/>
      <c r="E20" s="46" t="n">
        <f aca="false">A7*8</f>
        <v>8</v>
      </c>
      <c r="F20" s="24" t="n">
        <f aca="false">E7-5</f>
        <v>445</v>
      </c>
      <c r="G20" s="24"/>
      <c r="H20" s="182" t="s">
        <v>89</v>
      </c>
      <c r="I20" s="182"/>
      <c r="J20" s="83" t="s">
        <v>42</v>
      </c>
    </row>
    <row r="21" customFormat="false" ht="21" hidden="false" customHeight="true" outlineLevel="0" collapsed="false">
      <c r="A21" s="116" t="s">
        <v>80</v>
      </c>
      <c r="B21" s="80" t="s">
        <v>90</v>
      </c>
      <c r="C21" s="80"/>
      <c r="D21" s="80"/>
      <c r="E21" s="46" t="n">
        <f aca="false">E20</f>
        <v>8</v>
      </c>
      <c r="F21" s="205" t="n">
        <f aca="false">F17-50</f>
        <v>141.25</v>
      </c>
      <c r="G21" s="205"/>
      <c r="H21" s="182" t="s">
        <v>88</v>
      </c>
      <c r="I21" s="182"/>
      <c r="J21" s="83" t="s">
        <v>42</v>
      </c>
    </row>
    <row r="22" customFormat="false" ht="19.5" hidden="false" customHeight="true" outlineLevel="0" collapsed="false">
      <c r="A22" s="116" t="s">
        <v>68</v>
      </c>
      <c r="B22" s="26"/>
      <c r="C22" s="26"/>
      <c r="D22" s="26"/>
      <c r="E22" s="46" t="n">
        <f aca="false">A7*2</f>
        <v>2</v>
      </c>
      <c r="F22" s="206" t="n">
        <f aca="false">D7</f>
        <v>400</v>
      </c>
      <c r="G22" s="206"/>
      <c r="H22" s="182" t="s">
        <v>91</v>
      </c>
      <c r="I22" s="182"/>
      <c r="J22" s="83" t="s">
        <v>42</v>
      </c>
    </row>
    <row r="23" customFormat="false" ht="20.25" hidden="false" customHeight="true" outlineLevel="0" collapsed="false">
      <c r="A23" s="207" t="s">
        <v>68</v>
      </c>
      <c r="B23" s="26"/>
      <c r="C23" s="26"/>
      <c r="D23" s="26"/>
      <c r="E23" s="46" t="n">
        <f aca="false">A7*2</f>
        <v>2</v>
      </c>
      <c r="F23" s="206" t="n">
        <f aca="false">C7-20</f>
        <v>780</v>
      </c>
      <c r="G23" s="206"/>
      <c r="H23" s="182" t="s">
        <v>91</v>
      </c>
      <c r="I23" s="182"/>
      <c r="J23" s="83" t="s">
        <v>42</v>
      </c>
    </row>
    <row r="24" customFormat="false" ht="17.25" hidden="false" customHeight="true" outlineLevel="0" collapsed="false">
      <c r="A24" s="208" t="s">
        <v>79</v>
      </c>
      <c r="B24" s="26" t="s">
        <v>92</v>
      </c>
      <c r="C24" s="26"/>
      <c r="D24" s="26"/>
      <c r="E24" s="46" t="n">
        <f aca="false">A7*4</f>
        <v>4</v>
      </c>
      <c r="F24" s="206" t="n">
        <f aca="false">A7*37</f>
        <v>37</v>
      </c>
      <c r="G24" s="206"/>
      <c r="H24" s="182" t="s">
        <v>71</v>
      </c>
      <c r="I24" s="182"/>
      <c r="J24" s="83" t="s">
        <v>42</v>
      </c>
    </row>
    <row r="25" customFormat="false" ht="17.25" hidden="false" customHeight="true" outlineLevel="0" collapsed="false">
      <c r="A25" s="208"/>
      <c r="B25" s="209"/>
      <c r="C25" s="209"/>
      <c r="D25" s="209"/>
      <c r="E25" s="55"/>
      <c r="F25" s="210"/>
      <c r="G25" s="210"/>
      <c r="H25" s="211"/>
      <c r="I25" s="211"/>
      <c r="J25" s="103"/>
      <c r="K25" s="124"/>
      <c r="L25" s="126"/>
      <c r="M25" s="93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04" t="s">
        <v>51</v>
      </c>
      <c r="B26" s="30" t="s">
        <v>26</v>
      </c>
      <c r="C26" s="30"/>
      <c r="D26" s="30"/>
      <c r="E26" s="30"/>
      <c r="F26" s="105" t="s">
        <v>52</v>
      </c>
      <c r="G26" s="105"/>
      <c r="H26" s="212" t="s">
        <v>5</v>
      </c>
      <c r="I26" s="107" t="s">
        <v>53</v>
      </c>
      <c r="J26" s="20" t="s">
        <v>38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67" t="n">
        <v>1234567</v>
      </c>
      <c r="B27" s="110" t="s">
        <v>60</v>
      </c>
      <c r="C27" s="111"/>
      <c r="D27" s="111"/>
      <c r="E27" s="112"/>
      <c r="F27" s="19" t="s">
        <v>59</v>
      </c>
      <c r="G27" s="19"/>
      <c r="H27" s="72" t="n">
        <f aca="false">A7*50</f>
        <v>50</v>
      </c>
      <c r="I27" s="213" t="n">
        <v>0.1</v>
      </c>
      <c r="J27" s="214" t="n">
        <f aca="false">H27*I27</f>
        <v>5</v>
      </c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79" t="n">
        <v>12345</v>
      </c>
      <c r="B28" s="117" t="s">
        <v>56</v>
      </c>
      <c r="C28" s="118"/>
      <c r="D28" s="118"/>
      <c r="E28" s="119"/>
      <c r="F28" s="120" t="s">
        <v>57</v>
      </c>
      <c r="G28" s="120"/>
      <c r="H28" s="83" t="n">
        <f aca="false">A7*6</f>
        <v>6</v>
      </c>
      <c r="I28" s="122" t="n">
        <v>8</v>
      </c>
      <c r="J28" s="215" t="n">
        <f aca="false">H28*I28</f>
        <v>48</v>
      </c>
      <c r="K28" s="124"/>
      <c r="L28" s="124"/>
      <c r="M28" s="93"/>
      <c r="N28" s="124"/>
      <c r="O28" s="93"/>
      <c r="P28" s="93"/>
      <c r="Q28" s="93"/>
      <c r="R28" s="93"/>
      <c r="S28" s="93"/>
      <c r="T28" s="93"/>
      <c r="U28" s="93"/>
    </row>
    <row r="29" customFormat="false" ht="17.25" hidden="false" customHeight="true" outlineLevel="0" collapsed="false">
      <c r="A29" s="79" t="s">
        <v>61</v>
      </c>
      <c r="B29" s="127" t="s">
        <v>62</v>
      </c>
      <c r="C29" s="127"/>
      <c r="D29" s="127"/>
      <c r="E29" s="119"/>
      <c r="F29" s="120" t="s">
        <v>55</v>
      </c>
      <c r="G29" s="120"/>
      <c r="H29" s="83" t="n">
        <f aca="false">A7*6</f>
        <v>6</v>
      </c>
      <c r="I29" s="122" t="n">
        <v>18</v>
      </c>
      <c r="J29" s="215" t="n">
        <f aca="false">H29*I29</f>
        <v>108</v>
      </c>
      <c r="K29" s="124"/>
      <c r="L29" s="124"/>
      <c r="M29" s="93"/>
      <c r="N29" s="93"/>
      <c r="O29" s="93"/>
      <c r="P29" s="93"/>
      <c r="Q29" s="93"/>
      <c r="R29" s="93"/>
      <c r="S29" s="93"/>
      <c r="T29" s="93"/>
      <c r="U29" s="93"/>
    </row>
    <row r="30" customFormat="false" ht="17.25" hidden="false" customHeight="true" outlineLevel="0" collapsed="false">
      <c r="A30" s="79" t="s">
        <v>55</v>
      </c>
      <c r="B30" s="128" t="s">
        <v>93</v>
      </c>
      <c r="C30" s="128"/>
      <c r="D30" s="128"/>
      <c r="E30" s="128"/>
      <c r="F30" s="120" t="s">
        <v>64</v>
      </c>
      <c r="G30" s="120"/>
      <c r="H30" s="83" t="n">
        <f aca="false">A7*12</f>
        <v>12</v>
      </c>
      <c r="I30" s="122" t="n">
        <v>0.05</v>
      </c>
      <c r="J30" s="215" t="n">
        <f aca="false">H30*I30</f>
        <v>0.6</v>
      </c>
      <c r="K30" s="93"/>
      <c r="L30" s="93"/>
      <c r="M30" s="93"/>
      <c r="N30" s="93"/>
      <c r="O30" s="93"/>
      <c r="P30" s="133" t="n">
        <f aca="false">IF(T3&gt;6000,T3/6000,1)</f>
        <v>1</v>
      </c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79" t="s">
        <v>55</v>
      </c>
      <c r="B31" s="131" t="s">
        <v>94</v>
      </c>
      <c r="C31" s="132"/>
      <c r="D31" s="132"/>
      <c r="E31" s="119"/>
      <c r="F31" s="120" t="s">
        <v>64</v>
      </c>
      <c r="G31" s="120"/>
      <c r="H31" s="96" t="n">
        <f aca="false">A7*16</f>
        <v>16</v>
      </c>
      <c r="I31" s="122" t="n">
        <v>0.05</v>
      </c>
      <c r="J31" s="215" t="n">
        <f aca="false">H31*I31</f>
        <v>0.8</v>
      </c>
      <c r="K31" s="93"/>
      <c r="L31" s="93"/>
      <c r="M31" s="93"/>
      <c r="N31" s="93"/>
      <c r="O31" s="93"/>
      <c r="P31" s="133" t="n">
        <f aca="false">IF(T4&gt;6000,T4/6000,1)</f>
        <v>2.252</v>
      </c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79" t="s">
        <v>95</v>
      </c>
      <c r="B32" s="131" t="s">
        <v>96</v>
      </c>
      <c r="C32" s="132"/>
      <c r="D32" s="132"/>
      <c r="E32" s="119"/>
      <c r="F32" s="120" t="s">
        <v>55</v>
      </c>
      <c r="G32" s="120"/>
      <c r="H32" s="96" t="n">
        <f aca="false">A7*4</f>
        <v>4</v>
      </c>
      <c r="I32" s="122" t="n">
        <v>30</v>
      </c>
      <c r="J32" s="215" t="n">
        <f aca="false">H32*I32</f>
        <v>120</v>
      </c>
      <c r="K32" s="93"/>
      <c r="L32" s="93"/>
      <c r="M32" s="93"/>
      <c r="N32" s="93"/>
      <c r="O32" s="93"/>
      <c r="P32" s="133" t="n">
        <f aca="false">IF(T5&gt;6000,T5/6000,1)</f>
        <v>1</v>
      </c>
      <c r="Q32" s="93"/>
      <c r="R32" s="93"/>
      <c r="S32" s="93"/>
      <c r="T32" s="93"/>
      <c r="U32" s="93"/>
    </row>
    <row r="33" customFormat="false" ht="15" hidden="false" customHeight="true" outlineLevel="0" collapsed="false">
      <c r="A33" s="79" t="s">
        <v>72</v>
      </c>
      <c r="B33" s="216" t="s">
        <v>97</v>
      </c>
      <c r="C33" s="216"/>
      <c r="D33" s="216"/>
      <c r="E33" s="216"/>
      <c r="F33" s="120" t="s">
        <v>64</v>
      </c>
      <c r="G33" s="120"/>
      <c r="H33" s="96" t="n">
        <f aca="false">A7*4</f>
        <v>4</v>
      </c>
      <c r="I33" s="217" t="n">
        <v>5.6</v>
      </c>
      <c r="J33" s="218" t="n">
        <f aca="false">H33*I33</f>
        <v>22.4</v>
      </c>
      <c r="K33" s="93"/>
      <c r="L33" s="93"/>
      <c r="M33" s="93"/>
      <c r="N33" s="93"/>
      <c r="O33" s="93"/>
      <c r="P33" s="133" t="n">
        <f aca="false">IF(T6&gt;6000,T6/6000,1)</f>
        <v>1</v>
      </c>
      <c r="Q33" s="93"/>
      <c r="R33" s="93"/>
      <c r="S33" s="93"/>
      <c r="T33" s="93"/>
      <c r="U33" s="93"/>
    </row>
    <row r="34" customFormat="false" ht="12" hidden="false" customHeight="true" outlineLevel="0" collapsed="false">
      <c r="A34" s="79"/>
      <c r="B34" s="131"/>
      <c r="C34" s="132"/>
      <c r="D34" s="132"/>
      <c r="E34" s="119"/>
      <c r="F34" s="52"/>
      <c r="G34" s="23"/>
      <c r="H34" s="96"/>
      <c r="I34" s="172" t="s">
        <v>38</v>
      </c>
      <c r="J34" s="172"/>
      <c r="K34" s="93"/>
      <c r="L34" s="93"/>
      <c r="M34" s="93"/>
      <c r="N34" s="93"/>
      <c r="O34" s="93"/>
      <c r="P34" s="109" t="n">
        <f aca="false">IF(T7&gt;6000,T7/6000,1)</f>
        <v>1</v>
      </c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173"/>
      <c r="B35" s="136"/>
      <c r="C35" s="137"/>
      <c r="D35" s="137"/>
      <c r="E35" s="138"/>
      <c r="F35" s="139"/>
      <c r="G35" s="140"/>
      <c r="H35" s="64"/>
      <c r="I35" s="174" t="n">
        <f aca="false">SUM(J27:J33)</f>
        <v>304.8</v>
      </c>
      <c r="J35" s="174"/>
      <c r="K35" s="93"/>
      <c r="L35" s="93"/>
      <c r="M35" s="93"/>
      <c r="N35" s="93"/>
      <c r="O35" s="93"/>
      <c r="P35" s="109" t="n">
        <f aca="false">IF(T8&gt;6000,T8/6000,1)</f>
        <v>1</v>
      </c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124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D5:E5"/>
    <mergeCell ref="F5:G5"/>
    <mergeCell ref="H5:J9"/>
    <mergeCell ref="N5:O5"/>
    <mergeCell ref="P5:Q5"/>
    <mergeCell ref="T5:U5"/>
    <mergeCell ref="F6:G6"/>
    <mergeCell ref="N6:O6"/>
    <mergeCell ref="P6:Q6"/>
    <mergeCell ref="T6:U6"/>
    <mergeCell ref="F7:G7"/>
    <mergeCell ref="N7:O7"/>
    <mergeCell ref="P7:Q7"/>
    <mergeCell ref="T7:U7"/>
    <mergeCell ref="N8:O8"/>
    <mergeCell ref="P8:Q8"/>
    <mergeCell ref="T8:U8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R13:T13"/>
    <mergeCell ref="B14:D14"/>
    <mergeCell ref="F14:G14"/>
    <mergeCell ref="H14:I14"/>
    <mergeCell ref="K14:U14"/>
    <mergeCell ref="B15:D15"/>
    <mergeCell ref="F15:G15"/>
    <mergeCell ref="H15:I15"/>
    <mergeCell ref="K15:L15"/>
    <mergeCell ref="M15:N15"/>
    <mergeCell ref="O15:P15"/>
    <mergeCell ref="Q15:R15"/>
    <mergeCell ref="T15:U15"/>
    <mergeCell ref="B16:D16"/>
    <mergeCell ref="F16:G16"/>
    <mergeCell ref="H16:I16"/>
    <mergeCell ref="B17:D17"/>
    <mergeCell ref="F17:G17"/>
    <mergeCell ref="H17:I17"/>
    <mergeCell ref="K17:L17"/>
    <mergeCell ref="M17:N17"/>
    <mergeCell ref="O17:P17"/>
    <mergeCell ref="Q17:R17"/>
    <mergeCell ref="T17:U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D21"/>
    <mergeCell ref="F21:G21"/>
    <mergeCell ref="H21:I21"/>
    <mergeCell ref="B22:D22"/>
    <mergeCell ref="F22:G22"/>
    <mergeCell ref="H22:I22"/>
    <mergeCell ref="B23:D23"/>
    <mergeCell ref="F23:G23"/>
    <mergeCell ref="H23:I23"/>
    <mergeCell ref="B24:D24"/>
    <mergeCell ref="F24:G24"/>
    <mergeCell ref="H24:I24"/>
    <mergeCell ref="B25:D25"/>
    <mergeCell ref="F25:G25"/>
    <mergeCell ref="H25:I25"/>
    <mergeCell ref="B26:E26"/>
    <mergeCell ref="F26:G26"/>
    <mergeCell ref="F27:G27"/>
    <mergeCell ref="F28:G28"/>
    <mergeCell ref="B29:D29"/>
    <mergeCell ref="F29:G29"/>
    <mergeCell ref="B30:E30"/>
    <mergeCell ref="F30:G30"/>
    <mergeCell ref="F31:G31"/>
    <mergeCell ref="F32:G32"/>
    <mergeCell ref="B33:E33"/>
    <mergeCell ref="F33:G33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613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493</v>
      </c>
      <c r="L3" s="257" t="n">
        <f aca="false">IF(L36&gt;6000,L36/6000,1)</f>
        <v>1</v>
      </c>
      <c r="M3" s="395" t="n">
        <f aca="false">ROUNDUP(L3,0)</f>
        <v>1</v>
      </c>
      <c r="N3" s="259" t="n">
        <f aca="false">1.022*6*K26</f>
        <v>367.92</v>
      </c>
      <c r="O3" s="259"/>
      <c r="P3" s="259" t="n">
        <f aca="false">N3*M3</f>
        <v>367.92</v>
      </c>
      <c r="Q3" s="259"/>
      <c r="R3" s="397" t="str">
        <f aca="false">F5</f>
        <v>BRANCO</v>
      </c>
      <c r="S3" s="397" t="n">
        <v>6000</v>
      </c>
      <c r="T3" s="440" t="n">
        <f aca="false">L36*1.022/1000</f>
        <v>2.017428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614</v>
      </c>
      <c r="L4" s="265" t="n">
        <f aca="false">IF(L37&gt;6000,L37/6000,1)</f>
        <v>1</v>
      </c>
      <c r="M4" s="91" t="n">
        <f aca="false">ROUNDUP(L4,0)</f>
        <v>1</v>
      </c>
      <c r="N4" s="266" t="n">
        <f aca="false">0.954*6*K26</f>
        <v>343.44</v>
      </c>
      <c r="O4" s="266"/>
      <c r="P4" s="266" t="n">
        <f aca="false">N4*M4</f>
        <v>343.44</v>
      </c>
      <c r="Q4" s="266"/>
      <c r="R4" s="96" t="str">
        <f aca="false">F5</f>
        <v>BRANCO</v>
      </c>
      <c r="S4" s="96" t="n">
        <v>6000</v>
      </c>
      <c r="T4" s="439" t="n">
        <f aca="false">L37*0.954/1000</f>
        <v>1.883196</v>
      </c>
      <c r="U4" s="439" t="n">
        <f aca="false">M4*5.724</f>
        <v>5.724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495</v>
      </c>
      <c r="L5" s="265" t="n">
        <f aca="false">IF(L38&gt;6000,L38/6000,1)</f>
        <v>1</v>
      </c>
      <c r="M5" s="91" t="n">
        <f aca="false">ROUNDUP(L5,0)</f>
        <v>1</v>
      </c>
      <c r="N5" s="266" t="n">
        <f aca="false">0.539*6*K26</f>
        <v>194.04</v>
      </c>
      <c r="O5" s="266"/>
      <c r="P5" s="266" t="n">
        <f aca="false">N5*M5</f>
        <v>194.04</v>
      </c>
      <c r="Q5" s="266"/>
      <c r="R5" s="96" t="str">
        <f aca="false">F5</f>
        <v>BRANCO</v>
      </c>
      <c r="S5" s="96" t="n">
        <v>6000</v>
      </c>
      <c r="T5" s="439" t="n">
        <f aca="false">L38*0.539/1000</f>
        <v>1.1319</v>
      </c>
      <c r="U5" s="439" t="n">
        <f aca="false">M5*3.234</f>
        <v>3.234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201</v>
      </c>
      <c r="L6" s="265" t="n">
        <f aca="false">IF(L39&gt;6000,L39/6000,1)</f>
        <v>1</v>
      </c>
      <c r="M6" s="91" t="n">
        <f aca="false">ROUNDUP(L6,0)</f>
        <v>1</v>
      </c>
      <c r="N6" s="266" t="n">
        <f aca="false">0.507*6*K26</f>
        <v>182.52</v>
      </c>
      <c r="O6" s="266"/>
      <c r="P6" s="266" t="n">
        <f aca="false">N6*M6</f>
        <v>182.52</v>
      </c>
      <c r="Q6" s="266"/>
      <c r="R6" s="96" t="str">
        <f aca="false">F5</f>
        <v>BRANCO</v>
      </c>
      <c r="S6" s="96" t="n">
        <v>4600</v>
      </c>
      <c r="T6" s="439" t="n">
        <f aca="false">L39*0.677/1000</f>
        <v>0.6304224</v>
      </c>
      <c r="U6" s="439" t="n">
        <f aca="false">M6*3.042</f>
        <v>3.042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79" t="s">
        <v>543</v>
      </c>
      <c r="L7" s="265" t="n">
        <f aca="false">IF(L40&gt;6000,L40/6000,1)</f>
        <v>1</v>
      </c>
      <c r="M7" s="91" t="n">
        <f aca="false">ROUNDUP(L7,0)</f>
        <v>1</v>
      </c>
      <c r="N7" s="266" t="n">
        <f aca="false">0.989*6*K26</f>
        <v>356.04</v>
      </c>
      <c r="O7" s="266"/>
      <c r="P7" s="266" t="n">
        <f aca="false">N7*M7</f>
        <v>356.04</v>
      </c>
      <c r="Q7" s="266"/>
      <c r="R7" s="96" t="str">
        <f aca="false">F5</f>
        <v>BRANCO</v>
      </c>
      <c r="S7" s="96" t="n">
        <v>4600</v>
      </c>
      <c r="T7" s="439" t="n">
        <f aca="false">L40*0.989/1000</f>
        <v>2.7767164</v>
      </c>
      <c r="U7" s="439" t="n">
        <f aca="false">M7*5.934</f>
        <v>5.934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79" t="s">
        <v>615</v>
      </c>
      <c r="L8" s="265" t="n">
        <f aca="false">IF(L41&gt;6000,L41/6000,1)</f>
        <v>1</v>
      </c>
      <c r="M8" s="91" t="n">
        <f aca="false">ROUNDUP(L8,0)</f>
        <v>1</v>
      </c>
      <c r="N8" s="266" t="n">
        <f aca="false">0.512*6*K26</f>
        <v>184.32</v>
      </c>
      <c r="O8" s="266"/>
      <c r="P8" s="266" t="n">
        <f aca="false">N8*M8</f>
        <v>184.32</v>
      </c>
      <c r="Q8" s="266"/>
      <c r="R8" s="96" t="str">
        <f aca="false">F5</f>
        <v>BRANCO</v>
      </c>
      <c r="S8" s="96" t="n">
        <v>4600</v>
      </c>
      <c r="T8" s="439" t="n">
        <f aca="false">L43*0.512/1000</f>
        <v>15.8598331733333</v>
      </c>
      <c r="U8" s="439" t="n">
        <f aca="false">M8*3.072</f>
        <v>3.072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(B7-143)/2</f>
        <v>928.5</v>
      </c>
      <c r="F9" s="390" t="n">
        <f aca="false">(C7-212)/2</f>
        <v>944</v>
      </c>
      <c r="G9" s="270"/>
      <c r="H9" s="270"/>
      <c r="I9" s="270"/>
      <c r="J9" s="270"/>
      <c r="K9" s="79" t="s">
        <v>616</v>
      </c>
      <c r="L9" s="265" t="n">
        <f aca="false">IF(L42&gt;6000,L42/6000,1)</f>
        <v>5.16270611111111</v>
      </c>
      <c r="M9" s="91" t="n">
        <f aca="false">ROUNDUP(L9,0)</f>
        <v>6</v>
      </c>
      <c r="N9" s="266" t="n">
        <f aca="false">0.326*6*K26</f>
        <v>117.36</v>
      </c>
      <c r="O9" s="266"/>
      <c r="P9" s="266" t="n">
        <f aca="false">N9*M9</f>
        <v>704.16</v>
      </c>
      <c r="Q9" s="266"/>
      <c r="R9" s="96" t="str">
        <f aca="false">R8</f>
        <v>BRANCO</v>
      </c>
      <c r="S9" s="96" t="n">
        <v>6000</v>
      </c>
      <c r="T9" s="439" t="n">
        <f aca="false">L42*0.326/1000</f>
        <v>10.0982531533333</v>
      </c>
      <c r="U9" s="439" t="n">
        <f aca="false">M9*1.956</f>
        <v>11.736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79" t="s">
        <v>617</v>
      </c>
      <c r="L10" s="265" t="n">
        <f aca="false">IF(L43&gt;6000,L43/6000,1)</f>
        <v>5.16270611111111</v>
      </c>
      <c r="M10" s="91" t="n">
        <f aca="false">ROUNDUP(L10,0)</f>
        <v>6</v>
      </c>
      <c r="N10" s="277" t="n">
        <f aca="false">0.326*6*K26</f>
        <v>117.36</v>
      </c>
      <c r="O10" s="277"/>
      <c r="P10" s="277" t="n">
        <f aca="false">N10*M10</f>
        <v>704.16</v>
      </c>
      <c r="Q10" s="277"/>
      <c r="R10" s="96" t="str">
        <f aca="false">F5</f>
        <v>BRANCO</v>
      </c>
      <c r="S10" s="96" t="n">
        <v>6000</v>
      </c>
      <c r="T10" s="439" t="n">
        <f aca="false">L43*0.326/1000</f>
        <v>10.0982531533333</v>
      </c>
      <c r="U10" s="439" t="n">
        <f aca="false">M10*1.956</f>
        <v>11.736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1974</v>
      </c>
      <c r="G11" s="69"/>
      <c r="H11" s="72" t="s">
        <v>17</v>
      </c>
      <c r="I11" s="72"/>
      <c r="J11" s="72" t="s">
        <v>42</v>
      </c>
      <c r="K11" s="79" t="s">
        <v>193</v>
      </c>
      <c r="L11" s="265" t="n">
        <f aca="false">IF(L44&gt;6000,L44/6000,1)</f>
        <v>1</v>
      </c>
      <c r="M11" s="91" t="n">
        <f aca="false">ROUNDUP(L11,0)</f>
        <v>1</v>
      </c>
      <c r="N11" s="266" t="n">
        <f aca="false">0.52*6*K26</f>
        <v>187.2</v>
      </c>
      <c r="O11" s="266"/>
      <c r="P11" s="266" t="n">
        <f aca="false">N11*M11</f>
        <v>187.2</v>
      </c>
      <c r="Q11" s="266"/>
      <c r="R11" s="96" t="str">
        <f aca="false">F5</f>
        <v>BRANCO</v>
      </c>
      <c r="S11" s="96" t="n">
        <v>6000</v>
      </c>
      <c r="T11" s="439" t="n">
        <f aca="false">L44*0.52/1000</f>
        <v>1.0712</v>
      </c>
      <c r="U11" s="439" t="n">
        <f aca="false">M11*3.12</f>
        <v>3.12</v>
      </c>
    </row>
    <row r="12" customFormat="false" ht="25.5" hidden="false" customHeight="true" outlineLevel="0" collapsed="false">
      <c r="A12" s="79" t="s">
        <v>614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1974</v>
      </c>
      <c r="G12" s="97"/>
      <c r="H12" s="83" t="s">
        <v>17</v>
      </c>
      <c r="I12" s="83"/>
      <c r="J12" s="83" t="s">
        <v>42</v>
      </c>
      <c r="K12" s="79" t="s">
        <v>618</v>
      </c>
      <c r="L12" s="265" t="n">
        <f aca="false">IF(L45&gt;6000,L45/6000,1)</f>
        <v>1</v>
      </c>
      <c r="M12" s="91" t="n">
        <f aca="false">ROUNDUP(L12,0)</f>
        <v>1</v>
      </c>
      <c r="N12" s="266" t="n">
        <f aca="false">1.041*4.6*K26</f>
        <v>287.316</v>
      </c>
      <c r="O12" s="266"/>
      <c r="P12" s="266" t="n">
        <f aca="false">N12*M12</f>
        <v>287.316</v>
      </c>
      <c r="Q12" s="266"/>
      <c r="R12" s="96" t="str">
        <f aca="false">F5</f>
        <v>BRANCO</v>
      </c>
      <c r="S12" s="96" t="n">
        <v>6000</v>
      </c>
      <c r="T12" s="439" t="n">
        <f aca="false">L45*1.041/1000</f>
        <v>2.14446</v>
      </c>
      <c r="U12" s="439" t="n">
        <f aca="false">M12*4.788</f>
        <v>4.788</v>
      </c>
    </row>
    <row r="13" customFormat="false" ht="25.5" hidden="false" customHeight="true" outlineLevel="0" collapsed="false">
      <c r="A13" s="79" t="s">
        <v>495</v>
      </c>
      <c r="B13" s="279" t="s">
        <v>192</v>
      </c>
      <c r="C13" s="279"/>
      <c r="D13" s="279"/>
      <c r="E13" s="24" t="n">
        <f aca="false">D7*1</f>
        <v>1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79" t="s">
        <v>619</v>
      </c>
      <c r="L13" s="265" t="n">
        <f aca="false">IF(L46&gt;6000,L46/6000,1)</f>
        <v>1</v>
      </c>
      <c r="M13" s="295" t="n">
        <f aca="false">ROUNDUP(L13,0)</f>
        <v>1</v>
      </c>
      <c r="N13" s="266" t="n">
        <f aca="false">0.534*6*K26</f>
        <v>192.24</v>
      </c>
      <c r="O13" s="266"/>
      <c r="P13" s="266" t="n">
        <f aca="false">N13*M13</f>
        <v>192.24</v>
      </c>
      <c r="Q13" s="266"/>
      <c r="R13" s="96" t="str">
        <f aca="false">F5</f>
        <v>BRANCO</v>
      </c>
      <c r="S13" s="96" t="n">
        <v>6000</v>
      </c>
      <c r="T13" s="439" t="n">
        <f aca="false">L46*0.534/1000</f>
        <v>2.20008</v>
      </c>
      <c r="U13" s="439" t="n">
        <f aca="false">M13*3.204</f>
        <v>3.204</v>
      </c>
    </row>
    <row r="14" customFormat="false" ht="25.5" hidden="false" customHeight="true" outlineLevel="0" collapsed="false">
      <c r="A14" s="79" t="s">
        <v>201</v>
      </c>
      <c r="B14" s="279" t="s">
        <v>620</v>
      </c>
      <c r="C14" s="279"/>
      <c r="D14" s="279"/>
      <c r="E14" s="24" t="n">
        <f aca="false">D7*1</f>
        <v>1</v>
      </c>
      <c r="F14" s="24" t="n">
        <f aca="false">(B7-137.6)/2</f>
        <v>931.2</v>
      </c>
      <c r="G14" s="24"/>
      <c r="H14" s="83" t="s">
        <v>18</v>
      </c>
      <c r="I14" s="83"/>
      <c r="J14" s="83" t="s">
        <v>42</v>
      </c>
      <c r="K14" s="79" t="s">
        <v>621</v>
      </c>
      <c r="L14" s="265" t="n">
        <f aca="false">IF(L47&gt;6000,L47/6000,1)</f>
        <v>1</v>
      </c>
      <c r="M14" s="153" t="n">
        <f aca="false">ROUNDUP(L14,0)</f>
        <v>1</v>
      </c>
      <c r="N14" s="266" t="n">
        <f aca="false">0.575*6*K26</f>
        <v>207</v>
      </c>
      <c r="O14" s="266"/>
      <c r="P14" s="25" t="n">
        <f aca="false">N14*M14</f>
        <v>207</v>
      </c>
      <c r="Q14" s="25"/>
      <c r="R14" s="96" t="str">
        <f aca="false">F5</f>
        <v>BRANCO</v>
      </c>
      <c r="S14" s="96" t="n">
        <v>6000</v>
      </c>
      <c r="T14" s="439" t="n">
        <f aca="false">L47*0.575/1000</f>
        <v>1.1845</v>
      </c>
      <c r="U14" s="439" t="n">
        <f aca="false">M14*3.45</f>
        <v>3.45</v>
      </c>
    </row>
    <row r="15" customFormat="false" ht="25.5" hidden="false" customHeight="true" outlineLevel="0" collapsed="false">
      <c r="A15" s="79" t="s">
        <v>543</v>
      </c>
      <c r="B15" s="279" t="s">
        <v>622</v>
      </c>
      <c r="C15" s="279"/>
      <c r="D15" s="279"/>
      <c r="E15" s="46" t="n">
        <f aca="false">D7*1</f>
        <v>1</v>
      </c>
      <c r="F15" s="24" t="n">
        <f aca="false">(B7-137.6)/2</f>
        <v>931.2</v>
      </c>
      <c r="G15" s="24"/>
      <c r="H15" s="83" t="s">
        <v>18</v>
      </c>
      <c r="I15" s="83"/>
      <c r="J15" s="83" t="s">
        <v>42</v>
      </c>
      <c r="K15" s="79" t="s">
        <v>623</v>
      </c>
      <c r="L15" s="265" t="n">
        <f aca="false">IF(L48&gt;6000,L48/6000,1)</f>
        <v>1</v>
      </c>
      <c r="M15" s="153" t="n">
        <f aca="false">ROUNDUP(L15,0)</f>
        <v>1</v>
      </c>
      <c r="N15" s="266" t="n">
        <f aca="false">0.52*6*K26</f>
        <v>187.2</v>
      </c>
      <c r="O15" s="266"/>
      <c r="P15" s="25" t="n">
        <f aca="false">N15*M15</f>
        <v>187.2</v>
      </c>
      <c r="Q15" s="25"/>
      <c r="R15" s="96" t="str">
        <f aca="false">F5</f>
        <v>BRANCO</v>
      </c>
      <c r="S15" s="96" t="n">
        <v>6000</v>
      </c>
      <c r="T15" s="439" t="n">
        <f aca="false">L48*0.52/1000</f>
        <v>1.0712</v>
      </c>
      <c r="U15" s="439" t="n">
        <f aca="false">M15*3.12</f>
        <v>3.12</v>
      </c>
    </row>
    <row r="16" customFormat="false" ht="25.5" hidden="false" customHeight="true" outlineLevel="0" collapsed="false">
      <c r="A16" s="79" t="s">
        <v>543</v>
      </c>
      <c r="B16" s="279" t="s">
        <v>622</v>
      </c>
      <c r="C16" s="279"/>
      <c r="D16" s="279"/>
      <c r="E16" s="24" t="n">
        <f aca="false">D7*2</f>
        <v>2</v>
      </c>
      <c r="F16" s="24" t="n">
        <f aca="false">(B7-123.6)/2</f>
        <v>938.2</v>
      </c>
      <c r="G16" s="24"/>
      <c r="H16" s="83" t="s">
        <v>18</v>
      </c>
      <c r="I16" s="83"/>
      <c r="J16" s="83" t="s">
        <v>42</v>
      </c>
      <c r="K16" s="79" t="s">
        <v>188</v>
      </c>
      <c r="L16" s="265" t="n">
        <f aca="false">IF(L49&gt;6000,L49/6000,1)</f>
        <v>1.23813333333333</v>
      </c>
      <c r="M16" s="153" t="n">
        <f aca="false">ROUNDUP(L16,0)</f>
        <v>2</v>
      </c>
      <c r="N16" s="266" t="n">
        <f aca="false">0.111*6*K26</f>
        <v>39.96</v>
      </c>
      <c r="O16" s="266"/>
      <c r="P16" s="25" t="n">
        <f aca="false">N16*M16</f>
        <v>79.92</v>
      </c>
      <c r="Q16" s="25"/>
      <c r="R16" s="96" t="str">
        <f aca="false">F5</f>
        <v>BRANCO</v>
      </c>
      <c r="S16" s="96" t="n">
        <v>6000</v>
      </c>
      <c r="T16" s="439" t="n">
        <f aca="false">L49*0.111/1000</f>
        <v>0.8245968</v>
      </c>
      <c r="U16" s="439" t="n">
        <f aca="false">M16*0.666</f>
        <v>1.332</v>
      </c>
    </row>
    <row r="17" customFormat="false" ht="25.5" hidden="false" customHeight="true" outlineLevel="0" collapsed="false">
      <c r="A17" s="79" t="s">
        <v>616</v>
      </c>
      <c r="B17" s="279" t="s">
        <v>272</v>
      </c>
      <c r="C17" s="279"/>
      <c r="D17" s="279"/>
      <c r="E17" s="24" t="n">
        <f aca="false">(C7-179)/60*D7+1</f>
        <v>33.0166666666667</v>
      </c>
      <c r="F17" s="24" t="n">
        <f aca="false">(B7-123.6)/2</f>
        <v>938.2</v>
      </c>
      <c r="G17" s="24"/>
      <c r="H17" s="83" t="s">
        <v>17</v>
      </c>
      <c r="I17" s="83"/>
      <c r="J17" s="83" t="s">
        <v>42</v>
      </c>
      <c r="K17" s="79" t="s">
        <v>520</v>
      </c>
      <c r="L17" s="265" t="n">
        <f aca="false">IF(L50&gt;6000,L50/6000,1)</f>
        <v>1</v>
      </c>
      <c r="M17" s="153" t="n">
        <f aca="false">ROUNDUP(L17,0)</f>
        <v>1</v>
      </c>
      <c r="N17" s="266" t="n">
        <f aca="false">0.677*6*K26</f>
        <v>243.72</v>
      </c>
      <c r="O17" s="266"/>
      <c r="P17" s="25" t="n">
        <f aca="false">N17*M17</f>
        <v>243.72</v>
      </c>
      <c r="Q17" s="25"/>
      <c r="R17" s="96" t="str">
        <f aca="false">F5</f>
        <v>BRANCO</v>
      </c>
      <c r="S17" s="96" t="n">
        <v>6000</v>
      </c>
      <c r="T17" s="439" t="n">
        <f aca="false">L50*0.677/1000</f>
        <v>1.4217</v>
      </c>
      <c r="U17" s="439" t="n">
        <f aca="false">M17*4.062</f>
        <v>4.062</v>
      </c>
    </row>
    <row r="18" customFormat="false" ht="25.5" hidden="false" customHeight="true" outlineLevel="0" collapsed="false">
      <c r="A18" s="79" t="s">
        <v>617</v>
      </c>
      <c r="B18" s="279" t="s">
        <v>624</v>
      </c>
      <c r="C18" s="279"/>
      <c r="D18" s="279"/>
      <c r="E18" s="24" t="n">
        <f aca="false">E17</f>
        <v>33.0166666666667</v>
      </c>
      <c r="F18" s="24" t="n">
        <f aca="false">(B7-123.6)/2</f>
        <v>938.2</v>
      </c>
      <c r="G18" s="24"/>
      <c r="H18" s="83" t="s">
        <v>17</v>
      </c>
      <c r="I18" s="83"/>
      <c r="J18" s="83" t="s">
        <v>42</v>
      </c>
      <c r="K18" s="79" t="s">
        <v>580</v>
      </c>
      <c r="L18" s="265" t="n">
        <f aca="false">IF(L51&gt;6000,L51/6000,1)</f>
        <v>1</v>
      </c>
      <c r="M18" s="153" t="n">
        <f aca="false">ROUNDUP(L18,0)</f>
        <v>1</v>
      </c>
      <c r="N18" s="266" t="n">
        <f aca="false">0.265*6*K26</f>
        <v>95.4</v>
      </c>
      <c r="O18" s="266"/>
      <c r="P18" s="25" t="n">
        <f aca="false">N18*M18</f>
        <v>95.4</v>
      </c>
      <c r="Q18" s="25"/>
      <c r="R18" s="96" t="str">
        <f aca="false">F5</f>
        <v>BRANCO</v>
      </c>
      <c r="S18" s="96" t="n">
        <v>6000</v>
      </c>
      <c r="T18" s="439" t="n">
        <f aca="false">L51*0.265/1000</f>
        <v>0.06678</v>
      </c>
      <c r="U18" s="439" t="n">
        <f aca="false">M18*1.59</f>
        <v>1.59</v>
      </c>
    </row>
    <row r="19" customFormat="false" ht="22.5" hidden="false" customHeight="true" outlineLevel="0" collapsed="false">
      <c r="A19" s="79" t="s">
        <v>193</v>
      </c>
      <c r="B19" s="279" t="s">
        <v>435</v>
      </c>
      <c r="C19" s="279"/>
      <c r="D19" s="279"/>
      <c r="E19" s="24" t="n">
        <f aca="false">D7*1</f>
        <v>1</v>
      </c>
      <c r="F19" s="24" t="n">
        <f aca="false">C7-40</f>
        <v>2060</v>
      </c>
      <c r="G19" s="24"/>
      <c r="H19" s="83" t="s">
        <v>18</v>
      </c>
      <c r="I19" s="83"/>
      <c r="J19" s="83" t="s">
        <v>42</v>
      </c>
      <c r="K19" s="79" t="s">
        <v>374</v>
      </c>
      <c r="L19" s="265" t="n">
        <f aca="false">IF(L52&gt;6000,L52/6000,1)</f>
        <v>1</v>
      </c>
      <c r="M19" s="153" t="n">
        <f aca="false">ROUNDUP(L19,0)</f>
        <v>1</v>
      </c>
      <c r="N19" s="266" t="n">
        <f aca="false">0.267*6*K26</f>
        <v>96.12</v>
      </c>
      <c r="O19" s="266"/>
      <c r="P19" s="25" t="n">
        <f aca="false">N19*M19</f>
        <v>96.12</v>
      </c>
      <c r="Q19" s="25"/>
      <c r="R19" s="96" t="str">
        <f aca="false">F5</f>
        <v>BRANCO</v>
      </c>
      <c r="S19" s="96" t="n">
        <v>6000</v>
      </c>
      <c r="T19" s="439" t="n">
        <f aca="false">L52*0.267/1000</f>
        <v>0.54468</v>
      </c>
      <c r="U19" s="439" t="n">
        <f aca="false">M19*1.602</f>
        <v>1.602</v>
      </c>
    </row>
    <row r="20" customFormat="false" ht="22.5" hidden="false" customHeight="true" outlineLevel="0" collapsed="false">
      <c r="A20" s="79" t="s">
        <v>618</v>
      </c>
      <c r="B20" s="279" t="s">
        <v>603</v>
      </c>
      <c r="C20" s="279"/>
      <c r="D20" s="279"/>
      <c r="E20" s="46" t="n">
        <f aca="false">D7*1</f>
        <v>1</v>
      </c>
      <c r="F20" s="24" t="n">
        <f aca="false">C7-40</f>
        <v>2060</v>
      </c>
      <c r="G20" s="24"/>
      <c r="H20" s="83" t="s">
        <v>18</v>
      </c>
      <c r="I20" s="83"/>
      <c r="J20" s="83" t="s">
        <v>42</v>
      </c>
      <c r="K20" s="79" t="s">
        <v>496</v>
      </c>
      <c r="L20" s="265" t="n">
        <f aca="false">IF(L53&gt;6000,L53/6000,1)</f>
        <v>1</v>
      </c>
      <c r="M20" s="153" t="n">
        <f aca="false">ROUNDUP(L20,0)</f>
        <v>1</v>
      </c>
      <c r="N20" s="266" t="n">
        <f aca="false">0.263*6*K26</f>
        <v>94.68</v>
      </c>
      <c r="O20" s="266"/>
      <c r="P20" s="25" t="n">
        <f aca="false">N20*M20</f>
        <v>94.68</v>
      </c>
      <c r="Q20" s="25"/>
      <c r="R20" s="96" t="str">
        <f aca="false">F5</f>
        <v>BRANCO</v>
      </c>
      <c r="S20" s="96" t="n">
        <v>6000</v>
      </c>
      <c r="T20" s="439" t="n">
        <f aca="false">L53*0.263/1000</f>
        <v>1.09408</v>
      </c>
      <c r="U20" s="439" t="n">
        <f aca="false">M20*1.578</f>
        <v>1.578</v>
      </c>
    </row>
    <row r="21" customFormat="false" ht="21" hidden="false" customHeight="true" outlineLevel="0" collapsed="false">
      <c r="A21" s="79" t="s">
        <v>619</v>
      </c>
      <c r="B21" s="80" t="s">
        <v>435</v>
      </c>
      <c r="C21" s="80"/>
      <c r="D21" s="80"/>
      <c r="E21" s="46" t="n">
        <f aca="false">D7*2</f>
        <v>2</v>
      </c>
      <c r="F21" s="97" t="n">
        <f aca="false">C7-40</f>
        <v>2060</v>
      </c>
      <c r="G21" s="97"/>
      <c r="H21" s="28" t="s">
        <v>18</v>
      </c>
      <c r="I21" s="28"/>
      <c r="J21" s="83" t="s">
        <v>42</v>
      </c>
      <c r="K21" s="79" t="s">
        <v>625</v>
      </c>
      <c r="L21" s="265" t="n">
        <f aca="false">IF(L54&gt;6000,L54/6000,1)</f>
        <v>1</v>
      </c>
      <c r="M21" s="153" t="n">
        <f aca="false">ROUNDUP(L21,0)</f>
        <v>1</v>
      </c>
      <c r="N21" s="266" t="n">
        <f aca="false">0.133*6*K26</f>
        <v>47.88</v>
      </c>
      <c r="O21" s="266"/>
      <c r="P21" s="25" t="n">
        <f aca="false">N21*M21</f>
        <v>47.88</v>
      </c>
      <c r="Q21" s="25"/>
      <c r="R21" s="96" t="str">
        <f aca="false">F5</f>
        <v>BRANCO</v>
      </c>
      <c r="S21" s="96" t="n">
        <v>6000</v>
      </c>
      <c r="T21" s="439" t="n">
        <f aca="false">L54*0.133/1000</f>
        <v>0.2495612</v>
      </c>
      <c r="U21" s="439" t="n">
        <f aca="false">M21*0.798</f>
        <v>0.798</v>
      </c>
    </row>
    <row r="22" customFormat="false" ht="26.25" hidden="false" customHeight="true" outlineLevel="0" collapsed="false">
      <c r="A22" s="79" t="s">
        <v>621</v>
      </c>
      <c r="B22" s="80" t="s">
        <v>435</v>
      </c>
      <c r="C22" s="80"/>
      <c r="D22" s="80"/>
      <c r="E22" s="46" t="n">
        <f aca="false">D7*1</f>
        <v>1</v>
      </c>
      <c r="F22" s="24" t="n">
        <f aca="false">C7-40</f>
        <v>2060</v>
      </c>
      <c r="G22" s="24"/>
      <c r="H22" s="83" t="s">
        <v>18</v>
      </c>
      <c r="I22" s="83"/>
      <c r="J22" s="83" t="s">
        <v>42</v>
      </c>
      <c r="K22" s="79" t="s">
        <v>626</v>
      </c>
      <c r="L22" s="265" t="n">
        <f aca="false">IF(L55&gt;6000,L55/6000,1)</f>
        <v>1</v>
      </c>
      <c r="M22" s="153" t="n">
        <f aca="false">ROUNDUP(L22,0)</f>
        <v>1</v>
      </c>
      <c r="N22" s="266" t="n">
        <f aca="false">0.55*6*K26</f>
        <v>198</v>
      </c>
      <c r="O22" s="266"/>
      <c r="P22" s="266" t="n">
        <f aca="false">N22*M22</f>
        <v>198</v>
      </c>
      <c r="Q22" s="266"/>
      <c r="R22" s="96" t="str">
        <f aca="false">F5</f>
        <v>BRANCO</v>
      </c>
      <c r="S22" s="96" t="n">
        <v>6000</v>
      </c>
      <c r="T22" s="439" t="n">
        <f aca="false">L55*0.55/1000</f>
        <v>0.51216</v>
      </c>
      <c r="U22" s="439" t="n">
        <f aca="false">M22*3.3</f>
        <v>3.3</v>
      </c>
    </row>
    <row r="23" customFormat="false" ht="26.25" hidden="false" customHeight="true" outlineLevel="0" collapsed="false">
      <c r="A23" s="79" t="s">
        <v>623</v>
      </c>
      <c r="B23" s="80" t="s">
        <v>435</v>
      </c>
      <c r="C23" s="80"/>
      <c r="D23" s="80"/>
      <c r="E23" s="46" t="n">
        <f aca="false">D7*1</f>
        <v>1</v>
      </c>
      <c r="F23" s="97" t="n">
        <f aca="false">C7-40</f>
        <v>2060</v>
      </c>
      <c r="G23" s="97"/>
      <c r="H23" s="83" t="s">
        <v>18</v>
      </c>
      <c r="I23" s="83"/>
      <c r="J23" s="83" t="s">
        <v>42</v>
      </c>
      <c r="K23" s="47"/>
      <c r="L23" s="265" t="n">
        <f aca="false">IF(L56&gt;6000,L56/6000,1)</f>
        <v>1</v>
      </c>
      <c r="M23" s="471"/>
      <c r="N23" s="284"/>
      <c r="O23" s="280"/>
      <c r="P23" s="120"/>
      <c r="Q23" s="120"/>
      <c r="R23" s="96"/>
      <c r="S23" s="96"/>
      <c r="T23" s="439"/>
      <c r="U23" s="96"/>
    </row>
    <row r="24" customFormat="false" ht="26.25" hidden="false" customHeight="true" outlineLevel="0" collapsed="false">
      <c r="A24" s="79" t="s">
        <v>188</v>
      </c>
      <c r="B24" s="80" t="s">
        <v>203</v>
      </c>
      <c r="C24" s="80"/>
      <c r="D24" s="80"/>
      <c r="E24" s="46" t="n">
        <f aca="false">D7*4</f>
        <v>4</v>
      </c>
      <c r="F24" s="24" t="n">
        <f aca="false">F14</f>
        <v>931.2</v>
      </c>
      <c r="G24" s="24"/>
      <c r="H24" s="83" t="s">
        <v>17</v>
      </c>
      <c r="I24" s="83"/>
      <c r="J24" s="83" t="s">
        <v>42</v>
      </c>
      <c r="K24" s="452"/>
      <c r="L24" s="502" t="n">
        <f aca="false">IF(L57&gt;6000,L57/6000,1)</f>
        <v>1</v>
      </c>
      <c r="M24" s="472"/>
      <c r="N24" s="285"/>
      <c r="O24" s="288"/>
      <c r="P24" s="209"/>
      <c r="Q24" s="209"/>
      <c r="R24" s="290"/>
      <c r="S24" s="290"/>
      <c r="T24" s="292"/>
      <c r="U24" s="290"/>
    </row>
    <row r="25" customFormat="false" ht="26.25" hidden="false" customHeight="true" outlineLevel="0" collapsed="false">
      <c r="A25" s="79" t="s">
        <v>188</v>
      </c>
      <c r="B25" s="80" t="s">
        <v>203</v>
      </c>
      <c r="C25" s="80"/>
      <c r="D25" s="80"/>
      <c r="E25" s="46" t="n">
        <f aca="false">D7*4</f>
        <v>4</v>
      </c>
      <c r="F25" s="97" t="n">
        <f aca="false">(C7-248)/2</f>
        <v>926</v>
      </c>
      <c r="G25" s="97"/>
      <c r="H25" s="83" t="s">
        <v>18</v>
      </c>
      <c r="I25" s="83"/>
      <c r="J25" s="83" t="s">
        <v>42</v>
      </c>
      <c r="K25" s="297" t="s">
        <v>133</v>
      </c>
      <c r="L25" s="484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56.88100028</v>
      </c>
    </row>
    <row r="26" customFormat="false" ht="26.25" hidden="false" customHeight="true" outlineLevel="0" collapsed="false">
      <c r="A26" s="79" t="s">
        <v>580</v>
      </c>
      <c r="B26" s="293" t="s">
        <v>627</v>
      </c>
      <c r="C26" s="293"/>
      <c r="D26" s="293"/>
      <c r="E26" s="46" t="n">
        <f aca="false">D7*12</f>
        <v>12</v>
      </c>
      <c r="F26" s="97" t="n">
        <f aca="false">21</f>
        <v>21</v>
      </c>
      <c r="G26" s="97"/>
      <c r="H26" s="120"/>
      <c r="I26" s="120"/>
      <c r="J26" s="83" t="s">
        <v>42</v>
      </c>
      <c r="K26" s="410" t="n">
        <v>60</v>
      </c>
      <c r="L26" s="410" t="n">
        <v>100</v>
      </c>
      <c r="M26" s="302" t="n">
        <f aca="false">U25*L26</f>
        <v>5688.100028</v>
      </c>
      <c r="N26" s="302"/>
      <c r="O26" s="303" t="n">
        <v>0.5</v>
      </c>
      <c r="P26" s="85" t="n">
        <f aca="false">K30*O26+K30</f>
        <v>5119.2900252</v>
      </c>
      <c r="Q26" s="85"/>
      <c r="R26" s="85"/>
      <c r="S26" s="181" t="s">
        <v>131</v>
      </c>
      <c r="T26" s="181"/>
      <c r="U26" s="294" t="n">
        <f aca="false">SUM(U3:U24)</f>
        <v>82.554</v>
      </c>
    </row>
    <row r="27" customFormat="false" ht="24" hidden="false" customHeight="true" outlineLevel="0" collapsed="false">
      <c r="A27" s="79" t="s">
        <v>615</v>
      </c>
      <c r="B27" s="293" t="s">
        <v>628</v>
      </c>
      <c r="C27" s="293"/>
      <c r="D27" s="293"/>
      <c r="E27" s="46" t="n">
        <f aca="false">D7*2</f>
        <v>2</v>
      </c>
      <c r="F27" s="24" t="n">
        <f aca="false">(B7-123.6)/2</f>
        <v>938.2</v>
      </c>
      <c r="G27" s="24"/>
      <c r="H27" s="120" t="s">
        <v>17</v>
      </c>
      <c r="I27" s="120"/>
      <c r="J27" s="83" t="s">
        <v>42</v>
      </c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25.67299972</v>
      </c>
    </row>
    <row r="28" customFormat="false" ht="19.5" hidden="false" customHeight="true" outlineLevel="0" collapsed="false">
      <c r="A28" s="79" t="s">
        <v>496</v>
      </c>
      <c r="B28" s="293" t="s">
        <v>196</v>
      </c>
      <c r="C28" s="293"/>
      <c r="D28" s="293"/>
      <c r="E28" s="46" t="n">
        <f aca="false">D7*2</f>
        <v>2</v>
      </c>
      <c r="F28" s="97" t="n">
        <f aca="false">C7-20</f>
        <v>2080</v>
      </c>
      <c r="G28" s="97"/>
      <c r="H28" s="120" t="s">
        <v>18</v>
      </c>
      <c r="I28" s="120"/>
      <c r="J28" s="83" t="s">
        <v>42</v>
      </c>
      <c r="K28" s="84" t="n">
        <f aca="false">U26*K26</f>
        <v>4953.24</v>
      </c>
      <c r="L28" s="84"/>
      <c r="O28" s="296"/>
      <c r="Q28" s="296"/>
      <c r="R28" s="296"/>
      <c r="S28" s="296"/>
      <c r="T28" s="296"/>
      <c r="U28" s="296"/>
    </row>
    <row r="29" customFormat="false" ht="24.75" hidden="false" customHeight="true" outlineLevel="0" collapsed="false">
      <c r="A29" s="79" t="s">
        <v>625</v>
      </c>
      <c r="B29" s="80" t="s">
        <v>629</v>
      </c>
      <c r="C29" s="80"/>
      <c r="D29" s="80"/>
      <c r="E29" s="46" t="n">
        <f aca="false">D7*2</f>
        <v>2</v>
      </c>
      <c r="F29" s="24" t="n">
        <f aca="false">F27</f>
        <v>938.2</v>
      </c>
      <c r="G29" s="24"/>
      <c r="H29" s="120" t="s">
        <v>17</v>
      </c>
      <c r="I29" s="120"/>
      <c r="J29" s="83" t="s">
        <v>42</v>
      </c>
      <c r="K29" s="73" t="s">
        <v>199</v>
      </c>
      <c r="L29" s="73"/>
    </row>
    <row r="30" customFormat="false" ht="19.5" hidden="false" customHeight="true" outlineLevel="0" collapsed="false">
      <c r="A30" s="79" t="s">
        <v>374</v>
      </c>
      <c r="B30" s="80" t="s">
        <v>377</v>
      </c>
      <c r="C30" s="80"/>
      <c r="D30" s="80"/>
      <c r="E30" s="46" t="n">
        <f aca="false">D7*1</f>
        <v>1</v>
      </c>
      <c r="F30" s="97" t="n">
        <f aca="false">B7+40</f>
        <v>2040</v>
      </c>
      <c r="G30" s="97"/>
      <c r="H30" s="120" t="s">
        <v>17</v>
      </c>
      <c r="I30" s="120"/>
      <c r="J30" s="83" t="s">
        <v>42</v>
      </c>
      <c r="K30" s="84" t="n">
        <f aca="false">U25*K26</f>
        <v>3412.8600168</v>
      </c>
      <c r="L30" s="84"/>
    </row>
    <row r="31" customFormat="false" ht="21.75" hidden="false" customHeight="true" outlineLevel="0" collapsed="false">
      <c r="A31" s="79" t="s">
        <v>520</v>
      </c>
      <c r="B31" s="80" t="s">
        <v>192</v>
      </c>
      <c r="C31" s="80"/>
      <c r="D31" s="80"/>
      <c r="E31" s="46" t="n">
        <f aca="false">D7*1</f>
        <v>1</v>
      </c>
      <c r="F31" s="97" t="n">
        <f aca="false">C7</f>
        <v>2100</v>
      </c>
      <c r="G31" s="97"/>
      <c r="H31" s="120" t="s">
        <v>18</v>
      </c>
      <c r="I31" s="120"/>
      <c r="J31" s="83" t="s">
        <v>42</v>
      </c>
      <c r="K31" s="109"/>
      <c r="L31" s="109"/>
      <c r="M31" s="109"/>
      <c r="N31" s="109"/>
    </row>
    <row r="32" customFormat="false" ht="17.25" hidden="false" customHeight="true" outlineLevel="0" collapsed="false">
      <c r="A32" s="99" t="s">
        <v>626</v>
      </c>
      <c r="B32" s="503" t="s">
        <v>630</v>
      </c>
      <c r="C32" s="503"/>
      <c r="D32" s="503"/>
      <c r="E32" s="55" t="n">
        <f aca="false">D7*1</f>
        <v>1</v>
      </c>
      <c r="F32" s="504" t="n">
        <f aca="false">F24</f>
        <v>931.2</v>
      </c>
      <c r="G32" s="504"/>
      <c r="H32" s="209" t="s">
        <v>17</v>
      </c>
      <c r="I32" s="209"/>
      <c r="J32" s="103" t="s">
        <v>42</v>
      </c>
      <c r="K32" s="109"/>
      <c r="L32" s="109"/>
      <c r="M32" s="109"/>
      <c r="N32" s="109"/>
    </row>
    <row r="33" customFormat="false" ht="15.75" hidden="false" customHeight="true" outlineLevel="0" collapsed="false">
      <c r="F33" s="153"/>
      <c r="G33" s="153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93"/>
      <c r="L34" s="93"/>
      <c r="M34" s="93"/>
      <c r="N34" s="93"/>
      <c r="O34" s="93"/>
      <c r="P34" s="93"/>
      <c r="Q34" s="93"/>
      <c r="R34" s="93"/>
      <c r="S34" s="93"/>
    </row>
    <row r="35" customFormat="false" ht="15" hidden="false" customHeight="true" outlineLevel="0" collapsed="false">
      <c r="A35" s="104" t="s">
        <v>51</v>
      </c>
      <c r="B35" s="20" t="s">
        <v>26</v>
      </c>
      <c r="C35" s="20"/>
      <c r="D35" s="20"/>
      <c r="E35" s="20"/>
      <c r="F35" s="20"/>
      <c r="G35" s="20"/>
      <c r="H35" s="106" t="s">
        <v>5</v>
      </c>
      <c r="I35" s="20" t="s">
        <v>207</v>
      </c>
      <c r="J35" s="20"/>
      <c r="K35" s="93"/>
      <c r="L35" s="93"/>
      <c r="M35" s="93"/>
      <c r="N35" s="93"/>
      <c r="O35" s="93"/>
      <c r="P35" s="93"/>
      <c r="Q35" s="93"/>
      <c r="R35" s="93"/>
      <c r="S35" s="93"/>
    </row>
    <row r="36" customFormat="false" ht="27" hidden="false" customHeight="true" outlineLevel="0" collapsed="false">
      <c r="A36" s="313" t="s">
        <v>499</v>
      </c>
      <c r="B36" s="314" t="s">
        <v>500</v>
      </c>
      <c r="C36" s="314"/>
      <c r="D36" s="314"/>
      <c r="E36" s="314"/>
      <c r="F36" s="314"/>
      <c r="G36" s="314"/>
      <c r="H36" s="397" t="s">
        <v>64</v>
      </c>
      <c r="I36" s="72" t="n">
        <f aca="false">D7*3</f>
        <v>3</v>
      </c>
      <c r="J36" s="72"/>
      <c r="K36" s="249"/>
      <c r="L36" s="133" t="n">
        <f aca="false">F11*E11</f>
        <v>1974</v>
      </c>
      <c r="M36" s="387"/>
      <c r="N36" s="387" t="s">
        <v>493</v>
      </c>
      <c r="O36" s="109"/>
      <c r="P36" s="109"/>
      <c r="Q36" s="93"/>
      <c r="R36" s="93"/>
      <c r="S36" s="93"/>
    </row>
    <row r="37" customFormat="false" ht="27" hidden="false" customHeight="true" outlineLevel="0" collapsed="false">
      <c r="A37" s="319" t="s">
        <v>581</v>
      </c>
      <c r="B37" s="320" t="s">
        <v>582</v>
      </c>
      <c r="C37" s="320"/>
      <c r="D37" s="320"/>
      <c r="E37" s="320"/>
      <c r="F37" s="320"/>
      <c r="G37" s="320"/>
      <c r="H37" s="96" t="s">
        <v>64</v>
      </c>
      <c r="I37" s="83" t="n">
        <f aca="false">D7*3</f>
        <v>3</v>
      </c>
      <c r="J37" s="83"/>
      <c r="K37" s="249"/>
      <c r="L37" s="133" t="n">
        <f aca="false">F12*E12</f>
        <v>1974</v>
      </c>
      <c r="M37" s="387"/>
      <c r="N37" s="387" t="s">
        <v>614</v>
      </c>
      <c r="O37" s="109"/>
      <c r="P37" s="109"/>
      <c r="Q37" s="93"/>
      <c r="R37" s="93"/>
      <c r="S37" s="93"/>
    </row>
    <row r="38" customFormat="false" ht="23.25" hidden="false" customHeight="true" outlineLevel="0" collapsed="false">
      <c r="A38" s="319" t="s">
        <v>515</v>
      </c>
      <c r="B38" s="320" t="s">
        <v>583</v>
      </c>
      <c r="C38" s="320"/>
      <c r="D38" s="320"/>
      <c r="E38" s="320"/>
      <c r="F38" s="320"/>
      <c r="G38" s="320"/>
      <c r="H38" s="96" t="s">
        <v>46</v>
      </c>
      <c r="I38" s="83" t="n">
        <f aca="false">C7*2*D7</f>
        <v>4200</v>
      </c>
      <c r="J38" s="83"/>
      <c r="K38" s="249"/>
      <c r="L38" s="133" t="n">
        <f aca="false">F13*E13</f>
        <v>2100</v>
      </c>
      <c r="M38" s="387"/>
      <c r="N38" s="387" t="s">
        <v>495</v>
      </c>
      <c r="O38" s="109"/>
      <c r="P38" s="109"/>
      <c r="Q38" s="93"/>
      <c r="R38" s="93"/>
      <c r="S38" s="93"/>
    </row>
    <row r="39" customFormat="false" ht="23.25" hidden="false" customHeight="true" outlineLevel="0" collapsed="false">
      <c r="A39" s="319" t="s">
        <v>517</v>
      </c>
      <c r="B39" s="320" t="s">
        <v>584</v>
      </c>
      <c r="C39" s="320"/>
      <c r="D39" s="320"/>
      <c r="E39" s="320"/>
      <c r="F39" s="320"/>
      <c r="G39" s="320"/>
      <c r="H39" s="96" t="s">
        <v>46</v>
      </c>
      <c r="I39" s="505" t="n">
        <f aca="false">(B7*4)+(C7*2)*D7</f>
        <v>12200</v>
      </c>
      <c r="J39" s="505"/>
      <c r="K39" s="249"/>
      <c r="L39" s="133" t="n">
        <f aca="false">F14*E14</f>
        <v>931.2</v>
      </c>
      <c r="M39" s="387"/>
      <c r="N39" s="387" t="s">
        <v>201</v>
      </c>
      <c r="O39" s="109"/>
      <c r="P39" s="109"/>
      <c r="Q39" s="93"/>
      <c r="R39" s="93"/>
      <c r="S39" s="93"/>
    </row>
    <row r="40" customFormat="false" ht="23.25" hidden="false" customHeight="true" outlineLevel="0" collapsed="false">
      <c r="A40" s="319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83" t="n">
        <f aca="false">C7*6*D7</f>
        <v>12600</v>
      </c>
      <c r="J40" s="83"/>
      <c r="K40" s="249"/>
      <c r="L40" s="133" t="n">
        <f aca="false">F15*E15+E16*F16</f>
        <v>2807.6</v>
      </c>
      <c r="M40" s="387"/>
      <c r="N40" s="387" t="s">
        <v>543</v>
      </c>
      <c r="O40" s="109"/>
      <c r="P40" s="109"/>
      <c r="Q40" s="93"/>
      <c r="R40" s="93"/>
      <c r="S40" s="93"/>
    </row>
    <row r="41" customFormat="false" ht="23.25" hidden="false" customHeight="true" outlineLevel="0" collapsed="false">
      <c r="A41" s="319" t="s">
        <v>527</v>
      </c>
      <c r="B41" s="320" t="s">
        <v>585</v>
      </c>
      <c r="C41" s="320"/>
      <c r="D41" s="320"/>
      <c r="E41" s="320"/>
      <c r="F41" s="320"/>
      <c r="G41" s="320"/>
      <c r="H41" s="96" t="s">
        <v>46</v>
      </c>
      <c r="I41" s="83" t="n">
        <f aca="false">C7*4*D7</f>
        <v>8400</v>
      </c>
      <c r="J41" s="83"/>
      <c r="K41" s="249"/>
      <c r="L41" s="133" t="n">
        <f aca="false">F27*E27</f>
        <v>1876.4</v>
      </c>
      <c r="M41" s="387"/>
      <c r="N41" s="387" t="s">
        <v>615</v>
      </c>
      <c r="O41" s="109"/>
      <c r="P41" s="109"/>
      <c r="Q41" s="93"/>
      <c r="R41" s="93"/>
      <c r="S41" s="93"/>
    </row>
    <row r="42" customFormat="false" ht="23.25" hidden="false" customHeight="true" outlineLevel="0" collapsed="false">
      <c r="A42" s="319" t="s">
        <v>504</v>
      </c>
      <c r="B42" s="320" t="s">
        <v>226</v>
      </c>
      <c r="C42" s="320"/>
      <c r="D42" s="320"/>
      <c r="E42" s="320"/>
      <c r="F42" s="320"/>
      <c r="G42" s="320"/>
      <c r="H42" s="96" t="s">
        <v>64</v>
      </c>
      <c r="I42" s="83" t="n">
        <f aca="false">D7*1</f>
        <v>1</v>
      </c>
      <c r="J42" s="83"/>
      <c r="K42" s="249"/>
      <c r="L42" s="133" t="n">
        <f aca="false">F18*E18</f>
        <v>30976.2366666667</v>
      </c>
      <c r="M42" s="387"/>
      <c r="N42" s="387" t="s">
        <v>616</v>
      </c>
      <c r="O42" s="109"/>
      <c r="P42" s="109"/>
      <c r="Q42" s="93"/>
      <c r="R42" s="93"/>
      <c r="S42" s="93"/>
    </row>
    <row r="43" customFormat="false" ht="23.25" hidden="false" customHeight="true" outlineLevel="0" collapsed="false">
      <c r="A43" s="319" t="s">
        <v>505</v>
      </c>
      <c r="B43" s="320" t="s">
        <v>506</v>
      </c>
      <c r="C43" s="320"/>
      <c r="D43" s="320"/>
      <c r="E43" s="320"/>
      <c r="F43" s="320"/>
      <c r="G43" s="320"/>
      <c r="H43" s="96" t="s">
        <v>64</v>
      </c>
      <c r="I43" s="428" t="n">
        <f aca="false">D7*12</f>
        <v>12</v>
      </c>
      <c r="J43" s="428"/>
      <c r="K43" s="249"/>
      <c r="L43" s="133" t="n">
        <f aca="false">F17*E17</f>
        <v>30976.2366666667</v>
      </c>
      <c r="M43" s="387"/>
      <c r="N43" s="387" t="s">
        <v>617</v>
      </c>
      <c r="O43" s="109"/>
      <c r="P43" s="109"/>
      <c r="Q43" s="93"/>
      <c r="R43" s="93"/>
      <c r="S43" s="93"/>
    </row>
    <row r="44" customFormat="false" ht="23.25" hidden="false" customHeight="true" outlineLevel="0" collapsed="false">
      <c r="A44" s="319" t="s">
        <v>507</v>
      </c>
      <c r="B44" s="320" t="s">
        <v>230</v>
      </c>
      <c r="C44" s="320"/>
      <c r="D44" s="320"/>
      <c r="E44" s="320"/>
      <c r="F44" s="320"/>
      <c r="G44" s="320"/>
      <c r="H44" s="96" t="s">
        <v>64</v>
      </c>
      <c r="I44" s="428" t="n">
        <f aca="false">D7*1</f>
        <v>1</v>
      </c>
      <c r="J44" s="428"/>
      <c r="K44" s="249"/>
      <c r="L44" s="133" t="n">
        <f aca="false">F19*E19</f>
        <v>2060</v>
      </c>
      <c r="M44" s="387"/>
      <c r="N44" s="387" t="s">
        <v>193</v>
      </c>
      <c r="O44" s="109"/>
      <c r="P44" s="109"/>
      <c r="Q44" s="93"/>
      <c r="R44" s="93"/>
      <c r="S44" s="93"/>
    </row>
    <row r="45" customFormat="false" ht="23.25" hidden="false" customHeight="true" outlineLevel="0" collapsed="false">
      <c r="A45" s="319" t="s">
        <v>508</v>
      </c>
      <c r="B45" s="320" t="s">
        <v>509</v>
      </c>
      <c r="C45" s="320"/>
      <c r="D45" s="320"/>
      <c r="E45" s="320"/>
      <c r="F45" s="320"/>
      <c r="G45" s="320"/>
      <c r="H45" s="96" t="s">
        <v>64</v>
      </c>
      <c r="I45" s="428" t="n">
        <f aca="false">D7*6</f>
        <v>6</v>
      </c>
      <c r="J45" s="428"/>
      <c r="K45" s="249"/>
      <c r="L45" s="133" t="n">
        <f aca="false">F20*E20</f>
        <v>2060</v>
      </c>
      <c r="M45" s="109"/>
      <c r="N45" s="387" t="s">
        <v>618</v>
      </c>
      <c r="O45" s="109"/>
      <c r="P45" s="109"/>
      <c r="Q45" s="93"/>
      <c r="R45" s="93"/>
      <c r="S45" s="93"/>
    </row>
    <row r="46" customFormat="false" ht="23.25" hidden="false" customHeight="true" outlineLevel="0" collapsed="false">
      <c r="A46" s="319" t="s">
        <v>529</v>
      </c>
      <c r="B46" s="480" t="s">
        <v>530</v>
      </c>
      <c r="C46" s="480"/>
      <c r="D46" s="480"/>
      <c r="E46" s="480"/>
      <c r="F46" s="480"/>
      <c r="G46" s="480"/>
      <c r="H46" s="96" t="s">
        <v>64</v>
      </c>
      <c r="I46" s="428" t="n">
        <f aca="false">D7*24</f>
        <v>24</v>
      </c>
      <c r="J46" s="428"/>
      <c r="K46" s="249"/>
      <c r="L46" s="133" t="n">
        <f aca="false">F21*E21</f>
        <v>4120</v>
      </c>
      <c r="M46" s="109"/>
      <c r="N46" s="387" t="s">
        <v>619</v>
      </c>
      <c r="O46" s="109"/>
      <c r="P46" s="109"/>
      <c r="Q46" s="93"/>
      <c r="R46" s="93"/>
      <c r="S46" s="93"/>
    </row>
    <row r="47" customFormat="false" ht="23.25" hidden="false" customHeight="true" outlineLevel="0" collapsed="false">
      <c r="A47" s="319" t="s">
        <v>549</v>
      </c>
      <c r="B47" s="480" t="s">
        <v>236</v>
      </c>
      <c r="C47" s="480"/>
      <c r="D47" s="480"/>
      <c r="E47" s="480"/>
      <c r="F47" s="480"/>
      <c r="G47" s="480"/>
      <c r="H47" s="96" t="s">
        <v>64</v>
      </c>
      <c r="I47" s="83" t="n">
        <f aca="false">D7*6</f>
        <v>6</v>
      </c>
      <c r="J47" s="83"/>
      <c r="K47" s="249"/>
      <c r="L47" s="133" t="n">
        <f aca="false">F22*E22</f>
        <v>2060</v>
      </c>
      <c r="M47" s="109"/>
      <c r="N47" s="387" t="s">
        <v>621</v>
      </c>
      <c r="O47" s="109"/>
      <c r="P47" s="109"/>
      <c r="Q47" s="93"/>
      <c r="R47" s="93"/>
      <c r="S47" s="93"/>
    </row>
    <row r="48" customFormat="false" ht="23.25" hidden="false" customHeight="true" outlineLevel="0" collapsed="false">
      <c r="A48" s="128" t="s">
        <v>567</v>
      </c>
      <c r="B48" s="120" t="s">
        <v>631</v>
      </c>
      <c r="C48" s="120"/>
      <c r="D48" s="120"/>
      <c r="E48" s="120"/>
      <c r="F48" s="120"/>
      <c r="G48" s="120"/>
      <c r="H48" s="26"/>
      <c r="I48" s="120" t="n">
        <f aca="false">D7*12</f>
        <v>12</v>
      </c>
      <c r="J48" s="120"/>
      <c r="K48" s="249"/>
      <c r="L48" s="133" t="n">
        <f aca="false">F23*E23</f>
        <v>2060</v>
      </c>
      <c r="M48" s="109"/>
      <c r="N48" s="387" t="s">
        <v>623</v>
      </c>
      <c r="O48" s="109"/>
      <c r="P48" s="109"/>
      <c r="Q48" s="93"/>
      <c r="R48" s="93"/>
      <c r="S48" s="93"/>
    </row>
    <row r="49" customFormat="false" ht="23.25" hidden="false" customHeight="true" outlineLevel="0" collapsed="false">
      <c r="A49" s="506" t="s">
        <v>513</v>
      </c>
      <c r="B49" s="483" t="s">
        <v>514</v>
      </c>
      <c r="C49" s="483"/>
      <c r="D49" s="483"/>
      <c r="E49" s="483"/>
      <c r="F49" s="483"/>
      <c r="G49" s="483"/>
      <c r="H49" s="290"/>
      <c r="I49" s="103" t="n">
        <f aca="false">(B7*2)+(C7*2)*D7</f>
        <v>8200</v>
      </c>
      <c r="J49" s="103"/>
      <c r="K49" s="249"/>
      <c r="L49" s="133" t="n">
        <f aca="false">F24*E24+E25*F25</f>
        <v>7428.8</v>
      </c>
      <c r="M49" s="109"/>
      <c r="N49" s="387" t="s">
        <v>188</v>
      </c>
      <c r="O49" s="109"/>
      <c r="P49" s="109"/>
      <c r="Q49" s="93"/>
      <c r="R49" s="93"/>
      <c r="S49" s="93"/>
    </row>
    <row r="50" customFormat="false" ht="23.25" hidden="false" customHeight="true" outlineLevel="0" collapsed="false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49"/>
      <c r="L50" s="133" t="n">
        <f aca="false">F31*E31</f>
        <v>2100</v>
      </c>
      <c r="M50" s="109"/>
      <c r="N50" s="387" t="s">
        <v>520</v>
      </c>
      <c r="O50" s="109"/>
      <c r="P50" s="109"/>
      <c r="Q50" s="93"/>
      <c r="R50" s="93"/>
      <c r="S50" s="93"/>
    </row>
    <row r="51" customFormat="false" ht="21" hidden="false" customHeight="true" outlineLevel="0" collapsed="false">
      <c r="K51" s="249"/>
      <c r="L51" s="133" t="n">
        <f aca="false">F26*E26</f>
        <v>252</v>
      </c>
      <c r="M51" s="109"/>
      <c r="N51" s="387" t="s">
        <v>580</v>
      </c>
      <c r="O51" s="109"/>
      <c r="P51" s="109"/>
      <c r="Q51" s="93"/>
      <c r="R51" s="93"/>
      <c r="S51" s="93"/>
    </row>
    <row r="52" customFormat="false" ht="23.25" hidden="false" customHeight="true" outlineLevel="0" collapsed="false">
      <c r="K52" s="249"/>
      <c r="L52" s="133" t="n">
        <f aca="false">F30*E30</f>
        <v>2040</v>
      </c>
      <c r="M52" s="109"/>
      <c r="N52" s="387" t="s">
        <v>374</v>
      </c>
      <c r="O52" s="109"/>
      <c r="P52" s="109"/>
      <c r="Q52" s="93"/>
      <c r="R52" s="93"/>
      <c r="S52" s="93"/>
    </row>
    <row r="53" customFormat="false" ht="23.25" hidden="false" customHeight="true" outlineLevel="0" collapsed="false">
      <c r="K53" s="249"/>
      <c r="L53" s="133" t="n">
        <f aca="false">F28*E28</f>
        <v>4160</v>
      </c>
      <c r="M53" s="109"/>
      <c r="N53" s="387" t="s">
        <v>496</v>
      </c>
      <c r="O53" s="109"/>
      <c r="P53" s="109"/>
      <c r="Q53" s="93"/>
      <c r="R53" s="93"/>
      <c r="S53" s="93"/>
    </row>
    <row r="54" customFormat="false" ht="19.5" hidden="false" customHeight="true" outlineLevel="0" collapsed="false">
      <c r="K54" s="249"/>
      <c r="L54" s="133" t="n">
        <f aca="false">F29*E29</f>
        <v>1876.4</v>
      </c>
      <c r="M54" s="109"/>
      <c r="N54" s="387" t="s">
        <v>625</v>
      </c>
      <c r="O54" s="109"/>
      <c r="P54" s="109"/>
      <c r="Q54" s="93"/>
      <c r="R54" s="93"/>
      <c r="S54" s="93"/>
    </row>
    <row r="55" customFormat="false" ht="21" hidden="false" customHeight="true" outlineLevel="0" collapsed="false">
      <c r="K55" s="93"/>
      <c r="L55" s="109" t="n">
        <f aca="false">F32*E32</f>
        <v>931.2</v>
      </c>
      <c r="M55" s="109"/>
      <c r="N55" s="109" t="s">
        <v>626</v>
      </c>
      <c r="O55" s="109"/>
      <c r="P55" s="109"/>
      <c r="Q55" s="93"/>
      <c r="R55" s="93"/>
      <c r="S55" s="93"/>
    </row>
    <row r="56" customFormat="false" ht="15" hidden="false" customHeight="false" outlineLevel="0" collapsed="false">
      <c r="K56" s="93"/>
      <c r="L56" s="109"/>
      <c r="M56" s="109"/>
      <c r="N56" s="109"/>
      <c r="O56" s="109"/>
      <c r="P56" s="109"/>
      <c r="Q56" s="93"/>
      <c r="R56" s="93"/>
      <c r="S56" s="93"/>
    </row>
    <row r="57" customFormat="false" ht="15" hidden="false" customHeight="false" outlineLevel="0" collapsed="false">
      <c r="K57" s="93"/>
      <c r="L57" s="109"/>
      <c r="M57" s="109"/>
      <c r="N57" s="109"/>
      <c r="O57" s="109"/>
      <c r="P57" s="109"/>
      <c r="Q57" s="93"/>
      <c r="R57" s="93"/>
      <c r="S57" s="93"/>
    </row>
    <row r="58" customFormat="false" ht="15" hidden="false" customHeight="false" outlineLevel="0" collapsed="false">
      <c r="K58" s="93"/>
      <c r="L58" s="109"/>
      <c r="M58" s="109"/>
      <c r="N58" s="109"/>
      <c r="O58" s="109"/>
      <c r="P58" s="109"/>
      <c r="Q58" s="93"/>
      <c r="R58" s="93"/>
      <c r="S58" s="93"/>
    </row>
    <row r="59" customFormat="false" ht="15" hidden="false" customHeight="false" outlineLevel="0" collapsed="false">
      <c r="K59" s="93"/>
      <c r="L59" s="93"/>
      <c r="M59" s="93"/>
      <c r="N59" s="93"/>
      <c r="O59" s="93"/>
      <c r="P59" s="93"/>
      <c r="Q59" s="93"/>
      <c r="R59" s="93"/>
      <c r="S59" s="93"/>
    </row>
    <row r="60" customFormat="false" ht="15" hidden="false" customHeight="false" outlineLevel="0" collapsed="false">
      <c r="K60" s="93"/>
      <c r="L60" s="93"/>
      <c r="M60" s="93"/>
      <c r="N60" s="93"/>
      <c r="O60" s="93"/>
      <c r="P60" s="93"/>
      <c r="Q60" s="93"/>
      <c r="R60" s="93"/>
      <c r="S60" s="93"/>
    </row>
    <row r="61" customFormat="false" ht="15" hidden="false" customHeight="false" outlineLevel="0" collapsed="false">
      <c r="K61" s="93"/>
      <c r="L61" s="93"/>
      <c r="M61" s="93"/>
      <c r="N61" s="93"/>
      <c r="O61" s="93"/>
      <c r="P61" s="93"/>
      <c r="Q61" s="93"/>
      <c r="R61" s="93"/>
      <c r="S61" s="93"/>
    </row>
    <row r="64" customFormat="false" ht="15" hidden="false" customHeight="false" outlineLevel="0" collapsed="false">
      <c r="C64" s="1" t="s">
        <v>23</v>
      </c>
    </row>
  </sheetData>
  <mergeCells count="17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N18:O18"/>
    <mergeCell ref="P18:Q18"/>
    <mergeCell ref="B19:D19"/>
    <mergeCell ref="F19:G19"/>
    <mergeCell ref="H19:I19"/>
    <mergeCell ref="N19:O19"/>
    <mergeCell ref="P19:Q19"/>
    <mergeCell ref="B20:D20"/>
    <mergeCell ref="F20:G20"/>
    <mergeCell ref="H20:I20"/>
    <mergeCell ref="N20:O20"/>
    <mergeCell ref="P20:Q20"/>
    <mergeCell ref="B21:D21"/>
    <mergeCell ref="F21:G21"/>
    <mergeCell ref="H21:I21"/>
    <mergeCell ref="N21:O21"/>
    <mergeCell ref="P21:Q21"/>
    <mergeCell ref="B22:D22"/>
    <mergeCell ref="F22:G22"/>
    <mergeCell ref="H22:I22"/>
    <mergeCell ref="N22:O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B27:D27"/>
    <mergeCell ref="F27:G27"/>
    <mergeCell ref="H27:I27"/>
    <mergeCell ref="K27:L27"/>
    <mergeCell ref="Q27:R27"/>
    <mergeCell ref="S27:T27"/>
    <mergeCell ref="B28:D28"/>
    <mergeCell ref="F28:G28"/>
    <mergeCell ref="H28:I28"/>
    <mergeCell ref="K28:L28"/>
    <mergeCell ref="B29:D29"/>
    <mergeCell ref="F29:G29"/>
    <mergeCell ref="H29:I29"/>
    <mergeCell ref="K29:L29"/>
    <mergeCell ref="B30:D30"/>
    <mergeCell ref="F30:G30"/>
    <mergeCell ref="H30:I30"/>
    <mergeCell ref="K30:L30"/>
    <mergeCell ref="B31:D31"/>
    <mergeCell ref="F31:G31"/>
    <mergeCell ref="H31:I31"/>
    <mergeCell ref="B32:D32"/>
    <mergeCell ref="F32:G32"/>
    <mergeCell ref="H32:I32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632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493</v>
      </c>
      <c r="L3" s="257" t="n">
        <f aca="false">IF(L36&gt;6000,L36/6000,1)</f>
        <v>1</v>
      </c>
      <c r="M3" s="395" t="n">
        <f aca="false">ROUNDUP(L3,0)</f>
        <v>1</v>
      </c>
      <c r="N3" s="259" t="n">
        <f aca="false">1.022*6*K26</f>
        <v>367.92</v>
      </c>
      <c r="O3" s="259"/>
      <c r="P3" s="259" t="n">
        <f aca="false">N3*M3</f>
        <v>367.92</v>
      </c>
      <c r="Q3" s="259"/>
      <c r="R3" s="397" t="str">
        <f aca="false">F5</f>
        <v>BRANCO</v>
      </c>
      <c r="S3" s="397" t="n">
        <v>6000</v>
      </c>
      <c r="T3" s="440" t="n">
        <f aca="false">L36*1.022/1000</f>
        <v>2.017428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614</v>
      </c>
      <c r="L4" s="265" t="n">
        <f aca="false">IF(L37&gt;6000,L37/6000,1)</f>
        <v>1</v>
      </c>
      <c r="M4" s="91" t="n">
        <f aca="false">ROUNDUP(L4,0)</f>
        <v>1</v>
      </c>
      <c r="N4" s="266" t="n">
        <f aca="false">0.954*6*K26</f>
        <v>343.44</v>
      </c>
      <c r="O4" s="266"/>
      <c r="P4" s="266" t="n">
        <f aca="false">N4*M4</f>
        <v>343.44</v>
      </c>
      <c r="Q4" s="266"/>
      <c r="R4" s="96" t="str">
        <f aca="false">F5</f>
        <v>BRANCO</v>
      </c>
      <c r="S4" s="96" t="n">
        <v>6000</v>
      </c>
      <c r="T4" s="439" t="n">
        <f aca="false">L37*0.954/1000</f>
        <v>1.883196</v>
      </c>
      <c r="U4" s="439" t="n">
        <f aca="false">M4*5.724</f>
        <v>5.724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495</v>
      </c>
      <c r="L5" s="265" t="n">
        <f aca="false">IF(L38&gt;6000,L38/6000,1)</f>
        <v>1</v>
      </c>
      <c r="M5" s="91" t="n">
        <f aca="false">ROUNDUP(L5,0)</f>
        <v>1</v>
      </c>
      <c r="N5" s="266" t="n">
        <f aca="false">0.539*6*K26</f>
        <v>194.04</v>
      </c>
      <c r="O5" s="266"/>
      <c r="P5" s="266" t="n">
        <f aca="false">N5*M5</f>
        <v>194.04</v>
      </c>
      <c r="Q5" s="266"/>
      <c r="R5" s="96" t="str">
        <f aca="false">F5</f>
        <v>BRANCO</v>
      </c>
      <c r="S5" s="96" t="n">
        <v>6000</v>
      </c>
      <c r="T5" s="439" t="n">
        <f aca="false">L38*0.539/1000</f>
        <v>1.1319</v>
      </c>
      <c r="U5" s="439" t="n">
        <f aca="false">M5*3.234</f>
        <v>3.234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201</v>
      </c>
      <c r="L6" s="265" t="n">
        <f aca="false">IF(L39&gt;6000,L39/6000,1)</f>
        <v>1</v>
      </c>
      <c r="M6" s="91" t="n">
        <f aca="false">ROUNDUP(L6,0)</f>
        <v>1</v>
      </c>
      <c r="N6" s="266" t="n">
        <f aca="false">0.507*6*K26</f>
        <v>182.52</v>
      </c>
      <c r="O6" s="266"/>
      <c r="P6" s="266" t="n">
        <f aca="false">N6*M6</f>
        <v>182.52</v>
      </c>
      <c r="Q6" s="266"/>
      <c r="R6" s="96" t="str">
        <f aca="false">F5</f>
        <v>BRANCO</v>
      </c>
      <c r="S6" s="96" t="n">
        <v>4600</v>
      </c>
      <c r="T6" s="439" t="n">
        <f aca="false">L39*0.677/1000</f>
        <v>0.6304224</v>
      </c>
      <c r="U6" s="439" t="n">
        <f aca="false">M6*3.042</f>
        <v>3.042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79" t="s">
        <v>543</v>
      </c>
      <c r="L7" s="265" t="n">
        <f aca="false">IF(L40&gt;6000,L40/6000,1)</f>
        <v>1</v>
      </c>
      <c r="M7" s="91" t="n">
        <f aca="false">ROUNDUP(L7,0)</f>
        <v>1</v>
      </c>
      <c r="N7" s="266" t="n">
        <f aca="false">0.989*6*K26</f>
        <v>356.04</v>
      </c>
      <c r="O7" s="266"/>
      <c r="P7" s="266" t="n">
        <f aca="false">N7*M7</f>
        <v>356.04</v>
      </c>
      <c r="Q7" s="266"/>
      <c r="R7" s="96" t="str">
        <f aca="false">F5</f>
        <v>BRANCO</v>
      </c>
      <c r="S7" s="96" t="n">
        <v>4600</v>
      </c>
      <c r="T7" s="439" t="n">
        <f aca="false">L40*0.989/1000</f>
        <v>2.7767164</v>
      </c>
      <c r="U7" s="439" t="n">
        <f aca="false">M7*5.934</f>
        <v>5.934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2100</v>
      </c>
      <c r="D8" s="274"/>
      <c r="E8" s="20" t="s">
        <v>16</v>
      </c>
      <c r="F8" s="39" t="n">
        <f aca="false">D7*1</f>
        <v>1</v>
      </c>
      <c r="G8" s="270"/>
      <c r="H8" s="270"/>
      <c r="I8" s="270"/>
      <c r="J8" s="270"/>
      <c r="K8" s="79" t="s">
        <v>615</v>
      </c>
      <c r="L8" s="265" t="n">
        <f aca="false">IF(L41&gt;6000,L41/6000,1)</f>
        <v>1</v>
      </c>
      <c r="M8" s="91" t="n">
        <f aca="false">ROUNDUP(L8,0)</f>
        <v>1</v>
      </c>
      <c r="N8" s="266" t="n">
        <f aca="false">0.512*6*K26</f>
        <v>184.32</v>
      </c>
      <c r="O8" s="266"/>
      <c r="P8" s="266" t="n">
        <f aca="false">N8*M8</f>
        <v>184.32</v>
      </c>
      <c r="Q8" s="266"/>
      <c r="R8" s="96" t="str">
        <f aca="false">F5</f>
        <v>BRANCO</v>
      </c>
      <c r="S8" s="96" t="n">
        <v>4600</v>
      </c>
      <c r="T8" s="439" t="n">
        <f aca="false">L43*0.512/1000</f>
        <v>15.8598331733333</v>
      </c>
      <c r="U8" s="439" t="n">
        <f aca="false">M8*3.072</f>
        <v>3.072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2100</v>
      </c>
      <c r="D9" s="275"/>
      <c r="E9" s="389" t="n">
        <f aca="false">(B7-143)/2</f>
        <v>928.5</v>
      </c>
      <c r="F9" s="390" t="n">
        <f aca="false">C7-173</f>
        <v>1927</v>
      </c>
      <c r="G9" s="270"/>
      <c r="H9" s="270"/>
      <c r="I9" s="270"/>
      <c r="J9" s="270"/>
      <c r="K9" s="79" t="s">
        <v>616</v>
      </c>
      <c r="L9" s="265" t="n">
        <f aca="false">IF(L42&gt;6000,L42/6000,1)</f>
        <v>5.16270611111111</v>
      </c>
      <c r="M9" s="91" t="n">
        <f aca="false">ROUNDUP(L9,0)</f>
        <v>6</v>
      </c>
      <c r="N9" s="266" t="n">
        <f aca="false">0.326*6*K26</f>
        <v>117.36</v>
      </c>
      <c r="O9" s="266"/>
      <c r="P9" s="266" t="n">
        <f aca="false">N9*M9</f>
        <v>704.16</v>
      </c>
      <c r="Q9" s="266"/>
      <c r="R9" s="96" t="str">
        <f aca="false">R8</f>
        <v>BRANCO</v>
      </c>
      <c r="S9" s="96" t="n">
        <v>6000</v>
      </c>
      <c r="T9" s="439" t="n">
        <f aca="false">L42*0.326/1000</f>
        <v>10.0982531533333</v>
      </c>
      <c r="U9" s="439" t="n">
        <f aca="false">M9*1.956</f>
        <v>11.736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79" t="s">
        <v>617</v>
      </c>
      <c r="L10" s="265" t="n">
        <f aca="false">IF(L43&gt;6000,L43/6000,1)</f>
        <v>5.16270611111111</v>
      </c>
      <c r="M10" s="91" t="n">
        <f aca="false">ROUNDUP(L10,0)</f>
        <v>6</v>
      </c>
      <c r="N10" s="277" t="n">
        <f aca="false">0.326*6*K26</f>
        <v>117.36</v>
      </c>
      <c r="O10" s="277"/>
      <c r="P10" s="277" t="n">
        <f aca="false">N10*M10</f>
        <v>704.16</v>
      </c>
      <c r="Q10" s="277"/>
      <c r="R10" s="96" t="str">
        <f aca="false">F5</f>
        <v>BRANCO</v>
      </c>
      <c r="S10" s="96" t="n">
        <v>6000</v>
      </c>
      <c r="T10" s="439" t="n">
        <f aca="false">L43*0.326/1000</f>
        <v>10.0982531533333</v>
      </c>
      <c r="U10" s="439" t="n">
        <f aca="false">M10*1.956</f>
        <v>11.736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258" t="n">
        <f aca="false">D7*1</f>
        <v>1</v>
      </c>
      <c r="F11" s="69" t="n">
        <f aca="false">B7-26</f>
        <v>1974</v>
      </c>
      <c r="G11" s="69"/>
      <c r="H11" s="507" t="s">
        <v>17</v>
      </c>
      <c r="I11" s="507"/>
      <c r="J11" s="72" t="s">
        <v>42</v>
      </c>
      <c r="K11" s="79" t="s">
        <v>193</v>
      </c>
      <c r="L11" s="265" t="n">
        <f aca="false">IF(L44&gt;6000,L44/6000,1)</f>
        <v>1</v>
      </c>
      <c r="M11" s="91" t="n">
        <f aca="false">ROUNDUP(L11,0)</f>
        <v>1</v>
      </c>
      <c r="N11" s="266" t="n">
        <f aca="false">0.52*6*K26</f>
        <v>187.2</v>
      </c>
      <c r="O11" s="266"/>
      <c r="P11" s="266" t="n">
        <f aca="false">N11*M11</f>
        <v>187.2</v>
      </c>
      <c r="Q11" s="266"/>
      <c r="R11" s="96" t="str">
        <f aca="false">F5</f>
        <v>BRANCO</v>
      </c>
      <c r="S11" s="96" t="n">
        <v>6000</v>
      </c>
      <c r="T11" s="439" t="n">
        <f aca="false">L44*0.52/1000</f>
        <v>1.0712</v>
      </c>
      <c r="U11" s="439" t="n">
        <f aca="false">M11*3.12</f>
        <v>3.12</v>
      </c>
    </row>
    <row r="12" customFormat="false" ht="25.5" hidden="false" customHeight="true" outlineLevel="0" collapsed="false">
      <c r="A12" s="79" t="s">
        <v>614</v>
      </c>
      <c r="B12" s="279" t="s">
        <v>190</v>
      </c>
      <c r="C12" s="279"/>
      <c r="D12" s="279"/>
      <c r="E12" s="154" t="n">
        <f aca="false">D7*1</f>
        <v>1</v>
      </c>
      <c r="F12" s="97" t="n">
        <f aca="false">B7-26</f>
        <v>1974</v>
      </c>
      <c r="G12" s="97"/>
      <c r="H12" s="508" t="s">
        <v>17</v>
      </c>
      <c r="I12" s="508"/>
      <c r="J12" s="83" t="s">
        <v>42</v>
      </c>
      <c r="K12" s="79" t="s">
        <v>618</v>
      </c>
      <c r="L12" s="265" t="n">
        <f aca="false">IF(L45&gt;6000,L45/6000,1)</f>
        <v>1</v>
      </c>
      <c r="M12" s="91" t="n">
        <f aca="false">ROUNDUP(L12,0)</f>
        <v>1</v>
      </c>
      <c r="N12" s="266" t="n">
        <f aca="false">1.041*4.6*K26</f>
        <v>287.316</v>
      </c>
      <c r="O12" s="266"/>
      <c r="P12" s="266" t="n">
        <f aca="false">N12*M12</f>
        <v>287.316</v>
      </c>
      <c r="Q12" s="266"/>
      <c r="R12" s="96" t="str">
        <f aca="false">F5</f>
        <v>BRANCO</v>
      </c>
      <c r="S12" s="96" t="n">
        <v>6000</v>
      </c>
      <c r="T12" s="439" t="n">
        <f aca="false">L45*1.041/1000</f>
        <v>2.14446</v>
      </c>
      <c r="U12" s="439" t="n">
        <f aca="false">M12*4.788</f>
        <v>4.788</v>
      </c>
    </row>
    <row r="13" customFormat="false" ht="25.5" hidden="false" customHeight="true" outlineLevel="0" collapsed="false">
      <c r="A13" s="79" t="s">
        <v>495</v>
      </c>
      <c r="B13" s="279" t="s">
        <v>192</v>
      </c>
      <c r="C13" s="279"/>
      <c r="D13" s="279"/>
      <c r="E13" s="154" t="n">
        <f aca="false">D7*1</f>
        <v>1</v>
      </c>
      <c r="F13" s="97" t="n">
        <f aca="false">C7</f>
        <v>2100</v>
      </c>
      <c r="G13" s="97"/>
      <c r="H13" s="508" t="s">
        <v>18</v>
      </c>
      <c r="I13" s="508"/>
      <c r="J13" s="83" t="s">
        <v>42</v>
      </c>
      <c r="K13" s="79" t="s">
        <v>619</v>
      </c>
      <c r="L13" s="265" t="n">
        <f aca="false">IF(L46&gt;6000,L46/6000,1)</f>
        <v>1</v>
      </c>
      <c r="M13" s="295" t="n">
        <f aca="false">ROUNDUP(L13,0)</f>
        <v>1</v>
      </c>
      <c r="N13" s="266" t="n">
        <f aca="false">0.534*6*K26</f>
        <v>192.24</v>
      </c>
      <c r="O13" s="266"/>
      <c r="P13" s="266" t="n">
        <f aca="false">N13*M13</f>
        <v>192.24</v>
      </c>
      <c r="Q13" s="266"/>
      <c r="R13" s="96" t="str">
        <f aca="false">F5</f>
        <v>BRANCO</v>
      </c>
      <c r="S13" s="96" t="n">
        <v>6000</v>
      </c>
      <c r="T13" s="439" t="n">
        <f aca="false">L46*0.534/1000</f>
        <v>2.20008</v>
      </c>
      <c r="U13" s="439" t="n">
        <f aca="false">M13*3.204</f>
        <v>3.204</v>
      </c>
    </row>
    <row r="14" customFormat="false" ht="25.5" hidden="false" customHeight="true" outlineLevel="0" collapsed="false">
      <c r="A14" s="79" t="s">
        <v>201</v>
      </c>
      <c r="B14" s="279" t="s">
        <v>620</v>
      </c>
      <c r="C14" s="279"/>
      <c r="D14" s="279"/>
      <c r="E14" s="154" t="n">
        <f aca="false">D7*1</f>
        <v>1</v>
      </c>
      <c r="F14" s="24" t="n">
        <f aca="false">(B7-137.6)/2</f>
        <v>931.2</v>
      </c>
      <c r="G14" s="24"/>
      <c r="H14" s="508" t="s">
        <v>18</v>
      </c>
      <c r="I14" s="508"/>
      <c r="J14" s="83" t="s">
        <v>42</v>
      </c>
      <c r="K14" s="79" t="s">
        <v>621</v>
      </c>
      <c r="L14" s="265" t="n">
        <f aca="false">IF(L47&gt;6000,L47/6000,1)</f>
        <v>1</v>
      </c>
      <c r="M14" s="153" t="n">
        <f aca="false">ROUNDUP(L14,0)</f>
        <v>1</v>
      </c>
      <c r="N14" s="266" t="n">
        <f aca="false">0.575*6*K26</f>
        <v>207</v>
      </c>
      <c r="O14" s="266"/>
      <c r="P14" s="25" t="n">
        <f aca="false">N14*M14</f>
        <v>207</v>
      </c>
      <c r="Q14" s="25"/>
      <c r="R14" s="96" t="str">
        <f aca="false">F5</f>
        <v>BRANCO</v>
      </c>
      <c r="S14" s="96" t="n">
        <v>6000</v>
      </c>
      <c r="T14" s="439" t="n">
        <f aca="false">L47*0.575/1000</f>
        <v>1.1845</v>
      </c>
      <c r="U14" s="439" t="n">
        <f aca="false">M14*3.45</f>
        <v>3.45</v>
      </c>
    </row>
    <row r="15" customFormat="false" ht="25.5" hidden="false" customHeight="true" outlineLevel="0" collapsed="false">
      <c r="A15" s="79" t="s">
        <v>543</v>
      </c>
      <c r="B15" s="279" t="s">
        <v>622</v>
      </c>
      <c r="C15" s="279"/>
      <c r="D15" s="279"/>
      <c r="E15" s="153" t="n">
        <f aca="false">D7*1</f>
        <v>1</v>
      </c>
      <c r="F15" s="24" t="n">
        <f aca="false">(B7-137.6)/2</f>
        <v>931.2</v>
      </c>
      <c r="G15" s="24"/>
      <c r="H15" s="508" t="s">
        <v>18</v>
      </c>
      <c r="I15" s="508"/>
      <c r="J15" s="83" t="s">
        <v>42</v>
      </c>
      <c r="K15" s="79" t="s">
        <v>623</v>
      </c>
      <c r="L15" s="265" t="n">
        <f aca="false">IF(L48&gt;6000,L48/6000,1)</f>
        <v>1</v>
      </c>
      <c r="M15" s="153" t="n">
        <f aca="false">ROUNDUP(L15,0)</f>
        <v>1</v>
      </c>
      <c r="N15" s="266" t="n">
        <f aca="false">0.52*6*K26</f>
        <v>187.2</v>
      </c>
      <c r="O15" s="266"/>
      <c r="P15" s="25" t="n">
        <f aca="false">N15*M15</f>
        <v>187.2</v>
      </c>
      <c r="Q15" s="25"/>
      <c r="R15" s="96" t="str">
        <f aca="false">F5</f>
        <v>BRANCO</v>
      </c>
      <c r="S15" s="96" t="n">
        <v>6000</v>
      </c>
      <c r="T15" s="439" t="n">
        <f aca="false">L48*0.52/1000</f>
        <v>1.0712</v>
      </c>
      <c r="U15" s="439" t="n">
        <f aca="false">M15*3.12</f>
        <v>3.12</v>
      </c>
    </row>
    <row r="16" customFormat="false" ht="25.5" hidden="false" customHeight="true" outlineLevel="0" collapsed="false">
      <c r="A16" s="79" t="s">
        <v>543</v>
      </c>
      <c r="B16" s="279" t="s">
        <v>622</v>
      </c>
      <c r="C16" s="279"/>
      <c r="D16" s="279"/>
      <c r="E16" s="154" t="n">
        <f aca="false">D7*2</f>
        <v>2</v>
      </c>
      <c r="F16" s="24" t="n">
        <f aca="false">(B7-123.6)/2</f>
        <v>938.2</v>
      </c>
      <c r="G16" s="24"/>
      <c r="H16" s="508" t="s">
        <v>18</v>
      </c>
      <c r="I16" s="508"/>
      <c r="J16" s="83" t="s">
        <v>42</v>
      </c>
      <c r="K16" s="79" t="s">
        <v>188</v>
      </c>
      <c r="L16" s="265" t="n">
        <f aca="false">IF(L49&gt;6000,L49/6000,1)</f>
        <v>1</v>
      </c>
      <c r="M16" s="153" t="n">
        <f aca="false">ROUNDUP(L16,0)</f>
        <v>1</v>
      </c>
      <c r="N16" s="266" t="n">
        <f aca="false">0.111*6*K26</f>
        <v>39.96</v>
      </c>
      <c r="O16" s="266"/>
      <c r="P16" s="25" t="n">
        <f aca="false">N16*M16</f>
        <v>39.96</v>
      </c>
      <c r="Q16" s="25"/>
      <c r="R16" s="96" t="str">
        <f aca="false">F5</f>
        <v>BRANCO</v>
      </c>
      <c r="S16" s="96" t="n">
        <v>6000</v>
      </c>
      <c r="T16" s="439" t="n">
        <f aca="false">L49*0.111/1000</f>
        <v>0.6305244</v>
      </c>
      <c r="U16" s="439" t="n">
        <f aca="false">M16*0.666</f>
        <v>0.666</v>
      </c>
    </row>
    <row r="17" customFormat="false" ht="25.5" hidden="false" customHeight="true" outlineLevel="0" collapsed="false">
      <c r="A17" s="79" t="s">
        <v>616</v>
      </c>
      <c r="B17" s="279" t="s">
        <v>272</v>
      </c>
      <c r="C17" s="279"/>
      <c r="D17" s="279"/>
      <c r="E17" s="154" t="n">
        <f aca="false">(C7-179)/60*D7+1</f>
        <v>33.0166666666667</v>
      </c>
      <c r="F17" s="24" t="n">
        <f aca="false">(B7-123.6)/2</f>
        <v>938.2</v>
      </c>
      <c r="G17" s="24"/>
      <c r="H17" s="508" t="s">
        <v>17</v>
      </c>
      <c r="I17" s="508"/>
      <c r="J17" s="83" t="s">
        <v>42</v>
      </c>
      <c r="K17" s="79" t="s">
        <v>520</v>
      </c>
      <c r="L17" s="265" t="n">
        <f aca="false">IF(L50&gt;6000,L50/6000,1)</f>
        <v>1</v>
      </c>
      <c r="M17" s="153" t="n">
        <f aca="false">ROUNDUP(L17,0)</f>
        <v>1</v>
      </c>
      <c r="N17" s="266" t="n">
        <f aca="false">0.677*6*K26</f>
        <v>243.72</v>
      </c>
      <c r="O17" s="266"/>
      <c r="P17" s="25" t="n">
        <f aca="false">N17*M17</f>
        <v>243.72</v>
      </c>
      <c r="Q17" s="25"/>
      <c r="R17" s="96" t="str">
        <f aca="false">F5</f>
        <v>BRANCO</v>
      </c>
      <c r="S17" s="96" t="n">
        <v>6000</v>
      </c>
      <c r="T17" s="439" t="n">
        <f aca="false">L50*0.677/1000</f>
        <v>1.4217</v>
      </c>
      <c r="U17" s="439" t="n">
        <f aca="false">M17*4.062</f>
        <v>4.062</v>
      </c>
    </row>
    <row r="18" customFormat="false" ht="25.5" hidden="false" customHeight="true" outlineLevel="0" collapsed="false">
      <c r="A18" s="79" t="s">
        <v>617</v>
      </c>
      <c r="B18" s="279" t="s">
        <v>624</v>
      </c>
      <c r="C18" s="279"/>
      <c r="D18" s="279"/>
      <c r="E18" s="154" t="n">
        <f aca="false">E17</f>
        <v>33.0166666666667</v>
      </c>
      <c r="F18" s="24" t="n">
        <f aca="false">(B7-123.6)/2</f>
        <v>938.2</v>
      </c>
      <c r="G18" s="24"/>
      <c r="H18" s="508" t="s">
        <v>17</v>
      </c>
      <c r="I18" s="508"/>
      <c r="J18" s="83" t="s">
        <v>42</v>
      </c>
      <c r="K18" s="79" t="s">
        <v>580</v>
      </c>
      <c r="L18" s="265" t="n">
        <f aca="false">IF(L51&gt;6000,L51/6000,1)</f>
        <v>1</v>
      </c>
      <c r="M18" s="153" t="n">
        <f aca="false">ROUNDUP(L18,0)</f>
        <v>1</v>
      </c>
      <c r="N18" s="266" t="n">
        <f aca="false">0.265*6*K26</f>
        <v>95.4</v>
      </c>
      <c r="O18" s="266"/>
      <c r="P18" s="25" t="n">
        <f aca="false">N18*M18</f>
        <v>95.4</v>
      </c>
      <c r="Q18" s="25"/>
      <c r="R18" s="96" t="str">
        <f aca="false">F5</f>
        <v>BRANCO</v>
      </c>
      <c r="S18" s="96" t="n">
        <v>6000</v>
      </c>
      <c r="T18" s="439" t="n">
        <f aca="false">L51*0.265/1000</f>
        <v>0.06678</v>
      </c>
      <c r="U18" s="439" t="n">
        <f aca="false">M18*1.59</f>
        <v>1.59</v>
      </c>
    </row>
    <row r="19" customFormat="false" ht="22.5" hidden="false" customHeight="true" outlineLevel="0" collapsed="false">
      <c r="A19" s="79" t="s">
        <v>193</v>
      </c>
      <c r="B19" s="279" t="s">
        <v>435</v>
      </c>
      <c r="C19" s="279"/>
      <c r="D19" s="279"/>
      <c r="E19" s="154" t="n">
        <f aca="false">D7*1</f>
        <v>1</v>
      </c>
      <c r="F19" s="24" t="n">
        <f aca="false">C7-40</f>
        <v>2060</v>
      </c>
      <c r="G19" s="24"/>
      <c r="H19" s="508" t="s">
        <v>18</v>
      </c>
      <c r="I19" s="508"/>
      <c r="J19" s="83" t="s">
        <v>42</v>
      </c>
      <c r="K19" s="79" t="s">
        <v>374</v>
      </c>
      <c r="L19" s="265" t="n">
        <f aca="false">IF(L52&gt;6000,L52/6000,1)</f>
        <v>1</v>
      </c>
      <c r="M19" s="153" t="n">
        <f aca="false">ROUNDUP(L19,0)</f>
        <v>1</v>
      </c>
      <c r="N19" s="266" t="n">
        <f aca="false">0.267*6*K26</f>
        <v>96.12</v>
      </c>
      <c r="O19" s="266"/>
      <c r="P19" s="25" t="n">
        <f aca="false">N19*M19</f>
        <v>96.12</v>
      </c>
      <c r="Q19" s="25"/>
      <c r="R19" s="96" t="str">
        <f aca="false">F5</f>
        <v>BRANCO</v>
      </c>
      <c r="S19" s="96" t="n">
        <v>6000</v>
      </c>
      <c r="T19" s="439" t="n">
        <f aca="false">L52*0.267/1000</f>
        <v>0.54468</v>
      </c>
      <c r="U19" s="439" t="n">
        <f aca="false">M19*1.602</f>
        <v>1.602</v>
      </c>
    </row>
    <row r="20" customFormat="false" ht="22.5" hidden="false" customHeight="true" outlineLevel="0" collapsed="false">
      <c r="A20" s="79" t="s">
        <v>618</v>
      </c>
      <c r="B20" s="279" t="s">
        <v>603</v>
      </c>
      <c r="C20" s="279"/>
      <c r="D20" s="279"/>
      <c r="E20" s="153" t="n">
        <f aca="false">D7*1</f>
        <v>1</v>
      </c>
      <c r="F20" s="24" t="n">
        <f aca="false">C7-40</f>
        <v>2060</v>
      </c>
      <c r="G20" s="24"/>
      <c r="H20" s="508" t="s">
        <v>18</v>
      </c>
      <c r="I20" s="508"/>
      <c r="J20" s="83" t="s">
        <v>42</v>
      </c>
      <c r="K20" s="79" t="s">
        <v>496</v>
      </c>
      <c r="L20" s="265" t="n">
        <f aca="false">IF(L53&gt;6000,L53/6000,1)</f>
        <v>1</v>
      </c>
      <c r="M20" s="153" t="n">
        <f aca="false">ROUNDUP(L20,0)</f>
        <v>1</v>
      </c>
      <c r="N20" s="266" t="n">
        <f aca="false">0.263*6*K26</f>
        <v>94.68</v>
      </c>
      <c r="O20" s="266"/>
      <c r="P20" s="25" t="n">
        <f aca="false">N20*M20</f>
        <v>94.68</v>
      </c>
      <c r="Q20" s="25"/>
      <c r="R20" s="96" t="str">
        <f aca="false">F5</f>
        <v>BRANCO</v>
      </c>
      <c r="S20" s="96" t="n">
        <v>6000</v>
      </c>
      <c r="T20" s="439" t="n">
        <f aca="false">L53*0.263/1000</f>
        <v>1.09408</v>
      </c>
      <c r="U20" s="439" t="n">
        <f aca="false">M20*1.578</f>
        <v>1.578</v>
      </c>
    </row>
    <row r="21" customFormat="false" ht="21" hidden="false" customHeight="true" outlineLevel="0" collapsed="false">
      <c r="A21" s="79" t="s">
        <v>619</v>
      </c>
      <c r="B21" s="80" t="s">
        <v>435</v>
      </c>
      <c r="C21" s="80"/>
      <c r="D21" s="80"/>
      <c r="E21" s="153" t="n">
        <f aca="false">D7*2</f>
        <v>2</v>
      </c>
      <c r="F21" s="97" t="n">
        <f aca="false">C7-40</f>
        <v>2060</v>
      </c>
      <c r="G21" s="97"/>
      <c r="H21" s="509" t="s">
        <v>18</v>
      </c>
      <c r="I21" s="509"/>
      <c r="J21" s="83" t="s">
        <v>42</v>
      </c>
      <c r="K21" s="79" t="s">
        <v>625</v>
      </c>
      <c r="L21" s="265" t="n">
        <f aca="false">IF(L54&gt;6000,L54/6000,1)</f>
        <v>1</v>
      </c>
      <c r="M21" s="153" t="n">
        <f aca="false">ROUNDUP(L21,0)</f>
        <v>1</v>
      </c>
      <c r="N21" s="266" t="n">
        <f aca="false">0.133*6*K26</f>
        <v>47.88</v>
      </c>
      <c r="O21" s="266"/>
      <c r="P21" s="25" t="n">
        <f aca="false">N21*M21</f>
        <v>47.88</v>
      </c>
      <c r="Q21" s="25"/>
      <c r="R21" s="96" t="str">
        <f aca="false">F5</f>
        <v>BRANCO</v>
      </c>
      <c r="S21" s="96" t="n">
        <v>6000</v>
      </c>
      <c r="T21" s="439" t="n">
        <f aca="false">L54*0.133/1000</f>
        <v>0.2495612</v>
      </c>
      <c r="U21" s="439" t="n">
        <f aca="false">M21*0.798</f>
        <v>0.798</v>
      </c>
    </row>
    <row r="22" customFormat="false" ht="26.25" hidden="false" customHeight="true" outlineLevel="0" collapsed="false">
      <c r="A22" s="79" t="s">
        <v>621</v>
      </c>
      <c r="B22" s="80" t="s">
        <v>435</v>
      </c>
      <c r="C22" s="80"/>
      <c r="D22" s="80"/>
      <c r="E22" s="153" t="n">
        <f aca="false">D7*1</f>
        <v>1</v>
      </c>
      <c r="F22" s="24" t="n">
        <f aca="false">C7-40</f>
        <v>2060</v>
      </c>
      <c r="G22" s="24"/>
      <c r="H22" s="508" t="s">
        <v>18</v>
      </c>
      <c r="I22" s="508"/>
      <c r="J22" s="83" t="s">
        <v>42</v>
      </c>
      <c r="K22" s="47"/>
      <c r="L22" s="265" t="n">
        <f aca="false">IF(L55&gt;6000,L55/6000,1)</f>
        <v>1</v>
      </c>
      <c r="M22" s="153"/>
      <c r="N22" s="434"/>
      <c r="O22" s="434"/>
      <c r="P22" s="25"/>
      <c r="Q22" s="25"/>
      <c r="R22" s="96"/>
      <c r="S22" s="96"/>
      <c r="T22" s="439"/>
      <c r="U22" s="96"/>
    </row>
    <row r="23" customFormat="false" ht="26.25" hidden="false" customHeight="true" outlineLevel="0" collapsed="false">
      <c r="A23" s="79" t="s">
        <v>623</v>
      </c>
      <c r="B23" s="80" t="s">
        <v>435</v>
      </c>
      <c r="C23" s="80"/>
      <c r="D23" s="80"/>
      <c r="E23" s="153" t="n">
        <f aca="false">D7*1</f>
        <v>1</v>
      </c>
      <c r="F23" s="97" t="n">
        <f aca="false">C7-40</f>
        <v>2060</v>
      </c>
      <c r="G23" s="97"/>
      <c r="H23" s="508" t="s">
        <v>18</v>
      </c>
      <c r="I23" s="508"/>
      <c r="J23" s="83" t="s">
        <v>42</v>
      </c>
      <c r="K23" s="47"/>
      <c r="L23" s="265" t="n">
        <f aca="false">IF(L56&gt;6000,L56/6000,1)</f>
        <v>1</v>
      </c>
      <c r="M23" s="471"/>
      <c r="N23" s="284"/>
      <c r="O23" s="280"/>
      <c r="P23" s="120"/>
      <c r="Q23" s="120"/>
      <c r="R23" s="96"/>
      <c r="S23" s="96"/>
      <c r="T23" s="439"/>
      <c r="U23" s="96"/>
    </row>
    <row r="24" customFormat="false" ht="26.25" hidden="false" customHeight="true" outlineLevel="0" collapsed="false">
      <c r="A24" s="79" t="s">
        <v>188</v>
      </c>
      <c r="B24" s="80" t="s">
        <v>203</v>
      </c>
      <c r="C24" s="80"/>
      <c r="D24" s="80"/>
      <c r="E24" s="153" t="n">
        <f aca="false">D7*2</f>
        <v>2</v>
      </c>
      <c r="F24" s="24" t="n">
        <f aca="false">F14</f>
        <v>931.2</v>
      </c>
      <c r="G24" s="24"/>
      <c r="H24" s="508" t="s">
        <v>17</v>
      </c>
      <c r="I24" s="508"/>
      <c r="J24" s="83" t="s">
        <v>42</v>
      </c>
      <c r="K24" s="452"/>
      <c r="L24" s="502" t="n">
        <f aca="false">IF(L57&gt;6000,L57/6000,1)</f>
        <v>1</v>
      </c>
      <c r="M24" s="472"/>
      <c r="N24" s="285"/>
      <c r="O24" s="288"/>
      <c r="P24" s="209"/>
      <c r="Q24" s="209"/>
      <c r="R24" s="290"/>
      <c r="S24" s="290"/>
      <c r="T24" s="292"/>
      <c r="U24" s="290"/>
    </row>
    <row r="25" customFormat="false" ht="26.25" hidden="false" customHeight="true" outlineLevel="0" collapsed="false">
      <c r="A25" s="79" t="s">
        <v>188</v>
      </c>
      <c r="B25" s="80" t="s">
        <v>203</v>
      </c>
      <c r="C25" s="80"/>
      <c r="D25" s="80"/>
      <c r="E25" s="153" t="n">
        <f aca="false">D7*2</f>
        <v>2</v>
      </c>
      <c r="F25" s="97" t="n">
        <f aca="false">C7-191</f>
        <v>1909</v>
      </c>
      <c r="G25" s="97"/>
      <c r="H25" s="508" t="s">
        <v>18</v>
      </c>
      <c r="I25" s="508"/>
      <c r="J25" s="83" t="s">
        <v>42</v>
      </c>
      <c r="K25" s="297" t="s">
        <v>133</v>
      </c>
      <c r="L25" s="484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56.17476788</v>
      </c>
    </row>
    <row r="26" customFormat="false" ht="26.25" hidden="false" customHeight="true" outlineLevel="0" collapsed="false">
      <c r="A26" s="79" t="s">
        <v>580</v>
      </c>
      <c r="B26" s="293" t="s">
        <v>627</v>
      </c>
      <c r="C26" s="293"/>
      <c r="D26" s="293"/>
      <c r="E26" s="153" t="n">
        <f aca="false">D7*12</f>
        <v>12</v>
      </c>
      <c r="F26" s="97" t="n">
        <f aca="false">21</f>
        <v>21</v>
      </c>
      <c r="G26" s="97"/>
      <c r="H26" s="40"/>
      <c r="I26" s="40"/>
      <c r="J26" s="83" t="s">
        <v>42</v>
      </c>
      <c r="K26" s="410" t="n">
        <v>60</v>
      </c>
      <c r="L26" s="410" t="n">
        <v>100</v>
      </c>
      <c r="M26" s="302" t="n">
        <f aca="false">U25*L26</f>
        <v>5617.476788</v>
      </c>
      <c r="N26" s="302"/>
      <c r="O26" s="303" t="n">
        <v>0.5</v>
      </c>
      <c r="P26" s="85" t="n">
        <f aca="false">K30*O26+K30</f>
        <v>5055.7291092</v>
      </c>
      <c r="Q26" s="85"/>
      <c r="R26" s="85"/>
      <c r="S26" s="181" t="s">
        <v>131</v>
      </c>
      <c r="T26" s="181"/>
      <c r="U26" s="294" t="n">
        <f aca="false">SUM(U3:U24)</f>
        <v>78.588</v>
      </c>
    </row>
    <row r="27" customFormat="false" ht="24" hidden="false" customHeight="true" outlineLevel="0" collapsed="false">
      <c r="A27" s="79" t="s">
        <v>615</v>
      </c>
      <c r="B27" s="293" t="s">
        <v>628</v>
      </c>
      <c r="C27" s="293"/>
      <c r="D27" s="293"/>
      <c r="E27" s="153" t="n">
        <f aca="false">D7*2</f>
        <v>2</v>
      </c>
      <c r="F27" s="24" t="n">
        <f aca="false">(B7-123.6)/2</f>
        <v>938.2</v>
      </c>
      <c r="G27" s="24"/>
      <c r="H27" s="40" t="s">
        <v>17</v>
      </c>
      <c r="I27" s="40"/>
      <c r="J27" s="83" t="s">
        <v>42</v>
      </c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22.41323212</v>
      </c>
    </row>
    <row r="28" customFormat="false" ht="19.5" hidden="false" customHeight="true" outlineLevel="0" collapsed="false">
      <c r="A28" s="79" t="s">
        <v>496</v>
      </c>
      <c r="B28" s="293" t="s">
        <v>196</v>
      </c>
      <c r="C28" s="293"/>
      <c r="D28" s="293"/>
      <c r="E28" s="153" t="n">
        <f aca="false">D7*2</f>
        <v>2</v>
      </c>
      <c r="F28" s="97" t="n">
        <f aca="false">C7-20</f>
        <v>2080</v>
      </c>
      <c r="G28" s="97"/>
      <c r="H28" s="40" t="s">
        <v>18</v>
      </c>
      <c r="I28" s="40"/>
      <c r="J28" s="83" t="s">
        <v>42</v>
      </c>
      <c r="K28" s="84" t="n">
        <f aca="false">U26*K26</f>
        <v>4715.28</v>
      </c>
      <c r="L28" s="84"/>
      <c r="O28" s="296"/>
      <c r="Q28" s="296"/>
      <c r="R28" s="296"/>
      <c r="S28" s="296"/>
      <c r="T28" s="296"/>
      <c r="U28" s="296"/>
    </row>
    <row r="29" customFormat="false" ht="24.75" hidden="false" customHeight="true" outlineLevel="0" collapsed="false">
      <c r="A29" s="79" t="s">
        <v>625</v>
      </c>
      <c r="B29" s="80" t="s">
        <v>629</v>
      </c>
      <c r="C29" s="80"/>
      <c r="D29" s="80"/>
      <c r="E29" s="153" t="n">
        <f aca="false">D7*2</f>
        <v>2</v>
      </c>
      <c r="F29" s="24" t="n">
        <f aca="false">F27</f>
        <v>938.2</v>
      </c>
      <c r="G29" s="24"/>
      <c r="H29" s="40" t="s">
        <v>17</v>
      </c>
      <c r="I29" s="40"/>
      <c r="J29" s="83" t="s">
        <v>42</v>
      </c>
      <c r="K29" s="73" t="s">
        <v>199</v>
      </c>
      <c r="L29" s="73"/>
    </row>
    <row r="30" customFormat="false" ht="19.5" hidden="false" customHeight="true" outlineLevel="0" collapsed="false">
      <c r="A30" s="79" t="s">
        <v>374</v>
      </c>
      <c r="B30" s="80" t="s">
        <v>377</v>
      </c>
      <c r="C30" s="80"/>
      <c r="D30" s="80"/>
      <c r="E30" s="153" t="n">
        <f aca="false">D7*1</f>
        <v>1</v>
      </c>
      <c r="F30" s="97" t="n">
        <f aca="false">B7+40</f>
        <v>2040</v>
      </c>
      <c r="G30" s="97"/>
      <c r="H30" s="40" t="s">
        <v>17</v>
      </c>
      <c r="I30" s="40"/>
      <c r="J30" s="83" t="s">
        <v>42</v>
      </c>
      <c r="K30" s="84" t="n">
        <f aca="false">U25*K26</f>
        <v>3370.4860728</v>
      </c>
      <c r="L30" s="84"/>
    </row>
    <row r="31" customFormat="false" ht="21.75" hidden="false" customHeight="true" outlineLevel="0" collapsed="false">
      <c r="A31" s="99" t="s">
        <v>520</v>
      </c>
      <c r="B31" s="510" t="s">
        <v>192</v>
      </c>
      <c r="C31" s="510"/>
      <c r="D31" s="510"/>
      <c r="E31" s="511" t="n">
        <f aca="false">D7*1</f>
        <v>1</v>
      </c>
      <c r="F31" s="246" t="n">
        <f aca="false">C7</f>
        <v>2100</v>
      </c>
      <c r="G31" s="246"/>
      <c r="H31" s="512" t="s">
        <v>18</v>
      </c>
      <c r="I31" s="512"/>
      <c r="J31" s="103" t="s">
        <v>42</v>
      </c>
      <c r="K31" s="109"/>
      <c r="L31" s="109"/>
      <c r="M31" s="109"/>
      <c r="N31" s="109"/>
    </row>
    <row r="32" customFormat="false" ht="17.25" hidden="false" customHeight="true" outlineLevel="0" collapsed="false">
      <c r="F32" s="153"/>
      <c r="G32" s="153"/>
      <c r="K32" s="109"/>
      <c r="L32" s="109"/>
      <c r="M32" s="109"/>
      <c r="N32" s="109"/>
    </row>
    <row r="33" customFormat="false" ht="15.75" hidden="false" customHeight="true" outlineLevel="0" collapsed="false">
      <c r="F33" s="153"/>
      <c r="G33" s="153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5" hidden="false" customHeight="true" outlineLevel="0" collapsed="false">
      <c r="A35" s="104" t="s">
        <v>51</v>
      </c>
      <c r="B35" s="20" t="s">
        <v>26</v>
      </c>
      <c r="C35" s="20"/>
      <c r="D35" s="20"/>
      <c r="E35" s="20"/>
      <c r="F35" s="20"/>
      <c r="G35" s="20"/>
      <c r="H35" s="106" t="s">
        <v>5</v>
      </c>
      <c r="I35" s="20" t="s">
        <v>207</v>
      </c>
      <c r="J35" s="20"/>
    </row>
    <row r="36" customFormat="false" ht="27" hidden="false" customHeight="true" outlineLevel="0" collapsed="false">
      <c r="A36" s="313" t="s">
        <v>499</v>
      </c>
      <c r="B36" s="314" t="s">
        <v>500</v>
      </c>
      <c r="C36" s="314"/>
      <c r="D36" s="314"/>
      <c r="E36" s="314"/>
      <c r="F36" s="314"/>
      <c r="G36" s="314"/>
      <c r="H36" s="397" t="s">
        <v>64</v>
      </c>
      <c r="I36" s="72" t="n">
        <f aca="false">D7*3</f>
        <v>3</v>
      </c>
      <c r="J36" s="72"/>
      <c r="K36" s="161"/>
      <c r="L36" s="133" t="n">
        <f aca="false">F11*E11</f>
        <v>1974</v>
      </c>
      <c r="M36" s="387"/>
      <c r="N36" s="387" t="s">
        <v>493</v>
      </c>
    </row>
    <row r="37" customFormat="false" ht="27" hidden="false" customHeight="true" outlineLevel="0" collapsed="false">
      <c r="A37" s="319" t="s">
        <v>581</v>
      </c>
      <c r="B37" s="320" t="s">
        <v>582</v>
      </c>
      <c r="C37" s="320"/>
      <c r="D37" s="320"/>
      <c r="E37" s="320"/>
      <c r="F37" s="320"/>
      <c r="G37" s="320"/>
      <c r="H37" s="96" t="s">
        <v>64</v>
      </c>
      <c r="I37" s="83" t="n">
        <f aca="false">D7*3</f>
        <v>3</v>
      </c>
      <c r="J37" s="83"/>
      <c r="K37" s="161"/>
      <c r="L37" s="133" t="n">
        <f aca="false">F12*E12</f>
        <v>1974</v>
      </c>
      <c r="M37" s="387"/>
      <c r="N37" s="387" t="s">
        <v>614</v>
      </c>
    </row>
    <row r="38" customFormat="false" ht="23.25" hidden="false" customHeight="true" outlineLevel="0" collapsed="false">
      <c r="A38" s="319" t="s">
        <v>515</v>
      </c>
      <c r="B38" s="320" t="s">
        <v>583</v>
      </c>
      <c r="C38" s="320"/>
      <c r="D38" s="320"/>
      <c r="E38" s="320"/>
      <c r="F38" s="320"/>
      <c r="G38" s="320"/>
      <c r="H38" s="96" t="s">
        <v>46</v>
      </c>
      <c r="I38" s="83" t="n">
        <f aca="false">C7*2*D7</f>
        <v>4200</v>
      </c>
      <c r="J38" s="83"/>
      <c r="K38" s="161"/>
      <c r="L38" s="133" t="n">
        <f aca="false">F13*E13</f>
        <v>2100</v>
      </c>
      <c r="M38" s="387"/>
      <c r="N38" s="387" t="s">
        <v>495</v>
      </c>
    </row>
    <row r="39" customFormat="false" ht="23.25" hidden="false" customHeight="true" outlineLevel="0" collapsed="false">
      <c r="A39" s="319" t="s">
        <v>517</v>
      </c>
      <c r="B39" s="320" t="s">
        <v>584</v>
      </c>
      <c r="C39" s="320"/>
      <c r="D39" s="320"/>
      <c r="E39" s="320"/>
      <c r="F39" s="320"/>
      <c r="G39" s="320"/>
      <c r="H39" s="96" t="s">
        <v>46</v>
      </c>
      <c r="I39" s="505" t="n">
        <f aca="false">(B7*4)+(C7*2)*D7</f>
        <v>12200</v>
      </c>
      <c r="J39" s="505"/>
      <c r="K39" s="161"/>
      <c r="L39" s="133" t="n">
        <f aca="false">F14*E14</f>
        <v>931.2</v>
      </c>
      <c r="M39" s="387"/>
      <c r="N39" s="387" t="s">
        <v>201</v>
      </c>
    </row>
    <row r="40" customFormat="false" ht="23.25" hidden="false" customHeight="true" outlineLevel="0" collapsed="false">
      <c r="A40" s="319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83" t="n">
        <f aca="false">C7*6*D7</f>
        <v>12600</v>
      </c>
      <c r="J40" s="83"/>
      <c r="K40" s="161"/>
      <c r="L40" s="133" t="n">
        <f aca="false">F15*E15+E16*F16</f>
        <v>2807.6</v>
      </c>
      <c r="M40" s="387"/>
      <c r="N40" s="387" t="s">
        <v>543</v>
      </c>
    </row>
    <row r="41" customFormat="false" ht="23.25" hidden="false" customHeight="true" outlineLevel="0" collapsed="false">
      <c r="A41" s="319" t="s">
        <v>527</v>
      </c>
      <c r="B41" s="320" t="s">
        <v>585</v>
      </c>
      <c r="C41" s="320"/>
      <c r="D41" s="320"/>
      <c r="E41" s="320"/>
      <c r="F41" s="320"/>
      <c r="G41" s="320"/>
      <c r="H41" s="96" t="s">
        <v>46</v>
      </c>
      <c r="I41" s="83" t="n">
        <f aca="false">C7*4*D7</f>
        <v>8400</v>
      </c>
      <c r="J41" s="83"/>
      <c r="K41" s="161"/>
      <c r="L41" s="133" t="n">
        <f aca="false">F27*E27</f>
        <v>1876.4</v>
      </c>
      <c r="M41" s="387"/>
      <c r="N41" s="387" t="s">
        <v>615</v>
      </c>
    </row>
    <row r="42" customFormat="false" ht="23.25" hidden="false" customHeight="true" outlineLevel="0" collapsed="false">
      <c r="A42" s="319" t="s">
        <v>504</v>
      </c>
      <c r="B42" s="320" t="s">
        <v>226</v>
      </c>
      <c r="C42" s="320"/>
      <c r="D42" s="320"/>
      <c r="E42" s="320"/>
      <c r="F42" s="320"/>
      <c r="G42" s="320"/>
      <c r="H42" s="96" t="s">
        <v>64</v>
      </c>
      <c r="I42" s="83" t="n">
        <f aca="false">D7*1</f>
        <v>1</v>
      </c>
      <c r="J42" s="83"/>
      <c r="K42" s="161"/>
      <c r="L42" s="133" t="n">
        <f aca="false">F18*E18</f>
        <v>30976.2366666667</v>
      </c>
      <c r="M42" s="387"/>
      <c r="N42" s="387" t="s">
        <v>616</v>
      </c>
    </row>
    <row r="43" customFormat="false" ht="23.25" hidden="false" customHeight="true" outlineLevel="0" collapsed="false">
      <c r="A43" s="319" t="s">
        <v>505</v>
      </c>
      <c r="B43" s="320" t="s">
        <v>506</v>
      </c>
      <c r="C43" s="320"/>
      <c r="D43" s="320"/>
      <c r="E43" s="320"/>
      <c r="F43" s="320"/>
      <c r="G43" s="320"/>
      <c r="H43" s="96" t="s">
        <v>64</v>
      </c>
      <c r="I43" s="428" t="n">
        <f aca="false">D7*12</f>
        <v>12</v>
      </c>
      <c r="J43" s="428"/>
      <c r="K43" s="161"/>
      <c r="L43" s="133" t="n">
        <f aca="false">F17*E17</f>
        <v>30976.2366666667</v>
      </c>
      <c r="M43" s="387"/>
      <c r="N43" s="387" t="s">
        <v>617</v>
      </c>
    </row>
    <row r="44" customFormat="false" ht="23.25" hidden="false" customHeight="true" outlineLevel="0" collapsed="false">
      <c r="A44" s="319" t="s">
        <v>507</v>
      </c>
      <c r="B44" s="320" t="s">
        <v>230</v>
      </c>
      <c r="C44" s="320"/>
      <c r="D44" s="320"/>
      <c r="E44" s="320"/>
      <c r="F44" s="320"/>
      <c r="G44" s="320"/>
      <c r="H44" s="96" t="s">
        <v>64</v>
      </c>
      <c r="I44" s="428" t="n">
        <f aca="false">D7*1</f>
        <v>1</v>
      </c>
      <c r="J44" s="428"/>
      <c r="K44" s="161"/>
      <c r="L44" s="133" t="n">
        <f aca="false">F19*E19</f>
        <v>2060</v>
      </c>
      <c r="M44" s="387"/>
      <c r="N44" s="387" t="s">
        <v>193</v>
      </c>
    </row>
    <row r="45" customFormat="false" ht="23.25" hidden="false" customHeight="true" outlineLevel="0" collapsed="false">
      <c r="A45" s="319" t="s">
        <v>508</v>
      </c>
      <c r="B45" s="320" t="s">
        <v>509</v>
      </c>
      <c r="C45" s="320"/>
      <c r="D45" s="320"/>
      <c r="E45" s="320"/>
      <c r="F45" s="320"/>
      <c r="G45" s="320"/>
      <c r="H45" s="96" t="s">
        <v>64</v>
      </c>
      <c r="I45" s="428" t="n">
        <f aca="false">D7*6</f>
        <v>6</v>
      </c>
      <c r="J45" s="428"/>
      <c r="K45" s="161"/>
      <c r="L45" s="133" t="n">
        <f aca="false">F20*E20</f>
        <v>2060</v>
      </c>
      <c r="M45" s="109"/>
      <c r="N45" s="387" t="s">
        <v>618</v>
      </c>
    </row>
    <row r="46" customFormat="false" ht="23.25" hidden="false" customHeight="true" outlineLevel="0" collapsed="false">
      <c r="A46" s="319" t="s">
        <v>529</v>
      </c>
      <c r="B46" s="480" t="s">
        <v>530</v>
      </c>
      <c r="C46" s="480"/>
      <c r="D46" s="480"/>
      <c r="E46" s="480"/>
      <c r="F46" s="480"/>
      <c r="G46" s="480"/>
      <c r="H46" s="96" t="s">
        <v>64</v>
      </c>
      <c r="I46" s="428" t="n">
        <f aca="false">D7*24</f>
        <v>24</v>
      </c>
      <c r="J46" s="428"/>
      <c r="K46" s="161"/>
      <c r="L46" s="133" t="n">
        <f aca="false">F21*E21</f>
        <v>4120</v>
      </c>
      <c r="M46" s="109"/>
      <c r="N46" s="387" t="s">
        <v>619</v>
      </c>
    </row>
    <row r="47" customFormat="false" ht="23.25" hidden="false" customHeight="true" outlineLevel="0" collapsed="false">
      <c r="A47" s="319" t="s">
        <v>549</v>
      </c>
      <c r="B47" s="480" t="s">
        <v>236</v>
      </c>
      <c r="C47" s="480"/>
      <c r="D47" s="480"/>
      <c r="E47" s="480"/>
      <c r="F47" s="480"/>
      <c r="G47" s="480"/>
      <c r="H47" s="96" t="s">
        <v>64</v>
      </c>
      <c r="I47" s="83" t="n">
        <f aca="false">D7*6</f>
        <v>6</v>
      </c>
      <c r="J47" s="83"/>
      <c r="K47" s="161"/>
      <c r="L47" s="133" t="n">
        <f aca="false">F22*E22</f>
        <v>2060</v>
      </c>
      <c r="M47" s="109"/>
      <c r="N47" s="387" t="s">
        <v>621</v>
      </c>
    </row>
    <row r="48" customFormat="false" ht="23.25" hidden="false" customHeight="true" outlineLevel="0" collapsed="false">
      <c r="A48" s="128" t="s">
        <v>567</v>
      </c>
      <c r="B48" s="120" t="s">
        <v>631</v>
      </c>
      <c r="C48" s="120"/>
      <c r="D48" s="120"/>
      <c r="E48" s="120"/>
      <c r="F48" s="120"/>
      <c r="G48" s="120"/>
      <c r="H48" s="26"/>
      <c r="I48" s="120" t="n">
        <f aca="false">D7*12</f>
        <v>12</v>
      </c>
      <c r="J48" s="120"/>
      <c r="K48" s="161"/>
      <c r="L48" s="133" t="n">
        <f aca="false">F23*E23</f>
        <v>2060</v>
      </c>
      <c r="M48" s="109"/>
      <c r="N48" s="387" t="s">
        <v>623</v>
      </c>
    </row>
    <row r="49" customFormat="false" ht="23.25" hidden="false" customHeight="true" outlineLevel="0" collapsed="false">
      <c r="A49" s="506" t="s">
        <v>513</v>
      </c>
      <c r="B49" s="483" t="s">
        <v>514</v>
      </c>
      <c r="C49" s="483"/>
      <c r="D49" s="483"/>
      <c r="E49" s="483"/>
      <c r="F49" s="483"/>
      <c r="G49" s="483"/>
      <c r="H49" s="290"/>
      <c r="I49" s="103" t="n">
        <f aca="false">(B7*2)+(C7*2)*D7</f>
        <v>8200</v>
      </c>
      <c r="J49" s="103"/>
      <c r="K49" s="161"/>
      <c r="L49" s="133" t="n">
        <f aca="false">F24*E24+E25*F25</f>
        <v>5680.4</v>
      </c>
      <c r="M49" s="109"/>
      <c r="N49" s="387" t="s">
        <v>188</v>
      </c>
    </row>
    <row r="50" customFormat="false" ht="23.25" hidden="false" customHeight="true" outlineLevel="0" collapsed="false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161"/>
      <c r="L50" s="133" t="n">
        <f aca="false">F31*E31</f>
        <v>2100</v>
      </c>
      <c r="M50" s="109"/>
      <c r="N50" s="387" t="s">
        <v>520</v>
      </c>
    </row>
    <row r="51" customFormat="false" ht="21" hidden="false" customHeight="true" outlineLevel="0" collapsed="false">
      <c r="K51" s="161"/>
      <c r="L51" s="133" t="n">
        <f aca="false">F26*E26</f>
        <v>252</v>
      </c>
      <c r="M51" s="109"/>
      <c r="N51" s="387" t="s">
        <v>580</v>
      </c>
    </row>
    <row r="52" customFormat="false" ht="23.25" hidden="false" customHeight="true" outlineLevel="0" collapsed="false">
      <c r="K52" s="161"/>
      <c r="L52" s="133" t="n">
        <f aca="false">F30*E30</f>
        <v>2040</v>
      </c>
      <c r="M52" s="109"/>
      <c r="N52" s="387" t="s">
        <v>374</v>
      </c>
    </row>
    <row r="53" customFormat="false" ht="23.25" hidden="false" customHeight="true" outlineLevel="0" collapsed="false">
      <c r="K53" s="161"/>
      <c r="L53" s="133" t="n">
        <f aca="false">F28*E28</f>
        <v>4160</v>
      </c>
      <c r="M53" s="109"/>
      <c r="N53" s="387" t="s">
        <v>496</v>
      </c>
    </row>
    <row r="54" customFormat="false" ht="19.5" hidden="false" customHeight="true" outlineLevel="0" collapsed="false">
      <c r="K54" s="161"/>
      <c r="L54" s="133" t="n">
        <f aca="false">F29*E29</f>
        <v>1876.4</v>
      </c>
      <c r="M54" s="109"/>
      <c r="N54" s="387" t="s">
        <v>625</v>
      </c>
    </row>
    <row r="55" customFormat="false" ht="21" hidden="false" customHeight="true" outlineLevel="0" collapsed="false">
      <c r="L55" s="109"/>
      <c r="M55" s="109"/>
      <c r="N55" s="109"/>
    </row>
    <row r="56" customFormat="false" ht="15" hidden="false" customHeight="false" outlineLevel="0" collapsed="false">
      <c r="L56" s="93"/>
    </row>
    <row r="64" customFormat="false" ht="15" hidden="false" customHeight="false" outlineLevel="0" collapsed="false">
      <c r="C64" s="1" t="s">
        <v>23</v>
      </c>
    </row>
  </sheetData>
  <mergeCells count="17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N18:O18"/>
    <mergeCell ref="P18:Q18"/>
    <mergeCell ref="B19:D19"/>
    <mergeCell ref="F19:G19"/>
    <mergeCell ref="H19:I19"/>
    <mergeCell ref="N19:O19"/>
    <mergeCell ref="P19:Q19"/>
    <mergeCell ref="B20:D20"/>
    <mergeCell ref="F20:G20"/>
    <mergeCell ref="H20:I20"/>
    <mergeCell ref="N20:O20"/>
    <mergeCell ref="P20:Q20"/>
    <mergeCell ref="B21:D21"/>
    <mergeCell ref="F21:G21"/>
    <mergeCell ref="H21:I21"/>
    <mergeCell ref="N21:O21"/>
    <mergeCell ref="P21:Q21"/>
    <mergeCell ref="B22:D22"/>
    <mergeCell ref="F22:G22"/>
    <mergeCell ref="H22:I22"/>
    <mergeCell ref="N22:O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B27:D27"/>
    <mergeCell ref="F27:G27"/>
    <mergeCell ref="H27:I27"/>
    <mergeCell ref="K27:L27"/>
    <mergeCell ref="Q27:R27"/>
    <mergeCell ref="S27:T27"/>
    <mergeCell ref="B28:D28"/>
    <mergeCell ref="F28:G28"/>
    <mergeCell ref="H28:I28"/>
    <mergeCell ref="K28:L28"/>
    <mergeCell ref="B29:D29"/>
    <mergeCell ref="F29:G29"/>
    <mergeCell ref="H29:I29"/>
    <mergeCell ref="K29:L29"/>
    <mergeCell ref="B30:D30"/>
    <mergeCell ref="F30:G30"/>
    <mergeCell ref="H30:I30"/>
    <mergeCell ref="K30:L30"/>
    <mergeCell ref="B31:D31"/>
    <mergeCell ref="F31:G31"/>
    <mergeCell ref="H31:I31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633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1.504188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634</v>
      </c>
      <c r="L4" s="400" t="n">
        <f aca="false">L3</f>
        <v>1</v>
      </c>
      <c r="M4" s="24" t="n">
        <f aca="false">ROUNDUP(L4,0)</f>
        <v>1</v>
      </c>
      <c r="N4" s="266" t="n">
        <f aca="false">0.631*6*K17</f>
        <v>189.3</v>
      </c>
      <c r="O4" s="266"/>
      <c r="P4" s="266" t="n">
        <f aca="false">N4*M4</f>
        <v>189.3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1.358112</v>
      </c>
      <c r="U4" s="439" t="n">
        <f aca="false">M4*3.786</f>
        <v>3.786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598</v>
      </c>
      <c r="L6" s="400" t="n">
        <f aca="false">IF(K26&gt;4600,K26/4600,1)</f>
        <v>1.79130434782609</v>
      </c>
      <c r="M6" s="24" t="n">
        <f aca="false">ROUNDUP(L6,0)</f>
        <v>2</v>
      </c>
      <c r="N6" s="266" t="n">
        <f aca="false">1.006*6*K17</f>
        <v>301.8</v>
      </c>
      <c r="O6" s="266"/>
      <c r="P6" s="266" t="n">
        <f aca="false">N6*M6</f>
        <v>603.6</v>
      </c>
      <c r="Q6" s="266"/>
      <c r="R6" s="96" t="str">
        <f aca="false">F5</f>
        <v>BRANCO</v>
      </c>
      <c r="S6" s="96" t="n">
        <v>4600</v>
      </c>
      <c r="T6" s="439" t="n">
        <f aca="false">K26*1.006/1000</f>
        <v>8.28944</v>
      </c>
      <c r="U6" s="439" t="n">
        <f aca="false">M6*4.627</f>
        <v>9.254</v>
      </c>
    </row>
    <row r="7" customFormat="false" ht="27" hidden="false" customHeight="true" outlineLevel="0" collapsed="false">
      <c r="A7" s="271" t="n">
        <v>700</v>
      </c>
      <c r="B7" s="272" t="n">
        <v>2000</v>
      </c>
      <c r="C7" s="272" t="n">
        <v>2100</v>
      </c>
      <c r="D7" s="272" t="n">
        <v>1</v>
      </c>
      <c r="E7" s="276" t="n">
        <f aca="false">(B7*C7)/10^6</f>
        <v>4.2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3.06116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2940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2.93344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2940</v>
      </c>
      <c r="D9" s="275"/>
      <c r="E9" s="389" t="n">
        <f aca="false">(B7-348)/4</f>
        <v>413</v>
      </c>
      <c r="F9" s="390" t="n">
        <f aca="false">C7-175</f>
        <v>1925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1.653608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400"/>
      <c r="M10" s="24"/>
      <c r="N10" s="277"/>
      <c r="O10" s="277"/>
      <c r="P10" s="277"/>
      <c r="Q10" s="277"/>
      <c r="R10" s="96"/>
      <c r="S10" s="96"/>
      <c r="T10" s="439"/>
      <c r="U10" s="439"/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1974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3.09466666666667</v>
      </c>
      <c r="M11" s="24" t="n">
        <f aca="false">ROUNDUP(L11,0)</f>
        <v>4</v>
      </c>
      <c r="N11" s="266" t="n">
        <f aca="false">0.111*6*K17</f>
        <v>33.3</v>
      </c>
      <c r="O11" s="266"/>
      <c r="P11" s="266" t="n">
        <f aca="false">N11*M11</f>
        <v>133.2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2.061048</v>
      </c>
      <c r="U11" s="439" t="n">
        <f aca="false">M11*0.666</f>
        <v>2.664</v>
      </c>
    </row>
    <row r="12" customFormat="false" ht="25.5" hidden="false" customHeight="true" outlineLevel="0" collapsed="false">
      <c r="A12" s="79" t="s">
        <v>634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1974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0.54468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 t="s">
        <v>201</v>
      </c>
      <c r="L13" s="515" t="n">
        <f aca="false">IF(K29&gt;6000,K29/6000,1)</f>
        <v>1</v>
      </c>
      <c r="M13" s="153" t="n">
        <f aca="false">ROUNDUP(L13,0)</f>
        <v>1</v>
      </c>
      <c r="N13" s="266" t="n">
        <f aca="false">0.507*6*K17</f>
        <v>152.1</v>
      </c>
      <c r="O13" s="266"/>
      <c r="P13" s="266" t="n">
        <f aca="false">N13*M13</f>
        <v>152.1</v>
      </c>
      <c r="Q13" s="266"/>
      <c r="R13" s="96" t="str">
        <f aca="false">F5</f>
        <v>BRANCO</v>
      </c>
      <c r="S13" s="96" t="n">
        <v>6000</v>
      </c>
      <c r="T13" s="439" t="n">
        <f aca="false">K29*0.507/1000</f>
        <v>0.847704</v>
      </c>
      <c r="U13" s="96" t="n">
        <f aca="false">M13*3.042</f>
        <v>3.042</v>
      </c>
    </row>
    <row r="14" customFormat="false" ht="25.5" hidden="false" customHeight="true" outlineLevel="0" collapsed="false">
      <c r="A14" s="79" t="s">
        <v>598</v>
      </c>
      <c r="B14" s="279" t="s">
        <v>194</v>
      </c>
      <c r="C14" s="279"/>
      <c r="D14" s="279"/>
      <c r="E14" s="24" t="n">
        <f aca="false">D7*4</f>
        <v>4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D7*2</f>
        <v>2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D7*2</f>
        <v>2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T3+T4+T5+T6+T7+T8+T9+T10+T11+T12+T13</f>
        <v>24.44998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(B7-328)/4</f>
        <v>418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2444.998</v>
      </c>
      <c r="N17" s="490"/>
      <c r="O17" s="303" t="n">
        <v>0.1</v>
      </c>
      <c r="P17" s="491" t="n">
        <f aca="false">K21*O17+K21</f>
        <v>1344.7489</v>
      </c>
      <c r="Q17" s="491"/>
      <c r="R17" s="491"/>
      <c r="S17" s="181" t="s">
        <v>131</v>
      </c>
      <c r="T17" s="181"/>
      <c r="U17" s="294" t="n">
        <f aca="false">U3+U4+U5+U6+U7+U8+U9+U10+U11+U12+U13</f>
        <v>40.684</v>
      </c>
    </row>
    <row r="18" customFormat="false" ht="25.5" hidden="false" customHeight="true" outlineLevel="0" collapsed="false">
      <c r="A18" s="79"/>
      <c r="B18" s="279"/>
      <c r="C18" s="279"/>
      <c r="D18" s="279"/>
      <c r="E18" s="46"/>
      <c r="F18" s="24"/>
      <c r="G18" s="24"/>
      <c r="H18" s="83"/>
      <c r="I18" s="83"/>
      <c r="J18" s="83"/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16.23402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418</v>
      </c>
      <c r="G19" s="24"/>
      <c r="H19" s="83" t="s">
        <v>17</v>
      </c>
      <c r="I19" s="83"/>
      <c r="J19" s="83" t="s">
        <v>42</v>
      </c>
      <c r="K19" s="84" t="n">
        <f aca="false">U17*K17</f>
        <v>2034.2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C7-197</f>
        <v>1903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2040</v>
      </c>
      <c r="G21" s="97"/>
      <c r="H21" s="28" t="s">
        <v>17</v>
      </c>
      <c r="I21" s="28"/>
      <c r="J21" s="83" t="s">
        <v>42</v>
      </c>
      <c r="K21" s="84" t="n">
        <f aca="false">U16*K17</f>
        <v>1222.499</v>
      </c>
      <c r="L21" s="84"/>
    </row>
    <row r="22" customFormat="false" ht="17.25" hidden="false" customHeight="true" outlineLevel="0" collapsed="false">
      <c r="A22" s="338" t="s">
        <v>201</v>
      </c>
      <c r="B22" s="80" t="s">
        <v>604</v>
      </c>
      <c r="C22" s="80"/>
      <c r="D22" s="80"/>
      <c r="E22" s="46" t="n">
        <f aca="false">D7*4</f>
        <v>4</v>
      </c>
      <c r="F22" s="24" t="n">
        <f aca="false">F17</f>
        <v>418</v>
      </c>
      <c r="G22" s="24"/>
      <c r="H22" s="83" t="s">
        <v>17</v>
      </c>
      <c r="I22" s="83"/>
      <c r="J22" s="83" t="s">
        <v>42</v>
      </c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1974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1974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8240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4120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4120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1672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18568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2040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  <c r="K33" s="109"/>
      <c r="L33" s="109"/>
      <c r="M33" s="109"/>
      <c r="N33" s="109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416" t="s">
        <v>207</v>
      </c>
      <c r="J39" s="416"/>
    </row>
    <row r="40" customFormat="false" ht="23.25" hidden="false" customHeight="true" outlineLevel="0" collapsed="false">
      <c r="A40" s="313" t="s">
        <v>605</v>
      </c>
      <c r="B40" s="314" t="s">
        <v>606</v>
      </c>
      <c r="C40" s="314"/>
      <c r="D40" s="314"/>
      <c r="E40" s="314"/>
      <c r="F40" s="314"/>
      <c r="G40" s="517" t="s">
        <v>64</v>
      </c>
      <c r="H40" s="517"/>
      <c r="I40" s="507" t="n">
        <f aca="false">D7*1</f>
        <v>1</v>
      </c>
      <c r="J40" s="507"/>
    </row>
    <row r="41" customFormat="false" ht="23.25" hidden="false" customHeight="true" outlineLevel="0" collapsed="false">
      <c r="A41" s="481" t="s">
        <v>499</v>
      </c>
      <c r="B41" s="320" t="s">
        <v>607</v>
      </c>
      <c r="C41" s="320"/>
      <c r="D41" s="320"/>
      <c r="E41" s="320"/>
      <c r="F41" s="320"/>
      <c r="G41" s="434" t="s">
        <v>64</v>
      </c>
      <c r="H41" s="434"/>
      <c r="I41" s="508" t="n">
        <f aca="false">D7*2</f>
        <v>2</v>
      </c>
      <c r="J41" s="508"/>
    </row>
    <row r="42" customFormat="false" ht="23.25" hidden="false" customHeight="true" outlineLevel="0" collapsed="false">
      <c r="A42" s="319" t="s">
        <v>531</v>
      </c>
      <c r="B42" s="320" t="s">
        <v>636</v>
      </c>
      <c r="C42" s="320"/>
      <c r="D42" s="320"/>
      <c r="E42" s="320"/>
      <c r="F42" s="320"/>
      <c r="G42" s="434" t="s">
        <v>46</v>
      </c>
      <c r="H42" s="434"/>
      <c r="I42" s="518" t="n">
        <f aca="false">C7*8*D7</f>
        <v>16800</v>
      </c>
      <c r="J42" s="518"/>
    </row>
    <row r="43" customFormat="false" ht="23.25" hidden="false" customHeight="true" outlineLevel="0" collapsed="false">
      <c r="A43" s="319" t="s">
        <v>608</v>
      </c>
      <c r="B43" s="320" t="s">
        <v>609</v>
      </c>
      <c r="C43" s="320"/>
      <c r="D43" s="320"/>
      <c r="E43" s="320"/>
      <c r="F43" s="320"/>
      <c r="G43" s="434" t="s">
        <v>64</v>
      </c>
      <c r="H43" s="434"/>
      <c r="I43" s="508" t="n">
        <f aca="false">D7*8</f>
        <v>8</v>
      </c>
      <c r="J43" s="508"/>
    </row>
    <row r="44" customFormat="false" ht="23.25" hidden="false" customHeight="true" outlineLevel="0" collapsed="false">
      <c r="A44" s="319" t="s">
        <v>550</v>
      </c>
      <c r="B44" s="320" t="s">
        <v>340</v>
      </c>
      <c r="C44" s="320"/>
      <c r="D44" s="320"/>
      <c r="E44" s="320"/>
      <c r="F44" s="320"/>
      <c r="G44" s="434" t="s">
        <v>64</v>
      </c>
      <c r="H44" s="434"/>
      <c r="I44" s="508" t="n">
        <f aca="false">D7*12</f>
        <v>12</v>
      </c>
      <c r="J44" s="508"/>
    </row>
    <row r="45" customFormat="false" ht="23.25" hidden="false" customHeight="true" outlineLevel="0" collapsed="false">
      <c r="A45" s="319" t="s">
        <v>504</v>
      </c>
      <c r="B45" s="320" t="s">
        <v>551</v>
      </c>
      <c r="C45" s="320"/>
      <c r="D45" s="320"/>
      <c r="E45" s="320"/>
      <c r="F45" s="320"/>
      <c r="G45" s="434" t="s">
        <v>64</v>
      </c>
      <c r="H45" s="434"/>
      <c r="I45" s="508" t="n">
        <f aca="false">D7*2</f>
        <v>2</v>
      </c>
      <c r="J45" s="508"/>
    </row>
    <row r="46" customFormat="false" ht="23.25" hidden="false" customHeight="true" outlineLevel="0" collapsed="false">
      <c r="A46" s="319" t="s">
        <v>507</v>
      </c>
      <c r="B46" s="320" t="s">
        <v>551</v>
      </c>
      <c r="C46" s="320"/>
      <c r="D46" s="320"/>
      <c r="E46" s="320"/>
      <c r="F46" s="320"/>
      <c r="G46" s="434" t="s">
        <v>64</v>
      </c>
      <c r="H46" s="434"/>
      <c r="I46" s="508" t="n">
        <f aca="false">D7*2</f>
        <v>2</v>
      </c>
      <c r="J46" s="508"/>
    </row>
    <row r="47" customFormat="false" ht="23.25" hidden="false" customHeight="true" outlineLevel="0" collapsed="false">
      <c r="A47" s="319" t="s">
        <v>505</v>
      </c>
      <c r="B47" s="320" t="s">
        <v>610</v>
      </c>
      <c r="C47" s="320"/>
      <c r="D47" s="320"/>
      <c r="E47" s="320"/>
      <c r="F47" s="320"/>
      <c r="G47" s="434" t="s">
        <v>64</v>
      </c>
      <c r="H47" s="434"/>
      <c r="I47" s="508" t="n">
        <f aca="false">D7*16</f>
        <v>16</v>
      </c>
      <c r="J47" s="508"/>
    </row>
    <row r="48" customFormat="false" ht="23.25" hidden="false" customHeight="true" outlineLevel="0" collapsed="false">
      <c r="A48" s="319" t="s">
        <v>508</v>
      </c>
      <c r="B48" s="320" t="s">
        <v>289</v>
      </c>
      <c r="C48" s="320"/>
      <c r="D48" s="320"/>
      <c r="E48" s="320"/>
      <c r="F48" s="320"/>
      <c r="G48" s="434" t="s">
        <v>64</v>
      </c>
      <c r="H48" s="434"/>
      <c r="I48" s="508" t="n">
        <f aca="false">D7*4</f>
        <v>4</v>
      </c>
      <c r="J48" s="508"/>
    </row>
    <row r="49" customFormat="false" ht="23.25" hidden="false" customHeight="true" outlineLevel="0" collapsed="false">
      <c r="A49" s="319" t="s">
        <v>513</v>
      </c>
      <c r="B49" s="320" t="s">
        <v>528</v>
      </c>
      <c r="C49" s="320"/>
      <c r="D49" s="320"/>
      <c r="E49" s="320"/>
      <c r="F49" s="320"/>
      <c r="G49" s="434" t="s">
        <v>46</v>
      </c>
      <c r="H49" s="434"/>
      <c r="I49" s="518" t="n">
        <f aca="false">(B7*4)+(C7*4)*D7</f>
        <v>16400</v>
      </c>
      <c r="J49" s="518"/>
    </row>
    <row r="50" customFormat="false" ht="23.25" hidden="false" customHeight="true" outlineLevel="0" collapsed="false">
      <c r="A50" s="319" t="s">
        <v>237</v>
      </c>
      <c r="B50" s="320" t="s">
        <v>611</v>
      </c>
      <c r="C50" s="320"/>
      <c r="D50" s="320"/>
      <c r="E50" s="320"/>
      <c r="F50" s="320"/>
      <c r="G50" s="434" t="s">
        <v>46</v>
      </c>
      <c r="H50" s="434"/>
      <c r="I50" s="518" t="n">
        <f aca="false">(B7*4)+(C7*4)*D7</f>
        <v>16400</v>
      </c>
      <c r="J50" s="518"/>
    </row>
    <row r="51" customFormat="false" ht="21" hidden="false" customHeight="true" outlineLevel="0" collapsed="false">
      <c r="A51" s="319" t="s">
        <v>515</v>
      </c>
      <c r="B51" s="320" t="s">
        <v>583</v>
      </c>
      <c r="C51" s="320"/>
      <c r="D51" s="320"/>
      <c r="E51" s="320"/>
      <c r="F51" s="320"/>
      <c r="G51" s="434" t="s">
        <v>46</v>
      </c>
      <c r="H51" s="434"/>
      <c r="I51" s="518" t="n">
        <f aca="false">(C7*2)*D7</f>
        <v>4200</v>
      </c>
      <c r="J51" s="518"/>
    </row>
    <row r="52" customFormat="false" ht="23.25" hidden="false" customHeight="true" outlineLevel="0" collapsed="false">
      <c r="A52" s="319" t="s">
        <v>525</v>
      </c>
      <c r="B52" s="480" t="s">
        <v>526</v>
      </c>
      <c r="C52" s="480"/>
      <c r="D52" s="480"/>
      <c r="E52" s="480"/>
      <c r="F52" s="480"/>
      <c r="G52" s="434" t="s">
        <v>46</v>
      </c>
      <c r="H52" s="434"/>
      <c r="I52" s="518" t="n">
        <f aca="false">(C7*4)*D7</f>
        <v>8400</v>
      </c>
      <c r="J52" s="518"/>
    </row>
    <row r="53" customFormat="false" ht="23.25" hidden="false" customHeight="true" outlineLevel="0" collapsed="false">
      <c r="A53" s="319" t="s">
        <v>517</v>
      </c>
      <c r="B53" s="480" t="s">
        <v>584</v>
      </c>
      <c r="C53" s="480"/>
      <c r="D53" s="480"/>
      <c r="E53" s="480"/>
      <c r="F53" s="480"/>
      <c r="G53" s="434" t="s">
        <v>46</v>
      </c>
      <c r="H53" s="434"/>
      <c r="I53" s="518" t="n">
        <f aca="false">(B7*4)*D7</f>
        <v>8000</v>
      </c>
      <c r="J53" s="518"/>
    </row>
    <row r="54" customFormat="false" ht="19.5" hidden="false" customHeight="true" outlineLevel="0" collapsed="false">
      <c r="A54" s="319" t="s">
        <v>567</v>
      </c>
      <c r="B54" s="480" t="s">
        <v>612</v>
      </c>
      <c r="C54" s="480"/>
      <c r="D54" s="480"/>
      <c r="E54" s="480"/>
      <c r="F54" s="480"/>
      <c r="G54" s="434" t="s">
        <v>64</v>
      </c>
      <c r="H54" s="434"/>
      <c r="I54" s="508" t="n">
        <f aca="false">D7*24</f>
        <v>24</v>
      </c>
      <c r="J54" s="508"/>
    </row>
    <row r="55" customFormat="false" ht="21" hidden="false" customHeight="true" outlineLevel="0" collapsed="false">
      <c r="A55" s="319" t="s">
        <v>529</v>
      </c>
      <c r="B55" s="208" t="s">
        <v>637</v>
      </c>
      <c r="C55" s="296"/>
      <c r="D55" s="296"/>
      <c r="E55" s="296"/>
      <c r="F55" s="357"/>
      <c r="G55" s="434" t="s">
        <v>64</v>
      </c>
      <c r="H55" s="434"/>
      <c r="I55" s="508" t="n">
        <f aca="false">D7*20</f>
        <v>20</v>
      </c>
      <c r="J55" s="508"/>
    </row>
    <row r="56" customFormat="false" ht="15" hidden="false" customHeight="false" outlineLevel="0" collapsed="false">
      <c r="A56" s="319" t="s">
        <v>638</v>
      </c>
      <c r="B56" s="519" t="s">
        <v>639</v>
      </c>
      <c r="C56" s="519"/>
      <c r="D56" s="519"/>
      <c r="E56" s="519"/>
      <c r="F56" s="519"/>
      <c r="G56" s="434" t="s">
        <v>64</v>
      </c>
      <c r="H56" s="434"/>
      <c r="I56" s="520" t="n">
        <f aca="false">D7*2</f>
        <v>2</v>
      </c>
      <c r="J56" s="520"/>
    </row>
    <row r="57" customFormat="false" ht="15" hidden="false" customHeight="false" outlineLevel="0" collapsed="false">
      <c r="A57" s="47"/>
      <c r="B57" s="52"/>
      <c r="F57" s="23"/>
      <c r="G57" s="52"/>
      <c r="H57" s="23"/>
      <c r="J57" s="23"/>
    </row>
    <row r="58" customFormat="false" ht="15" hidden="false" customHeight="false" outlineLevel="0" collapsed="false">
      <c r="A58" s="47"/>
      <c r="B58" s="52"/>
      <c r="F58" s="23"/>
      <c r="G58" s="52"/>
      <c r="H58" s="23"/>
      <c r="J58" s="23"/>
    </row>
    <row r="59" customFormat="false" ht="15" hidden="false" customHeight="false" outlineLevel="0" collapsed="false">
      <c r="A59" s="47"/>
      <c r="B59" s="52"/>
      <c r="F59" s="23"/>
      <c r="G59" s="52"/>
      <c r="H59" s="23"/>
      <c r="J59" s="23"/>
    </row>
    <row r="60" customFormat="false" ht="15" hidden="false" customHeight="false" outlineLevel="0" collapsed="false">
      <c r="A60" s="47"/>
      <c r="B60" s="52"/>
      <c r="F60" s="23"/>
      <c r="G60" s="52"/>
      <c r="H60" s="23"/>
      <c r="J60" s="23"/>
    </row>
    <row r="61" customFormat="false" ht="15" hidden="false" customHeight="false" outlineLevel="0" collapsed="false">
      <c r="A61" s="47"/>
      <c r="B61" s="52"/>
      <c r="F61" s="23"/>
      <c r="G61" s="52"/>
      <c r="H61" s="23"/>
      <c r="J61" s="23"/>
    </row>
    <row r="62" customFormat="false" ht="15" hidden="false" customHeight="false" outlineLevel="0" collapsed="false">
      <c r="A62" s="47"/>
      <c r="B62" s="52"/>
      <c r="F62" s="23"/>
      <c r="G62" s="52"/>
      <c r="H62" s="23"/>
      <c r="J62" s="23"/>
    </row>
    <row r="63" customFormat="false" ht="15" hidden="false" customHeight="false" outlineLevel="0" collapsed="false">
      <c r="A63" s="47"/>
      <c r="B63" s="52"/>
      <c r="F63" s="23"/>
      <c r="G63" s="52"/>
      <c r="H63" s="23"/>
      <c r="J63" s="23"/>
    </row>
    <row r="64" customFormat="false" ht="15" hidden="false" customHeight="false" outlineLevel="0" collapsed="false">
      <c r="A64" s="47"/>
      <c r="B64" s="52"/>
      <c r="C64" s="1" t="s">
        <v>23</v>
      </c>
      <c r="F64" s="23"/>
      <c r="G64" s="52"/>
      <c r="H64" s="23"/>
      <c r="J64" s="23"/>
    </row>
    <row r="65" customFormat="false" ht="15.75" hidden="false" customHeight="false" outlineLevel="0" collapsed="false">
      <c r="A65" s="64"/>
      <c r="B65" s="139"/>
      <c r="C65" s="203"/>
      <c r="D65" s="203"/>
      <c r="E65" s="203"/>
      <c r="F65" s="140"/>
      <c r="G65" s="139"/>
      <c r="H65" s="140"/>
      <c r="I65" s="203"/>
      <c r="J65" s="140"/>
    </row>
  </sheetData>
  <mergeCells count="14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  <mergeCell ref="B56:F56"/>
    <mergeCell ref="G56:H56"/>
    <mergeCell ref="I56:J5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640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521" t="s">
        <v>4</v>
      </c>
      <c r="L2" s="521"/>
      <c r="M2" s="522" t="s">
        <v>5</v>
      </c>
      <c r="N2" s="522" t="s">
        <v>6</v>
      </c>
      <c r="O2" s="522"/>
      <c r="P2" s="522" t="s">
        <v>7</v>
      </c>
      <c r="Q2" s="522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7" t="s">
        <v>493</v>
      </c>
      <c r="L3" s="257" t="n">
        <f aca="false">IF(L34&gt;6000,L34/6000,1)</f>
        <v>1</v>
      </c>
      <c r="M3" s="526" t="n">
        <f aca="false">ROUNDUP(L3,0)</f>
        <v>1</v>
      </c>
      <c r="N3" s="259" t="n">
        <f aca="false">1.022*6*K26</f>
        <v>306.6</v>
      </c>
      <c r="O3" s="259"/>
      <c r="P3" s="259" t="n">
        <f aca="false">N3*M3</f>
        <v>306.6</v>
      </c>
      <c r="Q3" s="259"/>
      <c r="R3" s="425" t="str">
        <f aca="false">F5</f>
        <v>BRANCO</v>
      </c>
      <c r="S3" s="397" t="n">
        <v>6000</v>
      </c>
      <c r="T3" s="440" t="n">
        <f aca="false">L36*1.022/1000</f>
        <v>4.2924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79" t="s">
        <v>614</v>
      </c>
      <c r="L4" s="265" t="n">
        <f aca="false">IF(L35&gt;6000,L35/6000,1)</f>
        <v>1</v>
      </c>
      <c r="M4" s="526" t="n">
        <f aca="false">ROUNDUP(L4,0)</f>
        <v>1</v>
      </c>
      <c r="N4" s="266" t="n">
        <f aca="false">0.954*6*K26</f>
        <v>286.2</v>
      </c>
      <c r="O4" s="266"/>
      <c r="P4" s="266" t="n">
        <f aca="false">N4*M4</f>
        <v>286.2</v>
      </c>
      <c r="Q4" s="266"/>
      <c r="R4" s="280" t="str">
        <f aca="false">F5</f>
        <v>BRANCO</v>
      </c>
      <c r="S4" s="96" t="n">
        <v>6000</v>
      </c>
      <c r="T4" s="439" t="n">
        <f aca="false">L37*0.981/1000</f>
        <v>1.348875</v>
      </c>
      <c r="U4" s="439" t="n">
        <f aca="false">M4*5.724</f>
        <v>5.724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79" t="s">
        <v>495</v>
      </c>
      <c r="L5" s="265" t="n">
        <f aca="false">IF(L36&gt;6000,L36/6000,1)</f>
        <v>1</v>
      </c>
      <c r="M5" s="526" t="n">
        <f aca="false">ROUNDUP(L5,0)</f>
        <v>1</v>
      </c>
      <c r="N5" s="266" t="n">
        <f aca="false">0.539*6*K26</f>
        <v>161.7</v>
      </c>
      <c r="O5" s="266"/>
      <c r="P5" s="266" t="n">
        <f aca="false">N5*M5</f>
        <v>161.7</v>
      </c>
      <c r="Q5" s="266"/>
      <c r="R5" s="280" t="str">
        <f aca="false">F5</f>
        <v>BRANCO</v>
      </c>
      <c r="S5" s="96" t="n">
        <v>6000</v>
      </c>
      <c r="T5" s="439" t="n">
        <f aca="false">L38*0.772/1000</f>
        <v>1.0615</v>
      </c>
      <c r="U5" s="439" t="n">
        <f aca="false">M5*3.234</f>
        <v>3.234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79" t="s">
        <v>201</v>
      </c>
      <c r="L6" s="265" t="n">
        <f aca="false">IF(L37&gt;6000,L37/6000,1)</f>
        <v>1</v>
      </c>
      <c r="M6" s="526" t="n">
        <f aca="false">ROUNDUP(L6,0)</f>
        <v>1</v>
      </c>
      <c r="N6" s="266" t="n">
        <f aca="false">0.507*6*K26</f>
        <v>152.1</v>
      </c>
      <c r="O6" s="266"/>
      <c r="P6" s="266" t="n">
        <f aca="false">N6*M6</f>
        <v>152.1</v>
      </c>
      <c r="Q6" s="266"/>
      <c r="R6" s="280" t="str">
        <f aca="false">F5</f>
        <v>BRANCO</v>
      </c>
      <c r="S6" s="96" t="n">
        <v>4600</v>
      </c>
      <c r="T6" s="439" t="n">
        <f aca="false">L39*0.677/1000</f>
        <v>2.81632</v>
      </c>
      <c r="U6" s="439" t="n">
        <f aca="false">M6*3.042</f>
        <v>3.042</v>
      </c>
    </row>
    <row r="7" customFormat="false" ht="27" hidden="false" customHeight="true" outlineLevel="0" collapsed="false">
      <c r="A7" s="271" t="n">
        <v>500</v>
      </c>
      <c r="B7" s="272" t="n">
        <v>1600</v>
      </c>
      <c r="C7" s="272" t="n">
        <v>2100</v>
      </c>
      <c r="D7" s="272" t="n">
        <v>1</v>
      </c>
      <c r="E7" s="276" t="n">
        <f aca="false">(B7*C7)/10^6</f>
        <v>3.36</v>
      </c>
      <c r="F7" s="276"/>
      <c r="G7" s="270"/>
      <c r="H7" s="270"/>
      <c r="I7" s="270"/>
      <c r="J7" s="270"/>
      <c r="K7" s="79" t="s">
        <v>543</v>
      </c>
      <c r="L7" s="265" t="n">
        <f aca="false">IF(L38&gt;6000,L38/6000,1)</f>
        <v>1</v>
      </c>
      <c r="M7" s="526" t="n">
        <f aca="false">ROUNDUP(L7,0)</f>
        <v>1</v>
      </c>
      <c r="N7" s="266" t="n">
        <f aca="false">0.989*6*K26</f>
        <v>296.7</v>
      </c>
      <c r="O7" s="266"/>
      <c r="P7" s="266" t="n">
        <f aca="false">N7*M7</f>
        <v>296.7</v>
      </c>
      <c r="Q7" s="266"/>
      <c r="R7" s="280" t="str">
        <f aca="false">F5</f>
        <v>BRANCO</v>
      </c>
      <c r="S7" s="96" t="n">
        <v>4600</v>
      </c>
      <c r="T7" s="439" t="n">
        <f aca="false">L40*0.507/1000</f>
        <v>2.08884</v>
      </c>
      <c r="U7" s="439" t="n">
        <f aca="false">M7*5.34</f>
        <v>5.34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1680</v>
      </c>
      <c r="D8" s="274"/>
      <c r="E8" s="20" t="s">
        <v>16</v>
      </c>
      <c r="F8" s="39" t="n">
        <f aca="false">D7*3</f>
        <v>3</v>
      </c>
      <c r="G8" s="270"/>
      <c r="H8" s="270"/>
      <c r="I8" s="270"/>
      <c r="J8" s="270"/>
      <c r="K8" s="79" t="s">
        <v>496</v>
      </c>
      <c r="L8" s="265" t="n">
        <f aca="false">IF(L39&gt;6000,L39/6000,1)</f>
        <v>1</v>
      </c>
      <c r="M8" s="526" t="n">
        <f aca="false">ROUNDUP(L8,0)</f>
        <v>1</v>
      </c>
      <c r="N8" s="266" t="n">
        <f aca="false">0.263*6*K26</f>
        <v>78.9</v>
      </c>
      <c r="O8" s="266"/>
      <c r="P8" s="266" t="n">
        <f aca="false">N8*M8</f>
        <v>78.9</v>
      </c>
      <c r="Q8" s="266"/>
      <c r="R8" s="280" t="str">
        <f aca="false">F5</f>
        <v>BRANCO</v>
      </c>
      <c r="S8" s="96" t="n">
        <v>4600</v>
      </c>
      <c r="T8" s="439" t="n">
        <f aca="false">L41*0.512/1000</f>
        <v>2.10944</v>
      </c>
      <c r="U8" s="439" t="n">
        <f aca="false">M8*1.578</f>
        <v>1.578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1680</v>
      </c>
      <c r="D9" s="275"/>
      <c r="E9" s="389" t="n">
        <f aca="false">(B7-243)/3</f>
        <v>452.333333333333</v>
      </c>
      <c r="F9" s="390" t="n">
        <f aca="false">C7-173</f>
        <v>1927</v>
      </c>
      <c r="G9" s="270"/>
      <c r="H9" s="270"/>
      <c r="I9" s="270"/>
      <c r="J9" s="270"/>
      <c r="K9" s="79" t="s">
        <v>598</v>
      </c>
      <c r="L9" s="265" t="n">
        <f aca="false">IF(L40&gt;4600,L40/4600,1)</f>
        <v>1</v>
      </c>
      <c r="M9" s="526" t="n">
        <f aca="false">ROUNDUP(L9,0)</f>
        <v>1</v>
      </c>
      <c r="N9" s="266" t="n">
        <f aca="false">0.688*4.6*K26</f>
        <v>158.24</v>
      </c>
      <c r="O9" s="266"/>
      <c r="P9" s="266" t="n">
        <f aca="false">N9*M9</f>
        <v>158.24</v>
      </c>
      <c r="Q9" s="266"/>
      <c r="R9" s="280" t="str">
        <f aca="false">R8</f>
        <v>BRANCO</v>
      </c>
      <c r="S9" s="96" t="n">
        <v>6000</v>
      </c>
      <c r="T9" s="439" t="n">
        <f aca="false">L42*0.326/1000</f>
        <v>1.34312</v>
      </c>
      <c r="U9" s="439" t="n">
        <f aca="false">M9*3.164</f>
        <v>3.164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79" t="s">
        <v>600</v>
      </c>
      <c r="L10" s="265" t="n">
        <f aca="false">IF(L41&gt;4600,L41/4600,1)</f>
        <v>1</v>
      </c>
      <c r="M10" s="526" t="n">
        <f aca="false">ROUNDUP(L10,0)</f>
        <v>1</v>
      </c>
      <c r="N10" s="277" t="n">
        <f aca="false">0.712*4.6*K26</f>
        <v>163.76</v>
      </c>
      <c r="O10" s="277"/>
      <c r="P10" s="266" t="n">
        <f aca="false">N10*M10</f>
        <v>163.76</v>
      </c>
      <c r="Q10" s="266"/>
      <c r="R10" s="280" t="str">
        <f aca="false">F5</f>
        <v>BRANCO</v>
      </c>
      <c r="S10" s="96" t="n">
        <v>6000</v>
      </c>
      <c r="T10" s="439" t="n">
        <f aca="false">N36*0.326/1000</f>
        <v>0</v>
      </c>
      <c r="U10" s="439" t="n">
        <f aca="false">M10*3.275</f>
        <v>3.275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1574</v>
      </c>
      <c r="G11" s="69"/>
      <c r="H11" s="72" t="s">
        <v>17</v>
      </c>
      <c r="I11" s="72"/>
      <c r="J11" s="72" t="s">
        <v>42</v>
      </c>
      <c r="K11" s="79" t="s">
        <v>599</v>
      </c>
      <c r="L11" s="265" t="n">
        <f aca="false">IF(L42&gt;4600,L42/4600,1)</f>
        <v>1</v>
      </c>
      <c r="M11" s="526" t="n">
        <f aca="false">ROUNDUP(L11,0)</f>
        <v>1</v>
      </c>
      <c r="N11" s="266" t="n">
        <f aca="false">0.743*4.6*K26</f>
        <v>170.89</v>
      </c>
      <c r="O11" s="266"/>
      <c r="P11" s="266" t="n">
        <f aca="false">N11*M11</f>
        <v>170.89</v>
      </c>
      <c r="Q11" s="266"/>
      <c r="R11" s="280" t="str">
        <f aca="false">F5</f>
        <v>BRANCO</v>
      </c>
      <c r="S11" s="96" t="n">
        <v>6000</v>
      </c>
      <c r="T11" s="439" t="n">
        <f aca="false">N37*0.52/1000</f>
        <v>0</v>
      </c>
      <c r="U11" s="439" t="n">
        <f aca="false">M11*3.417</f>
        <v>3.417</v>
      </c>
    </row>
    <row r="12" customFormat="false" ht="25.5" hidden="false" customHeight="true" outlineLevel="0" collapsed="false">
      <c r="A12" s="79" t="s">
        <v>614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1574</v>
      </c>
      <c r="G12" s="97"/>
      <c r="H12" s="83" t="s">
        <v>17</v>
      </c>
      <c r="I12" s="83"/>
      <c r="J12" s="83" t="s">
        <v>42</v>
      </c>
      <c r="K12" s="79" t="s">
        <v>188</v>
      </c>
      <c r="L12" s="265" t="n">
        <f aca="false">IF(L43&gt;6000,L43/6000,1)</f>
        <v>2.36633333333333</v>
      </c>
      <c r="M12" s="526" t="n">
        <f aca="false">ROUNDUP(L12,0)</f>
        <v>3</v>
      </c>
      <c r="N12" s="266" t="n">
        <f aca="false">0.111*6*K26</f>
        <v>33.3</v>
      </c>
      <c r="O12" s="266"/>
      <c r="P12" s="266" t="n">
        <f aca="false">N12*M12</f>
        <v>99.9</v>
      </c>
      <c r="Q12" s="266"/>
      <c r="R12" s="280" t="str">
        <f aca="false">F5</f>
        <v>BRANCO</v>
      </c>
      <c r="S12" s="96" t="n">
        <v>6000</v>
      </c>
      <c r="T12" s="439" t="n">
        <f aca="false">N38*0.48/1000</f>
        <v>0</v>
      </c>
      <c r="U12" s="96" t="n">
        <f aca="false">M12*0.666</f>
        <v>1.998</v>
      </c>
    </row>
    <row r="13" customFormat="false" ht="25.5" hidden="false" customHeight="true" outlineLevel="0" collapsed="false">
      <c r="A13" s="79" t="s">
        <v>495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79" t="s">
        <v>580</v>
      </c>
      <c r="L13" s="265" t="n">
        <f aca="false">IF(L44&gt;6000,L44/6000,1)</f>
        <v>1</v>
      </c>
      <c r="M13" s="526" t="n">
        <f aca="false">ROUNDUP(L13,0)</f>
        <v>1</v>
      </c>
      <c r="N13" s="266" t="n">
        <f aca="false">0.265*6*K26</f>
        <v>79.5</v>
      </c>
      <c r="O13" s="266"/>
      <c r="P13" s="266" t="n">
        <f aca="false">N13*M13</f>
        <v>79.5</v>
      </c>
      <c r="Q13" s="266"/>
      <c r="R13" s="280" t="str">
        <f aca="false">F5</f>
        <v>BRANCO</v>
      </c>
      <c r="S13" s="96" t="n">
        <v>6000</v>
      </c>
      <c r="T13" s="439" t="n">
        <f aca="false">N39*0.534/1000</f>
        <v>0</v>
      </c>
      <c r="U13" s="439" t="n">
        <f aca="false">M13*1.59</f>
        <v>1.59</v>
      </c>
    </row>
    <row r="14" customFormat="false" ht="25.5" hidden="false" customHeight="true" outlineLevel="0" collapsed="false">
      <c r="A14" s="79" t="s">
        <v>201</v>
      </c>
      <c r="B14" s="279" t="s">
        <v>487</v>
      </c>
      <c r="C14" s="279"/>
      <c r="D14" s="279"/>
      <c r="E14" s="24" t="n">
        <f aca="false">D7*3</f>
        <v>3</v>
      </c>
      <c r="F14" s="24" t="n">
        <f aca="false">(B7-225)/3</f>
        <v>458.333333333333</v>
      </c>
      <c r="G14" s="24"/>
      <c r="H14" s="83" t="s">
        <v>17</v>
      </c>
      <c r="I14" s="83"/>
      <c r="J14" s="83" t="s">
        <v>42</v>
      </c>
      <c r="K14" s="47"/>
      <c r="L14" s="281"/>
      <c r="M14" s="526"/>
      <c r="N14" s="266"/>
      <c r="O14" s="266"/>
      <c r="P14" s="25"/>
      <c r="Q14" s="25"/>
      <c r="R14" s="280"/>
      <c r="S14" s="96"/>
      <c r="T14" s="439"/>
      <c r="U14" s="96"/>
    </row>
    <row r="15" customFormat="false" ht="25.5" hidden="false" customHeight="true" outlineLevel="0" collapsed="false">
      <c r="A15" s="79" t="s">
        <v>543</v>
      </c>
      <c r="B15" s="279"/>
      <c r="C15" s="279"/>
      <c r="D15" s="279"/>
      <c r="E15" s="46" t="n">
        <f aca="false">D7*3</f>
        <v>3</v>
      </c>
      <c r="F15" s="24" t="n">
        <f aca="false">(B7-225)/3</f>
        <v>458.333333333333</v>
      </c>
      <c r="G15" s="24"/>
      <c r="H15" s="83" t="s">
        <v>17</v>
      </c>
      <c r="I15" s="83"/>
      <c r="J15" s="83" t="s">
        <v>42</v>
      </c>
      <c r="K15" s="79"/>
      <c r="L15" s="281"/>
      <c r="M15" s="526"/>
      <c r="N15" s="266"/>
      <c r="O15" s="266"/>
      <c r="P15" s="25"/>
      <c r="Q15" s="25"/>
      <c r="R15" s="280"/>
      <c r="S15" s="96"/>
      <c r="T15" s="439"/>
      <c r="U15" s="96"/>
    </row>
    <row r="16" customFormat="false" ht="25.5" hidden="false" customHeight="true" outlineLevel="0" collapsed="false">
      <c r="A16" s="79" t="s">
        <v>496</v>
      </c>
      <c r="B16" s="279"/>
      <c r="C16" s="279"/>
      <c r="D16" s="279"/>
      <c r="E16" s="24" t="n">
        <f aca="false">D7*2</f>
        <v>2</v>
      </c>
      <c r="F16" s="24" t="n">
        <f aca="false">C7-20</f>
        <v>2080</v>
      </c>
      <c r="G16" s="24"/>
      <c r="H16" s="83" t="s">
        <v>18</v>
      </c>
      <c r="I16" s="83"/>
      <c r="J16" s="83" t="s">
        <v>42</v>
      </c>
      <c r="K16" s="83"/>
      <c r="L16" s="281"/>
      <c r="M16" s="154"/>
      <c r="N16" s="266"/>
      <c r="O16" s="266"/>
      <c r="P16" s="25"/>
      <c r="Q16" s="25"/>
      <c r="R16" s="280"/>
      <c r="S16" s="96"/>
      <c r="T16" s="439"/>
      <c r="U16" s="96"/>
    </row>
    <row r="17" customFormat="false" ht="25.5" hidden="false" customHeight="true" outlineLevel="0" collapsed="false">
      <c r="A17" s="79" t="s">
        <v>598</v>
      </c>
      <c r="B17" s="279"/>
      <c r="C17" s="279"/>
      <c r="D17" s="279"/>
      <c r="E17" s="24" t="n">
        <f aca="false">D7*2</f>
        <v>2</v>
      </c>
      <c r="F17" s="24" t="n">
        <f aca="false">C7-40</f>
        <v>2060</v>
      </c>
      <c r="G17" s="24"/>
      <c r="H17" s="83" t="s">
        <v>18</v>
      </c>
      <c r="I17" s="83"/>
      <c r="J17" s="83" t="s">
        <v>42</v>
      </c>
      <c r="K17" s="83"/>
      <c r="L17" s="281"/>
      <c r="M17" s="154"/>
      <c r="N17" s="266"/>
      <c r="O17" s="266"/>
      <c r="P17" s="25"/>
      <c r="Q17" s="25"/>
      <c r="R17" s="280"/>
      <c r="S17" s="96"/>
      <c r="T17" s="439"/>
      <c r="U17" s="96"/>
    </row>
    <row r="18" customFormat="false" ht="25.5" hidden="false" customHeight="true" outlineLevel="0" collapsed="false">
      <c r="A18" s="79" t="s">
        <v>600</v>
      </c>
      <c r="B18" s="279"/>
      <c r="C18" s="279"/>
      <c r="D18" s="279"/>
      <c r="E18" s="24" t="n">
        <f aca="false">D7*2</f>
        <v>2</v>
      </c>
      <c r="F18" s="24" t="n">
        <f aca="false">C7-40</f>
        <v>2060</v>
      </c>
      <c r="G18" s="24"/>
      <c r="H18" s="83" t="s">
        <v>18</v>
      </c>
      <c r="I18" s="83"/>
      <c r="J18" s="83" t="s">
        <v>42</v>
      </c>
      <c r="K18" s="363"/>
      <c r="L18" s="281"/>
      <c r="M18" s="527"/>
      <c r="N18" s="268"/>
      <c r="O18" s="280"/>
      <c r="P18" s="120"/>
      <c r="Q18" s="120"/>
      <c r="R18" s="280"/>
      <c r="S18" s="96"/>
      <c r="T18" s="439"/>
      <c r="U18" s="96"/>
    </row>
    <row r="19" customFormat="false" ht="22.5" hidden="false" customHeight="true" outlineLevel="0" collapsed="false">
      <c r="A19" s="79" t="s">
        <v>599</v>
      </c>
      <c r="B19" s="279"/>
      <c r="C19" s="279"/>
      <c r="D19" s="279"/>
      <c r="E19" s="24" t="n">
        <f aca="false">D7*2</f>
        <v>2</v>
      </c>
      <c r="F19" s="24" t="n">
        <f aca="false">C7-40</f>
        <v>2060</v>
      </c>
      <c r="G19" s="24"/>
      <c r="H19" s="83" t="s">
        <v>18</v>
      </c>
      <c r="I19" s="83"/>
      <c r="J19" s="83" t="s">
        <v>42</v>
      </c>
      <c r="K19" s="96"/>
      <c r="L19" s="283"/>
      <c r="M19" s="527"/>
      <c r="N19" s="268"/>
      <c r="O19" s="280"/>
      <c r="P19" s="120"/>
      <c r="Q19" s="120"/>
      <c r="R19" s="280"/>
      <c r="S19" s="96"/>
      <c r="T19" s="439"/>
      <c r="U19" s="96"/>
    </row>
    <row r="20" customFormat="false" ht="22.5" hidden="false" customHeight="true" outlineLevel="0" collapsed="false">
      <c r="A20" s="79" t="s">
        <v>188</v>
      </c>
      <c r="B20" s="279"/>
      <c r="C20" s="279"/>
      <c r="D20" s="279"/>
      <c r="E20" s="46" t="n">
        <f aca="false">D7*6</f>
        <v>6</v>
      </c>
      <c r="F20" s="24" t="n">
        <f aca="false">(B7-228)/3</f>
        <v>457.333333333333</v>
      </c>
      <c r="G20" s="24"/>
      <c r="H20" s="83" t="s">
        <v>17</v>
      </c>
      <c r="I20" s="83"/>
      <c r="J20" s="83" t="s">
        <v>42</v>
      </c>
      <c r="K20" s="96"/>
      <c r="L20" s="283"/>
      <c r="M20" s="527"/>
      <c r="N20" s="268"/>
      <c r="O20" s="280"/>
      <c r="P20" s="120"/>
      <c r="Q20" s="120"/>
      <c r="R20" s="280"/>
      <c r="S20" s="96"/>
      <c r="T20" s="439"/>
      <c r="U20" s="96"/>
    </row>
    <row r="21" customFormat="false" ht="21" hidden="false" customHeight="true" outlineLevel="0" collapsed="false">
      <c r="A21" s="79" t="s">
        <v>188</v>
      </c>
      <c r="B21" s="80"/>
      <c r="C21" s="80"/>
      <c r="D21" s="80"/>
      <c r="E21" s="46" t="n">
        <f aca="false">D7*6</f>
        <v>6</v>
      </c>
      <c r="F21" s="97" t="n">
        <f aca="false">C7-191</f>
        <v>1909</v>
      </c>
      <c r="G21" s="97"/>
      <c r="H21" s="28" t="s">
        <v>18</v>
      </c>
      <c r="I21" s="28"/>
      <c r="J21" s="83" t="s">
        <v>42</v>
      </c>
      <c r="K21" s="96"/>
      <c r="L21" s="283"/>
      <c r="M21" s="527"/>
      <c r="N21" s="268"/>
      <c r="O21" s="280"/>
      <c r="P21" s="120"/>
      <c r="Q21" s="120"/>
      <c r="R21" s="280"/>
      <c r="S21" s="96"/>
      <c r="T21" s="439"/>
      <c r="U21" s="96"/>
    </row>
    <row r="22" customFormat="false" ht="26.25" hidden="false" customHeight="true" outlineLevel="0" collapsed="false">
      <c r="A22" s="79" t="s">
        <v>580</v>
      </c>
      <c r="B22" s="80"/>
      <c r="C22" s="80"/>
      <c r="D22" s="80"/>
      <c r="E22" s="46" t="n">
        <f aca="false">D7*8</f>
        <v>8</v>
      </c>
      <c r="F22" s="24" t="n">
        <f aca="false">43</f>
        <v>43</v>
      </c>
      <c r="G22" s="24"/>
      <c r="H22" s="83"/>
      <c r="I22" s="83"/>
      <c r="J22" s="83" t="s">
        <v>42</v>
      </c>
      <c r="K22" s="96"/>
      <c r="L22" s="283"/>
      <c r="M22" s="527"/>
      <c r="N22" s="268"/>
      <c r="O22" s="280"/>
      <c r="P22" s="120"/>
      <c r="Q22" s="120"/>
      <c r="R22" s="280"/>
      <c r="S22" s="96"/>
      <c r="T22" s="439"/>
      <c r="U22" s="96"/>
    </row>
    <row r="23" customFormat="false" ht="26.25" hidden="false" customHeight="true" outlineLevel="0" collapsed="false">
      <c r="A23" s="79" t="s">
        <v>580</v>
      </c>
      <c r="B23" s="80"/>
      <c r="C23" s="80"/>
      <c r="D23" s="80"/>
      <c r="E23" s="46" t="n">
        <f aca="false">D7*4</f>
        <v>4</v>
      </c>
      <c r="F23" s="97" t="n">
        <f aca="false">33</f>
        <v>33</v>
      </c>
      <c r="G23" s="97"/>
      <c r="H23" s="83"/>
      <c r="I23" s="83"/>
      <c r="J23" s="83" t="s">
        <v>42</v>
      </c>
      <c r="K23" s="451"/>
      <c r="L23" s="283"/>
      <c r="M23" s="527"/>
      <c r="N23" s="284"/>
      <c r="O23" s="280"/>
      <c r="P23" s="120"/>
      <c r="Q23" s="120"/>
      <c r="R23" s="280"/>
      <c r="S23" s="96"/>
      <c r="T23" s="439"/>
      <c r="U23" s="96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452"/>
      <c r="L24" s="286"/>
      <c r="M24" s="404"/>
      <c r="N24" s="285"/>
      <c r="O24" s="288"/>
      <c r="P24" s="209"/>
      <c r="Q24" s="209"/>
      <c r="R24" s="288"/>
      <c r="S24" s="290"/>
      <c r="T24" s="292"/>
      <c r="U24" s="290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15.060495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K26" s="410" t="n">
        <v>50</v>
      </c>
      <c r="L26" s="410" t="n">
        <v>100</v>
      </c>
      <c r="M26" s="302" t="n">
        <f aca="false">U25*L26</f>
        <v>1506.0495</v>
      </c>
      <c r="N26" s="302"/>
      <c r="O26" s="303" t="n">
        <v>0.1</v>
      </c>
      <c r="P26" s="85" t="n">
        <f aca="false">K30*O26+K30</f>
        <v>828.327225</v>
      </c>
      <c r="Q26" s="85"/>
      <c r="R26" s="85"/>
      <c r="S26" s="181" t="s">
        <v>131</v>
      </c>
      <c r="T26" s="181"/>
      <c r="U26" s="294" t="n">
        <f aca="false">SUM(U3:U24)</f>
        <v>38.494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23.433505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1924.7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753.02475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  <c r="K34" s="387" t="s">
        <v>493</v>
      </c>
      <c r="L34" s="133" t="n">
        <f aca="false">F11*E11</f>
        <v>1574</v>
      </c>
      <c r="M34" s="109"/>
      <c r="N34" s="93"/>
      <c r="O34" s="93"/>
      <c r="P34" s="93"/>
    </row>
    <row r="35" customFormat="false" ht="15" hidden="false" customHeight="true" outlineLevel="0" collapsed="false">
      <c r="A35" s="104" t="s">
        <v>51</v>
      </c>
      <c r="B35" s="20" t="s">
        <v>26</v>
      </c>
      <c r="C35" s="20"/>
      <c r="D35" s="20"/>
      <c r="E35" s="20"/>
      <c r="F35" s="20"/>
      <c r="G35" s="20"/>
      <c r="H35" s="106" t="s">
        <v>5</v>
      </c>
      <c r="I35" s="20" t="s">
        <v>207</v>
      </c>
      <c r="J35" s="20"/>
      <c r="K35" s="387" t="s">
        <v>614</v>
      </c>
      <c r="L35" s="133" t="n">
        <f aca="false">F12*E12</f>
        <v>1574</v>
      </c>
      <c r="M35" s="109"/>
      <c r="N35" s="93"/>
      <c r="O35" s="93"/>
      <c r="P35" s="93"/>
    </row>
    <row r="36" customFormat="false" ht="27" hidden="false" customHeight="true" outlineLevel="0" collapsed="false">
      <c r="A36" s="313" t="s">
        <v>605</v>
      </c>
      <c r="B36" s="314" t="s">
        <v>641</v>
      </c>
      <c r="C36" s="314"/>
      <c r="D36" s="314"/>
      <c r="E36" s="314"/>
      <c r="F36" s="314"/>
      <c r="G36" s="314"/>
      <c r="H36" s="397" t="s">
        <v>64</v>
      </c>
      <c r="I36" s="72" t="n">
        <f aca="false">D7*2</f>
        <v>2</v>
      </c>
      <c r="J36" s="72"/>
      <c r="K36" s="387" t="s">
        <v>495</v>
      </c>
      <c r="L36" s="133" t="n">
        <f aca="false">F13*E13</f>
        <v>4200</v>
      </c>
      <c r="M36" s="387"/>
      <c r="N36" s="94"/>
      <c r="O36" s="93"/>
      <c r="P36" s="93"/>
    </row>
    <row r="37" customFormat="false" ht="27" hidden="false" customHeight="true" outlineLevel="0" collapsed="false">
      <c r="A37" s="319" t="s">
        <v>550</v>
      </c>
      <c r="B37" s="320" t="s">
        <v>642</v>
      </c>
      <c r="C37" s="320"/>
      <c r="D37" s="320"/>
      <c r="E37" s="320"/>
      <c r="F37" s="320"/>
      <c r="G37" s="320"/>
      <c r="H37" s="96" t="s">
        <v>64</v>
      </c>
      <c r="I37" s="83" t="n">
        <f aca="false">D7*6</f>
        <v>6</v>
      </c>
      <c r="J37" s="83"/>
      <c r="K37" s="387" t="s">
        <v>201</v>
      </c>
      <c r="L37" s="133" t="n">
        <f aca="false">F14*E14</f>
        <v>1375</v>
      </c>
      <c r="M37" s="387"/>
      <c r="N37" s="94"/>
      <c r="O37" s="93"/>
      <c r="P37" s="93"/>
    </row>
    <row r="38" customFormat="false" ht="23.25" hidden="false" customHeight="true" outlineLevel="0" collapsed="false">
      <c r="A38" s="319" t="s">
        <v>504</v>
      </c>
      <c r="B38" s="320" t="s">
        <v>226</v>
      </c>
      <c r="C38" s="320"/>
      <c r="D38" s="320"/>
      <c r="E38" s="320"/>
      <c r="F38" s="320"/>
      <c r="G38" s="320"/>
      <c r="H38" s="96" t="s">
        <v>64</v>
      </c>
      <c r="I38" s="83" t="n">
        <f aca="false">D7*2</f>
        <v>2</v>
      </c>
      <c r="J38" s="83"/>
      <c r="K38" s="387" t="s">
        <v>543</v>
      </c>
      <c r="L38" s="133" t="n">
        <f aca="false">F15*E15</f>
        <v>1375</v>
      </c>
      <c r="M38" s="387"/>
      <c r="N38" s="94"/>
      <c r="O38" s="93"/>
      <c r="P38" s="93"/>
    </row>
    <row r="39" customFormat="false" ht="23.25" hidden="false" customHeight="true" outlineLevel="0" collapsed="false">
      <c r="A39" s="319" t="s">
        <v>507</v>
      </c>
      <c r="B39" s="320" t="s">
        <v>230</v>
      </c>
      <c r="C39" s="320"/>
      <c r="D39" s="320"/>
      <c r="E39" s="320"/>
      <c r="F39" s="320"/>
      <c r="G39" s="320"/>
      <c r="H39" s="96" t="s">
        <v>64</v>
      </c>
      <c r="I39" s="428" t="n">
        <f aca="false">D7*2</f>
        <v>2</v>
      </c>
      <c r="J39" s="428"/>
      <c r="K39" s="387" t="s">
        <v>496</v>
      </c>
      <c r="L39" s="133" t="n">
        <f aca="false">F16*E16</f>
        <v>4160</v>
      </c>
      <c r="M39" s="387"/>
      <c r="N39" s="94"/>
      <c r="O39" s="93"/>
      <c r="P39" s="93"/>
    </row>
    <row r="40" customFormat="false" ht="23.25" hidden="false" customHeight="true" outlineLevel="0" collapsed="false">
      <c r="A40" s="319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428" t="n">
        <f aca="false">C7*4*D7</f>
        <v>8400</v>
      </c>
      <c r="J40" s="428"/>
      <c r="K40" s="387" t="s">
        <v>598</v>
      </c>
      <c r="L40" s="133" t="n">
        <f aca="false">F17*E17</f>
        <v>4120</v>
      </c>
      <c r="M40" s="387"/>
      <c r="N40" s="94"/>
      <c r="O40" s="93"/>
      <c r="P40" s="93"/>
    </row>
    <row r="41" customFormat="false" ht="23.25" hidden="false" customHeight="true" outlineLevel="0" collapsed="false">
      <c r="A41" s="319" t="s">
        <v>643</v>
      </c>
      <c r="B41" s="320" t="s">
        <v>644</v>
      </c>
      <c r="C41" s="320"/>
      <c r="D41" s="320"/>
      <c r="E41" s="320"/>
      <c r="F41" s="320"/>
      <c r="G41" s="320"/>
      <c r="H41" s="96" t="s">
        <v>64</v>
      </c>
      <c r="I41" s="83" t="n">
        <f aca="false">D7*2</f>
        <v>2</v>
      </c>
      <c r="J41" s="83"/>
      <c r="K41" s="387" t="s">
        <v>600</v>
      </c>
      <c r="L41" s="133" t="n">
        <f aca="false">F18*E18</f>
        <v>4120</v>
      </c>
      <c r="M41" s="387"/>
      <c r="N41" s="94"/>
      <c r="O41" s="93"/>
      <c r="P41" s="93"/>
    </row>
    <row r="42" customFormat="false" ht="23.25" hidden="false" customHeight="true" outlineLevel="0" collapsed="false">
      <c r="A42" s="319" t="s">
        <v>515</v>
      </c>
      <c r="B42" s="320" t="s">
        <v>583</v>
      </c>
      <c r="C42" s="320"/>
      <c r="D42" s="320"/>
      <c r="E42" s="320"/>
      <c r="F42" s="320"/>
      <c r="G42" s="320"/>
      <c r="H42" s="96" t="s">
        <v>46</v>
      </c>
      <c r="I42" s="83" t="n">
        <f aca="false">D7*2*D7</f>
        <v>2</v>
      </c>
      <c r="J42" s="83"/>
      <c r="K42" s="387" t="s">
        <v>599</v>
      </c>
      <c r="L42" s="133" t="n">
        <f aca="false">F19*E19</f>
        <v>4120</v>
      </c>
      <c r="M42" s="387"/>
      <c r="N42" s="94"/>
      <c r="O42" s="93"/>
      <c r="P42" s="93"/>
    </row>
    <row r="43" customFormat="false" ht="23.25" hidden="false" customHeight="true" outlineLevel="0" collapsed="false">
      <c r="A43" s="319" t="s">
        <v>517</v>
      </c>
      <c r="B43" s="320" t="s">
        <v>584</v>
      </c>
      <c r="C43" s="320"/>
      <c r="D43" s="320"/>
      <c r="E43" s="320"/>
      <c r="F43" s="320"/>
      <c r="G43" s="320"/>
      <c r="H43" s="96" t="s">
        <v>46</v>
      </c>
      <c r="I43" s="428" t="n">
        <f aca="false">B7*4*D7</f>
        <v>6400</v>
      </c>
      <c r="J43" s="428"/>
      <c r="K43" s="387" t="s">
        <v>188</v>
      </c>
      <c r="L43" s="133" t="n">
        <f aca="false">F20*E20+E21*F21</f>
        <v>14198</v>
      </c>
      <c r="M43" s="387"/>
      <c r="N43" s="93"/>
      <c r="O43" s="93"/>
      <c r="P43" s="93"/>
    </row>
    <row r="44" customFormat="false" ht="23.25" hidden="false" customHeight="true" outlineLevel="0" collapsed="false">
      <c r="A44" s="319" t="s">
        <v>505</v>
      </c>
      <c r="B44" s="480" t="s">
        <v>645</v>
      </c>
      <c r="C44" s="480"/>
      <c r="D44" s="480"/>
      <c r="E44" s="480"/>
      <c r="F44" s="480"/>
      <c r="G44" s="480"/>
      <c r="H44" s="96" t="s">
        <v>64</v>
      </c>
      <c r="I44" s="120" t="n">
        <f aca="false">D7*12</f>
        <v>12</v>
      </c>
      <c r="J44" s="120"/>
      <c r="K44" s="387" t="s">
        <v>580</v>
      </c>
      <c r="L44" s="133" t="n">
        <f aca="false">F22*E22+E23*F23</f>
        <v>476</v>
      </c>
      <c r="M44" s="387"/>
      <c r="N44" s="94"/>
      <c r="O44" s="93"/>
      <c r="P44" s="93"/>
    </row>
    <row r="45" customFormat="false" ht="23.25" hidden="false" customHeight="true" outlineLevel="0" collapsed="false">
      <c r="A45" s="319" t="s">
        <v>508</v>
      </c>
      <c r="B45" s="320" t="s">
        <v>646</v>
      </c>
      <c r="C45" s="320"/>
      <c r="D45" s="320"/>
      <c r="E45" s="320"/>
      <c r="F45" s="320"/>
      <c r="G45" s="320"/>
      <c r="H45" s="96" t="s">
        <v>64</v>
      </c>
      <c r="I45" s="428" t="n">
        <f aca="false">D7*4</f>
        <v>4</v>
      </c>
      <c r="J45" s="428"/>
      <c r="K45" s="109"/>
      <c r="L45" s="109"/>
      <c r="M45" s="109"/>
      <c r="N45" s="93"/>
      <c r="O45" s="93"/>
      <c r="P45" s="93"/>
    </row>
    <row r="46" customFormat="false" ht="23.25" hidden="false" customHeight="true" outlineLevel="0" collapsed="false">
      <c r="A46" s="319" t="s">
        <v>510</v>
      </c>
      <c r="B46" s="480" t="s">
        <v>647</v>
      </c>
      <c r="C46" s="480"/>
      <c r="D46" s="480"/>
      <c r="E46" s="480"/>
      <c r="F46" s="480"/>
      <c r="G46" s="480"/>
      <c r="H46" s="96" t="s">
        <v>64</v>
      </c>
      <c r="I46" s="428" t="n">
        <f aca="false">D7*12</f>
        <v>12</v>
      </c>
      <c r="J46" s="428"/>
      <c r="K46" s="93"/>
      <c r="L46" s="93"/>
      <c r="M46" s="93"/>
      <c r="N46" s="93"/>
      <c r="O46" s="93"/>
      <c r="P46" s="93"/>
    </row>
    <row r="47" customFormat="false" ht="23.25" hidden="false" customHeight="true" outlineLevel="0" collapsed="false">
      <c r="A47" s="319" t="s">
        <v>648</v>
      </c>
      <c r="B47" s="480" t="s">
        <v>649</v>
      </c>
      <c r="C47" s="480"/>
      <c r="D47" s="480"/>
      <c r="E47" s="480"/>
      <c r="F47" s="480"/>
      <c r="G47" s="480"/>
      <c r="H47" s="96" t="s">
        <v>64</v>
      </c>
      <c r="I47" s="83" t="n">
        <f aca="false">D7*18</f>
        <v>18</v>
      </c>
      <c r="J47" s="83"/>
    </row>
    <row r="48" customFormat="false" ht="23.25" hidden="false" customHeight="true" outlineLevel="0" collapsed="false">
      <c r="A48" s="528" t="s">
        <v>608</v>
      </c>
      <c r="B48" s="480" t="s">
        <v>650</v>
      </c>
      <c r="C48" s="480"/>
      <c r="D48" s="480"/>
      <c r="E48" s="480"/>
      <c r="F48" s="480"/>
      <c r="G48" s="480"/>
      <c r="H48" s="26" t="s">
        <v>64</v>
      </c>
      <c r="I48" s="120" t="n">
        <f aca="false">D7*6</f>
        <v>6</v>
      </c>
      <c r="J48" s="120"/>
    </row>
    <row r="49" customFormat="false" ht="23.25" hidden="false" customHeight="true" outlineLevel="0" collapsed="false">
      <c r="A49" s="506"/>
      <c r="B49" s="483"/>
      <c r="C49" s="483"/>
      <c r="D49" s="483"/>
      <c r="E49" s="483"/>
      <c r="F49" s="483"/>
      <c r="G49" s="483"/>
      <c r="H49" s="290"/>
      <c r="I49" s="103"/>
      <c r="J49" s="103"/>
    </row>
    <row r="50" customFormat="false" ht="23.25" hidden="false" customHeight="true" outlineLevel="0" collapsed="false">
      <c r="A50" s="296"/>
      <c r="B50" s="296"/>
      <c r="C50" s="296"/>
      <c r="D50" s="296"/>
      <c r="E50" s="296"/>
      <c r="F50" s="296"/>
      <c r="G50" s="296"/>
      <c r="H50" s="296"/>
      <c r="I50" s="296"/>
      <c r="J50" s="296"/>
    </row>
    <row r="51" customFormat="false" ht="21" hidden="false" customHeight="true" outlineLevel="0" collapsed="false"/>
    <row r="52" customFormat="false" ht="23.25" hidden="false" customHeight="true" outlineLevel="0" collapsed="false">
      <c r="K52" s="109"/>
      <c r="L52" s="109"/>
    </row>
    <row r="53" customFormat="false" ht="23.25" hidden="false" customHeight="true" outlineLevel="0" collapsed="false"/>
    <row r="54" customFormat="false" ht="19.5" hidden="false" customHeight="true" outlineLevel="0" collapsed="false"/>
    <row r="55" customFormat="false" ht="21" hidden="false" customHeight="true" outlineLevel="0" collapsed="false"/>
    <row r="64" customFormat="false" ht="15" hidden="false" customHeight="false" outlineLevel="0" collapsed="false">
      <c r="C64" s="1" t="s">
        <v>23</v>
      </c>
    </row>
  </sheetData>
  <mergeCells count="15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9" min="9" style="1" width="8.42"/>
    <col collapsed="false" customWidth="true" hidden="false" outlineLevel="0" max="10" min="10" style="1" width="5.71"/>
    <col collapsed="false" customWidth="true" hidden="false" outlineLevel="0" max="11" min="11" style="1" width="8.29"/>
    <col collapsed="false" customWidth="true" hidden="false" outlineLevel="0" max="12" min="12" style="1" width="9.14"/>
    <col collapsed="false" customWidth="true" hidden="false" outlineLevel="0" max="13" min="13" style="1" width="7.86"/>
    <col collapsed="false" customWidth="true" hidden="false" outlineLevel="0" max="15" min="15" style="1" width="4.14"/>
    <col collapsed="false" customWidth="true" hidden="false" outlineLevel="0" max="16" min="16" style="1" width="10.71"/>
    <col collapsed="false" customWidth="true" hidden="false" outlineLevel="0" max="17" min="17" style="1" width="5.14"/>
    <col collapsed="false" customWidth="true" hidden="false" outlineLevel="0" max="18" min="18" style="1" width="10.71"/>
    <col collapsed="false" customWidth="true" hidden="false" outlineLevel="0" max="19" min="19" style="1" width="8.42"/>
  </cols>
  <sheetData>
    <row r="1" customFormat="false" ht="20.25" hidden="false" customHeight="true" outlineLevel="0" collapsed="false">
      <c r="A1" s="2" t="s">
        <v>651</v>
      </c>
      <c r="B1" s="2"/>
      <c r="C1" s="2"/>
      <c r="D1" s="2"/>
      <c r="E1" s="2"/>
      <c r="F1" s="2"/>
      <c r="G1" s="2"/>
      <c r="H1" s="222" t="s">
        <v>1</v>
      </c>
      <c r="I1" s="222"/>
      <c r="J1" s="222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22"/>
      <c r="I2" s="222"/>
      <c r="J2" s="222"/>
      <c r="K2" s="521" t="s">
        <v>4</v>
      </c>
      <c r="L2" s="521"/>
      <c r="M2" s="529" t="s">
        <v>5</v>
      </c>
      <c r="N2" s="529" t="s">
        <v>6</v>
      </c>
      <c r="O2" s="529"/>
      <c r="P2" s="529" t="s">
        <v>7</v>
      </c>
      <c r="Q2" s="529"/>
      <c r="R2" s="529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22"/>
      <c r="I3" s="222"/>
      <c r="J3" s="222"/>
      <c r="K3" s="393" t="str">
        <f aca="false">A11</f>
        <v>SU-079</v>
      </c>
      <c r="L3" s="394" t="n">
        <f aca="false">IF(K34&gt;6000,K34/6000,1)</f>
        <v>1</v>
      </c>
      <c r="M3" s="459" t="n">
        <f aca="false">ROUNDUP(L3,0)</f>
        <v>1</v>
      </c>
      <c r="N3" s="259" t="n">
        <f aca="false">0.341*6*K13</f>
        <v>102.3</v>
      </c>
      <c r="O3" s="259"/>
      <c r="P3" s="530" t="n">
        <f aca="false">N3*M3</f>
        <v>102.3</v>
      </c>
      <c r="Q3" s="530"/>
      <c r="R3" s="531" t="str">
        <f aca="false">F5</f>
        <v>BRANCO</v>
      </c>
      <c r="S3" s="425" t="n">
        <v>6000</v>
      </c>
      <c r="T3" s="440" t="n">
        <f aca="false">K34*0.341/1000</f>
        <v>0.682</v>
      </c>
      <c r="U3" s="440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1"/>
      <c r="G4" s="21"/>
      <c r="H4" s="222"/>
      <c r="I4" s="222"/>
      <c r="J4" s="222"/>
      <c r="K4" s="207" t="str">
        <f aca="false">A13</f>
        <v>SU-103</v>
      </c>
      <c r="L4" s="400" t="n">
        <f aca="false">IF(K35&gt;6000,K35/6000,1)</f>
        <v>1</v>
      </c>
      <c r="M4" s="461" t="n">
        <f aca="false">ROUNDUP(L4,0)</f>
        <v>1</v>
      </c>
      <c r="N4" s="266" t="n">
        <f aca="false">0.14*6*K13</f>
        <v>42</v>
      </c>
      <c r="O4" s="266"/>
      <c r="P4" s="532" t="n">
        <f aca="false">N4*M4</f>
        <v>42</v>
      </c>
      <c r="Q4" s="532"/>
      <c r="R4" s="363" t="str">
        <f aca="false">F5</f>
        <v>BRANCO</v>
      </c>
      <c r="S4" s="280" t="n">
        <v>6000</v>
      </c>
      <c r="T4" s="439" t="n">
        <f aca="false">K35*0.14/1000</f>
        <v>0.2492</v>
      </c>
      <c r="U4" s="439" t="n">
        <f aca="false">M4*0.84</f>
        <v>0.84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22"/>
      <c r="I5" s="222"/>
      <c r="J5" s="222"/>
      <c r="K5" s="207" t="s">
        <v>652</v>
      </c>
      <c r="L5" s="400" t="n">
        <f aca="false">IF(K33&gt;6000,K33/6000,1)</f>
        <v>1</v>
      </c>
      <c r="M5" s="533" t="n">
        <f aca="false">ROUNDUP(L5,0)</f>
        <v>1</v>
      </c>
      <c r="N5" s="266" t="n">
        <f aca="false">0.268*6*K13</f>
        <v>80.4</v>
      </c>
      <c r="O5" s="266"/>
      <c r="P5" s="532" t="n">
        <f aca="false">N5*M5</f>
        <v>80.4</v>
      </c>
      <c r="Q5" s="532"/>
      <c r="R5" s="363" t="str">
        <f aca="false">F5</f>
        <v>BRANCO</v>
      </c>
      <c r="S5" s="280" t="n">
        <v>6000</v>
      </c>
      <c r="T5" s="534" t="n">
        <f aca="false">K33*0.268/1000</f>
        <v>0.945146666666667</v>
      </c>
      <c r="U5" s="439" t="n">
        <f aca="false">M5*1.608</f>
        <v>1.608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207"/>
      <c r="L6" s="400"/>
      <c r="M6" s="461"/>
      <c r="N6" s="266"/>
      <c r="O6" s="266"/>
      <c r="P6" s="532"/>
      <c r="Q6" s="532"/>
      <c r="R6" s="363"/>
      <c r="S6" s="280"/>
      <c r="T6" s="439"/>
      <c r="U6" s="439"/>
    </row>
    <row r="7" customFormat="false" ht="27" hidden="false" customHeight="true" outlineLevel="0" collapsed="false">
      <c r="A7" s="271" t="n">
        <v>600</v>
      </c>
      <c r="B7" s="272" t="n">
        <v>500</v>
      </c>
      <c r="C7" s="272" t="n">
        <v>500</v>
      </c>
      <c r="D7" s="272" t="n">
        <v>1</v>
      </c>
      <c r="E7" s="276" t="n">
        <f aca="false">(B7*C7)/10^6</f>
        <v>0.25</v>
      </c>
      <c r="F7" s="276"/>
      <c r="G7" s="270"/>
      <c r="H7" s="270"/>
      <c r="I7" s="270"/>
      <c r="J7" s="270"/>
      <c r="K7" s="116"/>
      <c r="L7" s="400"/>
      <c r="M7" s="461"/>
      <c r="N7" s="266"/>
      <c r="O7" s="266"/>
      <c r="P7" s="532"/>
      <c r="Q7" s="532"/>
      <c r="R7" s="363"/>
      <c r="S7" s="280"/>
      <c r="T7" s="439"/>
      <c r="U7" s="439"/>
    </row>
    <row r="8" customFormat="false" ht="24" hidden="false" customHeight="true" outlineLevel="0" collapsed="false">
      <c r="A8" s="104" t="s">
        <v>120</v>
      </c>
      <c r="B8" s="104"/>
      <c r="C8" s="535" t="n">
        <f aca="false">E7*A7</f>
        <v>150</v>
      </c>
      <c r="D8" s="535"/>
      <c r="E8" s="20" t="s">
        <v>16</v>
      </c>
      <c r="F8" s="39" t="n">
        <f aca="false">D7*1</f>
        <v>1</v>
      </c>
      <c r="G8" s="270"/>
      <c r="H8" s="270"/>
      <c r="I8" s="270"/>
      <c r="J8" s="270"/>
      <c r="K8" s="207"/>
      <c r="L8" s="400"/>
      <c r="M8" s="332"/>
      <c r="N8" s="266"/>
      <c r="O8" s="266"/>
      <c r="P8" s="532"/>
      <c r="Q8" s="532"/>
      <c r="R8" s="363"/>
      <c r="S8" s="280"/>
      <c r="T8" s="399"/>
      <c r="U8" s="399"/>
    </row>
    <row r="9" customFormat="false" ht="26.25" hidden="false" customHeight="true" outlineLevel="0" collapsed="false">
      <c r="A9" s="104" t="s">
        <v>122</v>
      </c>
      <c r="B9" s="104"/>
      <c r="C9" s="536" t="n">
        <f aca="false">C8*D7</f>
        <v>150</v>
      </c>
      <c r="D9" s="536"/>
      <c r="E9" s="537" t="n">
        <f aca="false">B7-46</f>
        <v>454</v>
      </c>
      <c r="F9" s="401" t="n">
        <f aca="false">C7-46</f>
        <v>454</v>
      </c>
      <c r="G9" s="270"/>
      <c r="H9" s="270"/>
      <c r="I9" s="270"/>
      <c r="J9" s="270"/>
      <c r="K9" s="207"/>
      <c r="L9" s="400"/>
      <c r="M9" s="332"/>
      <c r="N9" s="266"/>
      <c r="O9" s="266"/>
      <c r="P9" s="532"/>
      <c r="Q9" s="532"/>
      <c r="R9" s="363"/>
      <c r="S9" s="280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538" t="s">
        <v>30</v>
      </c>
      <c r="K10" s="207"/>
      <c r="L10" s="400"/>
      <c r="M10" s="332"/>
      <c r="N10" s="52"/>
      <c r="O10" s="23"/>
      <c r="P10" s="532"/>
      <c r="Q10" s="532"/>
      <c r="R10" s="363"/>
      <c r="S10" s="280"/>
      <c r="T10" s="399"/>
      <c r="U10" s="399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500</v>
      </c>
      <c r="G11" s="69"/>
      <c r="H11" s="71" t="s">
        <v>17</v>
      </c>
      <c r="I11" s="71"/>
      <c r="J11" s="72" t="s">
        <v>33</v>
      </c>
      <c r="K11" s="139"/>
      <c r="L11" s="403"/>
      <c r="M11" s="539"/>
      <c r="N11" s="406"/>
      <c r="O11" s="406"/>
      <c r="P11" s="540"/>
      <c r="Q11" s="540"/>
      <c r="R11" s="383"/>
      <c r="S11" s="382"/>
      <c r="T11" s="402"/>
      <c r="U11" s="402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500</v>
      </c>
      <c r="G12" s="97"/>
      <c r="H12" s="82" t="s">
        <v>18</v>
      </c>
      <c r="I12" s="82"/>
      <c r="J12" s="83" t="s">
        <v>33</v>
      </c>
      <c r="K12" s="541" t="s">
        <v>656</v>
      </c>
      <c r="L12" s="541"/>
      <c r="M12" s="542" t="s">
        <v>657</v>
      </c>
      <c r="N12" s="542"/>
      <c r="O12" s="77" t="s">
        <v>658</v>
      </c>
      <c r="P12" s="77"/>
      <c r="Q12" s="73" t="s">
        <v>659</v>
      </c>
      <c r="R12" s="73"/>
      <c r="S12" s="73" t="s">
        <v>130</v>
      </c>
      <c r="T12" s="73"/>
      <c r="U12" s="402" t="n">
        <f aca="false">T3+T4+T5+T6+T7</f>
        <v>1.87634666666667</v>
      </c>
    </row>
    <row r="13" customFormat="false" ht="25.5" hidden="false" customHeight="true" outlineLevel="0" collapsed="false">
      <c r="A13" s="79" t="s">
        <v>660</v>
      </c>
      <c r="B13" s="80" t="s">
        <v>203</v>
      </c>
      <c r="C13" s="80"/>
      <c r="D13" s="80"/>
      <c r="E13" s="46" t="n">
        <f aca="false">D7*2</f>
        <v>2</v>
      </c>
      <c r="F13" s="97" t="n">
        <f aca="false">B7-40</f>
        <v>460</v>
      </c>
      <c r="G13" s="97"/>
      <c r="H13" s="82" t="s">
        <v>17</v>
      </c>
      <c r="I13" s="82"/>
      <c r="J13" s="83" t="s">
        <v>42</v>
      </c>
      <c r="K13" s="84" t="n">
        <v>50</v>
      </c>
      <c r="L13" s="84"/>
      <c r="M13" s="84" t="n">
        <v>100</v>
      </c>
      <c r="N13" s="84"/>
      <c r="O13" s="543" t="n">
        <f aca="false">U12*M13</f>
        <v>187.634666666667</v>
      </c>
      <c r="P13" s="543"/>
      <c r="Q13" s="543" t="n">
        <f aca="false">K17*R14+K17</f>
        <v>150.107733333333</v>
      </c>
      <c r="R13" s="543"/>
      <c r="S13" s="73" t="s">
        <v>131</v>
      </c>
      <c r="T13" s="73"/>
      <c r="U13" s="409" t="n">
        <f aca="false">SUM(U3:U11)</f>
        <v>4.494</v>
      </c>
    </row>
    <row r="14" customFormat="false" ht="25.5" hidden="false" customHeight="true" outlineLevel="0" collapsed="false">
      <c r="A14" s="79" t="s">
        <v>660</v>
      </c>
      <c r="B14" s="80" t="s">
        <v>203</v>
      </c>
      <c r="C14" s="80"/>
      <c r="D14" s="80"/>
      <c r="E14" s="46" t="n">
        <f aca="false">D7*2</f>
        <v>2</v>
      </c>
      <c r="F14" s="97" t="n">
        <f aca="false">C7-70</f>
        <v>430</v>
      </c>
      <c r="G14" s="97"/>
      <c r="H14" s="82" t="s">
        <v>17</v>
      </c>
      <c r="I14" s="82"/>
      <c r="J14" s="83" t="s">
        <v>42</v>
      </c>
      <c r="K14" s="73" t="s">
        <v>195</v>
      </c>
      <c r="L14" s="73"/>
      <c r="M14" s="296"/>
      <c r="N14" s="296"/>
      <c r="O14" s="230" t="s">
        <v>661</v>
      </c>
      <c r="P14" s="230"/>
      <c r="Q14" s="230"/>
      <c r="R14" s="544" t="n">
        <v>0.6</v>
      </c>
      <c r="S14" s="181" t="s">
        <v>132</v>
      </c>
      <c r="T14" s="181"/>
      <c r="U14" s="402" t="n">
        <f aca="false">U13-U12</f>
        <v>2.61765333333333</v>
      </c>
    </row>
    <row r="15" customFormat="false" ht="25.5" hidden="false" customHeight="true" outlineLevel="0" collapsed="false">
      <c r="A15" s="79" t="s">
        <v>652</v>
      </c>
      <c r="B15" s="80" t="s">
        <v>272</v>
      </c>
      <c r="C15" s="80"/>
      <c r="D15" s="80"/>
      <c r="E15" s="24" t="n">
        <f aca="false">(C7-40)/60*D7</f>
        <v>7.66666666666667</v>
      </c>
      <c r="F15" s="97" t="n">
        <f aca="false">B7-40</f>
        <v>460</v>
      </c>
      <c r="G15" s="97"/>
      <c r="H15" s="82" t="s">
        <v>17</v>
      </c>
      <c r="I15" s="82"/>
      <c r="J15" s="83" t="s">
        <v>42</v>
      </c>
      <c r="K15" s="84" t="n">
        <f aca="false">U13*K13</f>
        <v>224.7</v>
      </c>
      <c r="L15" s="84"/>
      <c r="M15" s="296"/>
      <c r="N15" s="296"/>
      <c r="O15" s="296"/>
      <c r="P15" s="545"/>
      <c r="Q15" s="296"/>
      <c r="R15" s="296"/>
      <c r="S15" s="296"/>
      <c r="T15" s="331"/>
      <c r="U15" s="331"/>
    </row>
    <row r="16" customFormat="false" ht="25.5" hidden="false" customHeight="true" outlineLevel="0" collapsed="false">
      <c r="A16" s="79"/>
      <c r="B16" s="80"/>
      <c r="C16" s="80"/>
      <c r="D16" s="80"/>
      <c r="E16" s="46"/>
      <c r="F16" s="97"/>
      <c r="G16" s="97"/>
      <c r="H16" s="82"/>
      <c r="I16" s="82"/>
      <c r="J16" s="83"/>
      <c r="K16" s="73" t="s">
        <v>199</v>
      </c>
      <c r="L16" s="73"/>
      <c r="P16" s="88"/>
      <c r="R16" s="88"/>
    </row>
    <row r="17" customFormat="false" ht="25.5" hidden="false" customHeight="true" outlineLevel="0" collapsed="false">
      <c r="A17" s="79"/>
      <c r="B17" s="80"/>
      <c r="C17" s="80"/>
      <c r="D17" s="80"/>
      <c r="E17" s="46"/>
      <c r="F17" s="24"/>
      <c r="G17" s="24"/>
      <c r="H17" s="82"/>
      <c r="I17" s="82"/>
      <c r="J17" s="83"/>
      <c r="K17" s="546" t="n">
        <f aca="false">U12*K13</f>
        <v>93.8173333333333</v>
      </c>
      <c r="L17" s="546"/>
    </row>
    <row r="18" customFormat="false" ht="25.5" hidden="false" customHeight="true" outlineLevel="0" collapsed="false">
      <c r="A18" s="79"/>
      <c r="B18" s="80"/>
      <c r="C18" s="80"/>
      <c r="D18" s="80"/>
      <c r="E18" s="46"/>
      <c r="F18" s="24"/>
      <c r="G18" s="24"/>
      <c r="H18" s="82"/>
      <c r="I18" s="82"/>
      <c r="J18" s="83"/>
    </row>
    <row r="19" customFormat="false" ht="27" hidden="false" customHeight="true" outlineLevel="0" collapsed="false">
      <c r="A19" s="99"/>
      <c r="B19" s="100"/>
      <c r="C19" s="100"/>
      <c r="D19" s="100"/>
      <c r="E19" s="55"/>
      <c r="F19" s="246"/>
      <c r="G19" s="246"/>
      <c r="H19" s="102"/>
      <c r="I19" s="102"/>
      <c r="J19" s="103"/>
    </row>
    <row r="20" customFormat="false" ht="15.75" hidden="false" customHeight="false" outlineLevel="0" collapsed="false">
      <c r="A20" s="52"/>
      <c r="I20" s="109"/>
      <c r="J20" s="547" t="n">
        <f aca="false">B7-93</f>
        <v>407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  <c r="K21" s="109"/>
      <c r="L21" s="109"/>
      <c r="M21" s="109"/>
      <c r="N21" s="109"/>
    </row>
    <row r="22" customFormat="false" ht="17.25" hidden="false" customHeight="true" outlineLevel="0" collapsed="false">
      <c r="A22" s="548" t="s">
        <v>513</v>
      </c>
      <c r="B22" s="314" t="s">
        <v>528</v>
      </c>
      <c r="C22" s="314"/>
      <c r="D22" s="314"/>
      <c r="E22" s="314"/>
      <c r="F22" s="314"/>
      <c r="G22" s="72"/>
      <c r="H22" s="72"/>
      <c r="I22" s="72" t="n">
        <f aca="false">(B7*2+C7*2)*D7</f>
        <v>2000</v>
      </c>
      <c r="J22" s="72"/>
      <c r="K22" s="109"/>
      <c r="L22" s="109"/>
      <c r="M22" s="109"/>
      <c r="N22" s="109"/>
    </row>
    <row r="23" customFormat="false" ht="17.25" hidden="false" customHeight="true" outlineLevel="0" collapsed="false">
      <c r="A23" s="216" t="s">
        <v>662</v>
      </c>
      <c r="B23" s="320" t="s">
        <v>238</v>
      </c>
      <c r="C23" s="320"/>
      <c r="D23" s="320"/>
      <c r="E23" s="320"/>
      <c r="F23" s="320"/>
      <c r="G23" s="83"/>
      <c r="H23" s="83"/>
      <c r="I23" s="83" t="n">
        <f aca="false">I22</f>
        <v>2000</v>
      </c>
      <c r="J23" s="83"/>
      <c r="K23" s="109"/>
      <c r="L23" s="109"/>
      <c r="M23" s="109"/>
      <c r="N23" s="109"/>
    </row>
    <row r="24" customFormat="false" ht="17.25" hidden="false" customHeight="true" outlineLevel="0" collapsed="false">
      <c r="A24" s="216"/>
      <c r="B24" s="419"/>
      <c r="C24" s="419"/>
      <c r="D24" s="419"/>
      <c r="E24" s="419"/>
      <c r="F24" s="419"/>
      <c r="G24" s="28"/>
      <c r="H24" s="28"/>
      <c r="I24" s="28"/>
      <c r="J24" s="28"/>
      <c r="K24" s="109"/>
      <c r="L24" s="109"/>
      <c r="M24" s="109"/>
      <c r="N24" s="109"/>
    </row>
    <row r="25" customFormat="false" ht="17.25" hidden="false" customHeight="true" outlineLevel="0" collapsed="false">
      <c r="A25" s="216"/>
      <c r="B25" s="419"/>
      <c r="C25" s="419"/>
      <c r="D25" s="419"/>
      <c r="E25" s="419"/>
      <c r="F25" s="419"/>
      <c r="G25" s="28"/>
      <c r="H25" s="28"/>
      <c r="I25" s="28"/>
      <c r="J25" s="28"/>
      <c r="K25" s="109"/>
      <c r="L25" s="109"/>
      <c r="M25" s="109"/>
      <c r="N25" s="109"/>
    </row>
    <row r="26" customFormat="false" ht="17.25" hidden="false" customHeight="true" outlineLevel="0" collapsed="false">
      <c r="A26" s="216"/>
      <c r="B26" s="419"/>
      <c r="C26" s="419"/>
      <c r="D26" s="419"/>
      <c r="E26" s="419"/>
      <c r="F26" s="419"/>
      <c r="G26" s="28"/>
      <c r="H26" s="28"/>
      <c r="I26" s="28"/>
      <c r="J26" s="28"/>
      <c r="K26" s="109"/>
      <c r="L26" s="109"/>
      <c r="M26" s="109"/>
      <c r="N26" s="109"/>
    </row>
    <row r="27" customFormat="false" ht="17.25" hidden="false" customHeight="true" outlineLevel="0" collapsed="false">
      <c r="A27" s="216"/>
      <c r="B27" s="419"/>
      <c r="C27" s="419"/>
      <c r="D27" s="419"/>
      <c r="E27" s="419"/>
      <c r="F27" s="419"/>
      <c r="G27" s="28"/>
      <c r="H27" s="28"/>
      <c r="I27" s="28"/>
      <c r="J27" s="28"/>
      <c r="K27" s="109"/>
      <c r="L27" s="109"/>
      <c r="M27" s="109"/>
      <c r="N27" s="109"/>
    </row>
    <row r="28" customFormat="false" ht="17.25" hidden="false" customHeight="true" outlineLevel="0" collapsed="false">
      <c r="A28" s="216"/>
      <c r="B28" s="419"/>
      <c r="C28" s="419"/>
      <c r="D28" s="419"/>
      <c r="E28" s="419"/>
      <c r="F28" s="419"/>
      <c r="G28" s="28"/>
      <c r="H28" s="28"/>
      <c r="I28" s="28"/>
      <c r="J28" s="28"/>
      <c r="K28" s="109"/>
      <c r="L28" s="109"/>
      <c r="M28" s="109"/>
      <c r="N28" s="109"/>
    </row>
    <row r="29" customFormat="false" ht="17.25" hidden="false" customHeight="true" outlineLevel="0" collapsed="false">
      <c r="A29" s="216"/>
      <c r="B29" s="419"/>
      <c r="C29" s="419"/>
      <c r="D29" s="419"/>
      <c r="E29" s="419"/>
      <c r="F29" s="419"/>
      <c r="G29" s="28"/>
      <c r="H29" s="28"/>
      <c r="I29" s="28"/>
      <c r="J29" s="28"/>
      <c r="K29" s="109"/>
      <c r="L29" s="109"/>
      <c r="M29" s="109"/>
      <c r="N29" s="109"/>
    </row>
    <row r="30" customFormat="false" ht="17.25" hidden="false" customHeight="true" outlineLevel="0" collapsed="false">
      <c r="A30" s="216"/>
      <c r="B30" s="419"/>
      <c r="C30" s="419"/>
      <c r="D30" s="419"/>
      <c r="E30" s="419"/>
      <c r="F30" s="419"/>
      <c r="G30" s="28"/>
      <c r="H30" s="28"/>
      <c r="I30" s="28"/>
      <c r="J30" s="28"/>
      <c r="K30" s="109"/>
      <c r="L30" s="109"/>
      <c r="M30" s="109"/>
      <c r="N30" s="109"/>
    </row>
    <row r="31" customFormat="false" ht="17.25" hidden="false" customHeight="true" outlineLevel="0" collapsed="false">
      <c r="A31" s="216"/>
      <c r="B31" s="419"/>
      <c r="C31" s="419"/>
      <c r="D31" s="419"/>
      <c r="E31" s="419"/>
      <c r="F31" s="419"/>
      <c r="G31" s="28"/>
      <c r="H31" s="28"/>
      <c r="I31" s="28"/>
      <c r="J31" s="28"/>
      <c r="K31" s="109"/>
      <c r="L31" s="109"/>
      <c r="M31" s="109"/>
      <c r="N31" s="109"/>
    </row>
    <row r="32" customFormat="false" ht="17.25" hidden="false" customHeight="true" outlineLevel="0" collapsed="false">
      <c r="A32" s="216"/>
      <c r="B32" s="419"/>
      <c r="C32" s="419"/>
      <c r="D32" s="419"/>
      <c r="E32" s="419"/>
      <c r="F32" s="419"/>
      <c r="G32" s="28"/>
      <c r="H32" s="28"/>
      <c r="I32" s="28"/>
      <c r="J32" s="28"/>
    </row>
    <row r="33" customFormat="false" ht="17.25" hidden="false" customHeight="true" outlineLevel="0" collapsed="false">
      <c r="A33" s="216"/>
      <c r="B33" s="419"/>
      <c r="C33" s="419"/>
      <c r="D33" s="419"/>
      <c r="E33" s="419"/>
      <c r="F33" s="419"/>
      <c r="G33" s="28"/>
      <c r="H33" s="28"/>
      <c r="I33" s="28"/>
      <c r="J33" s="28"/>
      <c r="K33" s="109" t="n">
        <f aca="false">F15*E15</f>
        <v>3526.66666666667</v>
      </c>
    </row>
    <row r="34" customFormat="false" ht="17.25" hidden="false" customHeight="true" outlineLevel="0" collapsed="false">
      <c r="A34" s="216"/>
      <c r="B34" s="419"/>
      <c r="C34" s="419"/>
      <c r="D34" s="419"/>
      <c r="E34" s="419"/>
      <c r="F34" s="419"/>
      <c r="G34" s="28"/>
      <c r="H34" s="28"/>
      <c r="I34" s="28"/>
      <c r="J34" s="28"/>
      <c r="K34" s="109" t="n">
        <f aca="false">F11*E11+E12*F12</f>
        <v>2000</v>
      </c>
    </row>
    <row r="35" customFormat="false" ht="17.25" hidden="false" customHeight="true" outlineLevel="0" collapsed="false">
      <c r="A35" s="549"/>
      <c r="B35" s="550"/>
      <c r="C35" s="550"/>
      <c r="D35" s="550"/>
      <c r="E35" s="550"/>
      <c r="F35" s="550"/>
      <c r="G35" s="478"/>
      <c r="H35" s="478"/>
      <c r="I35" s="478"/>
      <c r="J35" s="478"/>
      <c r="K35" s="109" t="n">
        <f aca="false">F13*E13+E14*F14</f>
        <v>1780</v>
      </c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</row>
  </sheetData>
  <mergeCells count="131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O14:Q14"/>
    <mergeCell ref="S14:T14"/>
    <mergeCell ref="B15:D15"/>
    <mergeCell ref="F15:G15"/>
    <mergeCell ref="H15:I15"/>
    <mergeCell ref="K15:L15"/>
    <mergeCell ref="T15:U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9" min="9" style="1" width="8.42"/>
    <col collapsed="false" customWidth="true" hidden="false" outlineLevel="0" max="10" min="10" style="1" width="5.71"/>
    <col collapsed="false" customWidth="true" hidden="false" outlineLevel="0" max="11" min="11" style="1" width="8.29"/>
    <col collapsed="false" customWidth="true" hidden="false" outlineLevel="0" max="12" min="12" style="1" width="9.14"/>
    <col collapsed="false" customWidth="true" hidden="false" outlineLevel="0" max="13" min="13" style="1" width="7.86"/>
    <col collapsed="false" customWidth="true" hidden="false" outlineLevel="0" max="15" min="15" style="1" width="4.14"/>
    <col collapsed="false" customWidth="true" hidden="false" outlineLevel="0" max="16" min="16" style="1" width="10.71"/>
    <col collapsed="false" customWidth="true" hidden="false" outlineLevel="0" max="17" min="17" style="1" width="5.14"/>
    <col collapsed="false" customWidth="true" hidden="false" outlineLevel="0" max="18" min="18" style="1" width="10.71"/>
    <col collapsed="false" customWidth="true" hidden="false" outlineLevel="0" max="19" min="19" style="1" width="8.42"/>
  </cols>
  <sheetData>
    <row r="1" customFormat="false" ht="20.25" hidden="false" customHeight="true" outlineLevel="0" collapsed="false">
      <c r="A1" s="2" t="s">
        <v>651</v>
      </c>
      <c r="B1" s="2"/>
      <c r="C1" s="2"/>
      <c r="D1" s="2"/>
      <c r="E1" s="2"/>
      <c r="F1" s="2"/>
      <c r="G1" s="2"/>
      <c r="H1" s="222"/>
      <c r="I1" s="222"/>
      <c r="J1" s="222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22"/>
      <c r="I2" s="222"/>
      <c r="J2" s="222"/>
      <c r="K2" s="521" t="s">
        <v>4</v>
      </c>
      <c r="L2" s="521"/>
      <c r="M2" s="529" t="s">
        <v>5</v>
      </c>
      <c r="N2" s="529" t="s">
        <v>6</v>
      </c>
      <c r="O2" s="529"/>
      <c r="P2" s="529" t="s">
        <v>7</v>
      </c>
      <c r="Q2" s="529"/>
      <c r="R2" s="529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22"/>
      <c r="I3" s="222"/>
      <c r="J3" s="222"/>
      <c r="K3" s="393" t="str">
        <f aca="false">A11</f>
        <v>SU-079</v>
      </c>
      <c r="L3" s="394" t="n">
        <f aca="false">IF(K34&gt;6000,K34/6000,1)</f>
        <v>1</v>
      </c>
      <c r="M3" s="395" t="n">
        <f aca="false">ROUNDUP(L3,0)</f>
        <v>1</v>
      </c>
      <c r="N3" s="260" t="n">
        <f aca="false">0.341*6*K13</f>
        <v>102.3</v>
      </c>
      <c r="O3" s="260"/>
      <c r="P3" s="530" t="n">
        <f aca="false">N3*M3</f>
        <v>102.3</v>
      </c>
      <c r="Q3" s="530"/>
      <c r="R3" s="531" t="str">
        <f aca="false">F5</f>
        <v>BRANCO</v>
      </c>
      <c r="S3" s="425" t="n">
        <v>6000</v>
      </c>
      <c r="T3" s="440" t="n">
        <f aca="false">K34*0.341/1000</f>
        <v>1.364</v>
      </c>
      <c r="U3" s="440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1"/>
      <c r="G4" s="21"/>
      <c r="H4" s="222"/>
      <c r="I4" s="222"/>
      <c r="J4" s="222"/>
      <c r="K4" s="207" t="str">
        <f aca="false">A13</f>
        <v>SU-103</v>
      </c>
      <c r="L4" s="400" t="n">
        <f aca="false">IF(K35&gt;6000,K35/6000,1)</f>
        <v>1</v>
      </c>
      <c r="M4" s="91" t="n">
        <f aca="false">ROUNDUP(L4,0)</f>
        <v>1</v>
      </c>
      <c r="N4" s="267" t="n">
        <f aca="false">0.14*6*K13</f>
        <v>42</v>
      </c>
      <c r="O4" s="267"/>
      <c r="P4" s="532" t="n">
        <f aca="false">N4*M4</f>
        <v>42</v>
      </c>
      <c r="Q4" s="532"/>
      <c r="R4" s="363" t="str">
        <f aca="false">F5</f>
        <v>BRANCO</v>
      </c>
      <c r="S4" s="280" t="n">
        <v>6000</v>
      </c>
      <c r="T4" s="439" t="n">
        <f aca="false">K35*0.14/1000</f>
        <v>0.5292</v>
      </c>
      <c r="U4" s="439" t="n">
        <f aca="false">M4*0.84</f>
        <v>0.84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22"/>
      <c r="I5" s="222"/>
      <c r="J5" s="222"/>
      <c r="K5" s="207"/>
      <c r="L5" s="400"/>
      <c r="M5" s="551"/>
      <c r="N5" s="267"/>
      <c r="O5" s="267"/>
      <c r="P5" s="532"/>
      <c r="Q5" s="532"/>
      <c r="R5" s="363"/>
      <c r="S5" s="280"/>
      <c r="T5" s="534"/>
      <c r="U5" s="439"/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207"/>
      <c r="L6" s="400"/>
      <c r="M6" s="91"/>
      <c r="N6" s="267"/>
      <c r="O6" s="267"/>
      <c r="P6" s="532"/>
      <c r="Q6" s="532"/>
      <c r="R6" s="363"/>
      <c r="S6" s="280"/>
      <c r="T6" s="439"/>
      <c r="U6" s="439"/>
    </row>
    <row r="7" customFormat="false" ht="27" hidden="false" customHeight="true" outlineLevel="0" collapsed="false">
      <c r="A7" s="271" t="n">
        <v>600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116"/>
      <c r="L7" s="400"/>
      <c r="M7" s="91"/>
      <c r="N7" s="266"/>
      <c r="O7" s="266"/>
      <c r="P7" s="532"/>
      <c r="Q7" s="532"/>
      <c r="R7" s="363"/>
      <c r="S7" s="280"/>
      <c r="T7" s="439"/>
      <c r="U7" s="439"/>
    </row>
    <row r="8" customFormat="false" ht="24" hidden="false" customHeight="true" outlineLevel="0" collapsed="false">
      <c r="A8" s="104" t="s">
        <v>120</v>
      </c>
      <c r="B8" s="104"/>
      <c r="C8" s="535" t="n">
        <f aca="false">E7*A7</f>
        <v>600</v>
      </c>
      <c r="D8" s="535"/>
      <c r="E8" s="20" t="s">
        <v>16</v>
      </c>
      <c r="F8" s="39" t="n">
        <f aca="false">D7*1</f>
        <v>1</v>
      </c>
      <c r="G8" s="270"/>
      <c r="H8" s="270"/>
      <c r="I8" s="270"/>
      <c r="J8" s="270"/>
      <c r="K8" s="207"/>
      <c r="L8" s="400"/>
      <c r="M8" s="552"/>
      <c r="N8" s="267"/>
      <c r="O8" s="267"/>
      <c r="P8" s="532"/>
      <c r="Q8" s="532"/>
      <c r="R8" s="363"/>
      <c r="S8" s="280"/>
      <c r="T8" s="399"/>
      <c r="U8" s="399"/>
    </row>
    <row r="9" customFormat="false" ht="26.25" hidden="false" customHeight="true" outlineLevel="0" collapsed="false">
      <c r="A9" s="104" t="s">
        <v>122</v>
      </c>
      <c r="B9" s="104"/>
      <c r="C9" s="536" t="n">
        <f aca="false">C8*D7</f>
        <v>600</v>
      </c>
      <c r="D9" s="536"/>
      <c r="E9" s="537" t="n">
        <f aca="false">B7-46</f>
        <v>954</v>
      </c>
      <c r="F9" s="401" t="n">
        <f aca="false">C7-46</f>
        <v>954</v>
      </c>
      <c r="G9" s="270"/>
      <c r="H9" s="270"/>
      <c r="I9" s="270"/>
      <c r="J9" s="270"/>
      <c r="K9" s="207"/>
      <c r="L9" s="400"/>
      <c r="M9" s="552"/>
      <c r="N9" s="267"/>
      <c r="O9" s="267"/>
      <c r="P9" s="532"/>
      <c r="Q9" s="532"/>
      <c r="R9" s="363"/>
      <c r="S9" s="280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538" t="s">
        <v>30</v>
      </c>
      <c r="K10" s="207"/>
      <c r="L10" s="400"/>
      <c r="M10" s="552"/>
      <c r="N10" s="267"/>
      <c r="O10" s="267"/>
      <c r="P10" s="532"/>
      <c r="Q10" s="532"/>
      <c r="R10" s="363"/>
      <c r="S10" s="280"/>
      <c r="T10" s="399"/>
      <c r="U10" s="399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1000</v>
      </c>
      <c r="G11" s="69"/>
      <c r="H11" s="71" t="s">
        <v>17</v>
      </c>
      <c r="I11" s="71"/>
      <c r="J11" s="72" t="s">
        <v>33</v>
      </c>
      <c r="K11" s="139"/>
      <c r="L11" s="403"/>
      <c r="M11" s="553"/>
      <c r="N11" s="405"/>
      <c r="O11" s="405"/>
      <c r="P11" s="540"/>
      <c r="Q11" s="540"/>
      <c r="R11" s="383"/>
      <c r="S11" s="382"/>
      <c r="T11" s="402"/>
      <c r="U11" s="402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1000</v>
      </c>
      <c r="G12" s="97"/>
      <c r="H12" s="82" t="s">
        <v>18</v>
      </c>
      <c r="I12" s="82"/>
      <c r="J12" s="83" t="s">
        <v>33</v>
      </c>
      <c r="K12" s="541" t="s">
        <v>656</v>
      </c>
      <c r="L12" s="541"/>
      <c r="M12" s="542" t="s">
        <v>657</v>
      </c>
      <c r="N12" s="542"/>
      <c r="O12" s="77" t="s">
        <v>658</v>
      </c>
      <c r="P12" s="77"/>
      <c r="Q12" s="73" t="s">
        <v>659</v>
      </c>
      <c r="R12" s="73"/>
      <c r="S12" s="73" t="s">
        <v>130</v>
      </c>
      <c r="T12" s="73"/>
      <c r="U12" s="402" t="n">
        <f aca="false">T3+T4+T5+T6+T7</f>
        <v>1.8932</v>
      </c>
    </row>
    <row r="13" customFormat="false" ht="25.5" hidden="false" customHeight="true" outlineLevel="0" collapsed="false">
      <c r="A13" s="79" t="s">
        <v>660</v>
      </c>
      <c r="B13" s="80" t="s">
        <v>203</v>
      </c>
      <c r="C13" s="80"/>
      <c r="D13" s="80"/>
      <c r="E13" s="46" t="n">
        <f aca="false">D7*2</f>
        <v>2</v>
      </c>
      <c r="F13" s="97" t="n">
        <f aca="false">B7-40</f>
        <v>960</v>
      </c>
      <c r="G13" s="97"/>
      <c r="H13" s="82" t="s">
        <v>17</v>
      </c>
      <c r="I13" s="82"/>
      <c r="J13" s="83" t="s">
        <v>42</v>
      </c>
      <c r="K13" s="84" t="n">
        <v>50</v>
      </c>
      <c r="L13" s="84"/>
      <c r="M13" s="84" t="n">
        <v>100</v>
      </c>
      <c r="N13" s="84"/>
      <c r="O13" s="543" t="n">
        <f aca="false">U12*M13</f>
        <v>189.32</v>
      </c>
      <c r="P13" s="543"/>
      <c r="Q13" s="543" t="n">
        <f aca="false">K17*R14+K17</f>
        <v>151.456</v>
      </c>
      <c r="R13" s="543"/>
      <c r="S13" s="73" t="s">
        <v>131</v>
      </c>
      <c r="T13" s="73"/>
      <c r="U13" s="409" t="n">
        <f aca="false">SUM(U3:U11)</f>
        <v>2.886</v>
      </c>
    </row>
    <row r="14" customFormat="false" ht="25.5" hidden="false" customHeight="true" outlineLevel="0" collapsed="false">
      <c r="A14" s="79" t="s">
        <v>660</v>
      </c>
      <c r="B14" s="80" t="s">
        <v>203</v>
      </c>
      <c r="C14" s="80"/>
      <c r="D14" s="80"/>
      <c r="E14" s="46" t="n">
        <f aca="false">D7*2</f>
        <v>2</v>
      </c>
      <c r="F14" s="97" t="n">
        <f aca="false">C7-70</f>
        <v>930</v>
      </c>
      <c r="G14" s="97"/>
      <c r="H14" s="82" t="s">
        <v>17</v>
      </c>
      <c r="I14" s="82"/>
      <c r="J14" s="83" t="s">
        <v>42</v>
      </c>
      <c r="K14" s="73" t="s">
        <v>195</v>
      </c>
      <c r="L14" s="73"/>
      <c r="M14" s="296"/>
      <c r="N14" s="296"/>
      <c r="O14" s="230" t="s">
        <v>661</v>
      </c>
      <c r="P14" s="230"/>
      <c r="Q14" s="230"/>
      <c r="R14" s="544" t="n">
        <v>0.6</v>
      </c>
      <c r="S14" s="181" t="s">
        <v>132</v>
      </c>
      <c r="T14" s="181"/>
      <c r="U14" s="402" t="n">
        <f aca="false">U13-U12</f>
        <v>0.9928</v>
      </c>
    </row>
    <row r="15" customFormat="false" ht="25.5" hidden="false" customHeight="true" outlineLevel="0" collapsed="false">
      <c r="A15" s="79"/>
      <c r="B15" s="80"/>
      <c r="C15" s="80"/>
      <c r="D15" s="80"/>
      <c r="E15" s="46"/>
      <c r="F15" s="97"/>
      <c r="G15" s="97"/>
      <c r="H15" s="82"/>
      <c r="I15" s="82"/>
      <c r="J15" s="83"/>
      <c r="K15" s="84" t="n">
        <f aca="false">U13*K13</f>
        <v>144.3</v>
      </c>
      <c r="L15" s="84"/>
      <c r="M15" s="296"/>
      <c r="N15" s="296"/>
      <c r="O15" s="296"/>
      <c r="P15" s="545"/>
      <c r="Q15" s="296"/>
      <c r="R15" s="296"/>
      <c r="S15" s="296"/>
      <c r="T15" s="331"/>
      <c r="U15" s="331"/>
    </row>
    <row r="16" customFormat="false" ht="25.5" hidden="false" customHeight="true" outlineLevel="0" collapsed="false">
      <c r="A16" s="79"/>
      <c r="B16" s="80"/>
      <c r="C16" s="80"/>
      <c r="D16" s="80"/>
      <c r="E16" s="46"/>
      <c r="F16" s="97"/>
      <c r="G16" s="97"/>
      <c r="H16" s="82"/>
      <c r="I16" s="82"/>
      <c r="J16" s="83"/>
      <c r="K16" s="73" t="s">
        <v>199</v>
      </c>
      <c r="L16" s="73"/>
      <c r="P16" s="88"/>
      <c r="R16" s="88"/>
    </row>
    <row r="17" customFormat="false" ht="25.5" hidden="false" customHeight="true" outlineLevel="0" collapsed="false">
      <c r="A17" s="79"/>
      <c r="B17" s="80"/>
      <c r="C17" s="80"/>
      <c r="D17" s="80"/>
      <c r="E17" s="46"/>
      <c r="F17" s="24"/>
      <c r="G17" s="24"/>
      <c r="H17" s="82"/>
      <c r="I17" s="82"/>
      <c r="J17" s="83"/>
      <c r="K17" s="546" t="n">
        <f aca="false">U12*K13</f>
        <v>94.66</v>
      </c>
      <c r="L17" s="546"/>
    </row>
    <row r="18" customFormat="false" ht="25.5" hidden="false" customHeight="true" outlineLevel="0" collapsed="false">
      <c r="A18" s="79"/>
      <c r="B18" s="80"/>
      <c r="C18" s="80"/>
      <c r="D18" s="80"/>
      <c r="E18" s="46"/>
      <c r="F18" s="24"/>
      <c r="G18" s="24"/>
      <c r="H18" s="82"/>
      <c r="I18" s="82"/>
      <c r="J18" s="83"/>
    </row>
    <row r="19" customFormat="false" ht="27" hidden="false" customHeight="true" outlineLevel="0" collapsed="false">
      <c r="A19" s="99"/>
      <c r="B19" s="100"/>
      <c r="C19" s="100"/>
      <c r="D19" s="100"/>
      <c r="E19" s="55"/>
      <c r="F19" s="246"/>
      <c r="G19" s="246"/>
      <c r="H19" s="102"/>
      <c r="I19" s="102"/>
      <c r="J19" s="103"/>
    </row>
    <row r="20" customFormat="false" ht="15.75" hidden="false" customHeight="false" outlineLevel="0" collapsed="false">
      <c r="A20" s="52"/>
      <c r="I20" s="109"/>
      <c r="J20" s="547" t="n">
        <f aca="false">B7-93</f>
        <v>907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  <c r="K21" s="109"/>
      <c r="L21" s="109"/>
      <c r="M21" s="109"/>
      <c r="N21" s="109"/>
    </row>
    <row r="22" customFormat="false" ht="17.25" hidden="false" customHeight="true" outlineLevel="0" collapsed="false">
      <c r="A22" s="548" t="s">
        <v>513</v>
      </c>
      <c r="B22" s="314" t="s">
        <v>528</v>
      </c>
      <c r="C22" s="314"/>
      <c r="D22" s="314"/>
      <c r="E22" s="314"/>
      <c r="F22" s="314"/>
      <c r="G22" s="72"/>
      <c r="H22" s="72"/>
      <c r="I22" s="72" t="n">
        <f aca="false">(B7*2+C7*2)*D7</f>
        <v>4000</v>
      </c>
      <c r="J22" s="72"/>
      <c r="K22" s="109"/>
      <c r="L22" s="109"/>
      <c r="M22" s="109"/>
      <c r="N22" s="109"/>
    </row>
    <row r="23" customFormat="false" ht="17.25" hidden="false" customHeight="true" outlineLevel="0" collapsed="false">
      <c r="A23" s="216" t="s">
        <v>662</v>
      </c>
      <c r="B23" s="320" t="s">
        <v>238</v>
      </c>
      <c r="C23" s="320"/>
      <c r="D23" s="320"/>
      <c r="E23" s="320"/>
      <c r="F23" s="320"/>
      <c r="G23" s="83"/>
      <c r="H23" s="83"/>
      <c r="I23" s="83" t="n">
        <f aca="false">I22</f>
        <v>4000</v>
      </c>
      <c r="J23" s="83"/>
      <c r="K23" s="109"/>
      <c r="L23" s="109"/>
      <c r="M23" s="109"/>
      <c r="N23" s="109"/>
    </row>
    <row r="24" customFormat="false" ht="17.25" hidden="false" customHeight="true" outlineLevel="0" collapsed="false">
      <c r="A24" s="216"/>
      <c r="B24" s="419"/>
      <c r="C24" s="419"/>
      <c r="D24" s="419"/>
      <c r="E24" s="419"/>
      <c r="F24" s="419"/>
      <c r="G24" s="28"/>
      <c r="H24" s="28"/>
      <c r="I24" s="28"/>
      <c r="J24" s="28"/>
      <c r="K24" s="109"/>
      <c r="L24" s="109"/>
      <c r="M24" s="109"/>
      <c r="N24" s="109"/>
    </row>
    <row r="25" customFormat="false" ht="17.25" hidden="false" customHeight="true" outlineLevel="0" collapsed="false">
      <c r="A25" s="216"/>
      <c r="B25" s="419"/>
      <c r="C25" s="419"/>
      <c r="D25" s="419"/>
      <c r="E25" s="419"/>
      <c r="F25" s="419"/>
      <c r="G25" s="28"/>
      <c r="H25" s="28"/>
      <c r="I25" s="28"/>
      <c r="J25" s="28"/>
      <c r="K25" s="109"/>
      <c r="L25" s="109"/>
      <c r="M25" s="109"/>
      <c r="N25" s="109"/>
    </row>
    <row r="26" customFormat="false" ht="17.25" hidden="false" customHeight="true" outlineLevel="0" collapsed="false">
      <c r="A26" s="216"/>
      <c r="B26" s="419"/>
      <c r="C26" s="419"/>
      <c r="D26" s="419"/>
      <c r="E26" s="419"/>
      <c r="F26" s="419"/>
      <c r="G26" s="28"/>
      <c r="H26" s="28"/>
      <c r="I26" s="28"/>
      <c r="J26" s="28"/>
      <c r="K26" s="109"/>
      <c r="L26" s="109"/>
      <c r="M26" s="109"/>
      <c r="N26" s="109"/>
    </row>
    <row r="27" customFormat="false" ht="17.25" hidden="false" customHeight="true" outlineLevel="0" collapsed="false">
      <c r="A27" s="216"/>
      <c r="B27" s="419"/>
      <c r="C27" s="419"/>
      <c r="D27" s="419"/>
      <c r="E27" s="419"/>
      <c r="F27" s="419"/>
      <c r="G27" s="28"/>
      <c r="H27" s="28"/>
      <c r="I27" s="28"/>
      <c r="J27" s="28"/>
      <c r="K27" s="109"/>
      <c r="L27" s="109"/>
      <c r="M27" s="109"/>
      <c r="N27" s="109"/>
    </row>
    <row r="28" customFormat="false" ht="17.25" hidden="false" customHeight="true" outlineLevel="0" collapsed="false">
      <c r="A28" s="216"/>
      <c r="B28" s="419"/>
      <c r="C28" s="419"/>
      <c r="D28" s="419"/>
      <c r="E28" s="419"/>
      <c r="F28" s="419"/>
      <c r="G28" s="28"/>
      <c r="H28" s="28"/>
      <c r="I28" s="28"/>
      <c r="J28" s="28"/>
      <c r="K28" s="109"/>
      <c r="L28" s="109"/>
      <c r="M28" s="109"/>
      <c r="N28" s="109"/>
    </row>
    <row r="29" customFormat="false" ht="17.25" hidden="false" customHeight="true" outlineLevel="0" collapsed="false">
      <c r="A29" s="216"/>
      <c r="B29" s="419"/>
      <c r="C29" s="419"/>
      <c r="D29" s="419"/>
      <c r="E29" s="419"/>
      <c r="F29" s="419"/>
      <c r="G29" s="28"/>
      <c r="H29" s="28"/>
      <c r="I29" s="28"/>
      <c r="J29" s="28"/>
      <c r="K29" s="109"/>
      <c r="L29" s="109"/>
      <c r="M29" s="109"/>
      <c r="N29" s="109"/>
    </row>
    <row r="30" customFormat="false" ht="17.25" hidden="false" customHeight="true" outlineLevel="0" collapsed="false">
      <c r="A30" s="216"/>
      <c r="B30" s="419"/>
      <c r="C30" s="419"/>
      <c r="D30" s="419"/>
      <c r="E30" s="419"/>
      <c r="F30" s="419"/>
      <c r="G30" s="28"/>
      <c r="H30" s="28"/>
      <c r="I30" s="28"/>
      <c r="J30" s="28"/>
      <c r="K30" s="109"/>
      <c r="L30" s="109"/>
      <c r="M30" s="109"/>
      <c r="N30" s="109"/>
    </row>
    <row r="31" customFormat="false" ht="17.25" hidden="false" customHeight="true" outlineLevel="0" collapsed="false">
      <c r="A31" s="216"/>
      <c r="B31" s="419"/>
      <c r="C31" s="419"/>
      <c r="D31" s="419"/>
      <c r="E31" s="419"/>
      <c r="F31" s="419"/>
      <c r="G31" s="28"/>
      <c r="H31" s="28"/>
      <c r="I31" s="28"/>
      <c r="J31" s="28"/>
      <c r="K31" s="109"/>
      <c r="L31" s="109"/>
      <c r="M31" s="109"/>
      <c r="N31" s="109"/>
    </row>
    <row r="32" customFormat="false" ht="17.25" hidden="false" customHeight="true" outlineLevel="0" collapsed="false">
      <c r="A32" s="216"/>
      <c r="B32" s="419"/>
      <c r="C32" s="419"/>
      <c r="D32" s="419"/>
      <c r="E32" s="419"/>
      <c r="F32" s="419"/>
      <c r="G32" s="28"/>
      <c r="H32" s="28"/>
      <c r="I32" s="28"/>
      <c r="J32" s="28"/>
    </row>
    <row r="33" customFormat="false" ht="17.25" hidden="false" customHeight="true" outlineLevel="0" collapsed="false">
      <c r="A33" s="216"/>
      <c r="B33" s="419"/>
      <c r="C33" s="419"/>
      <c r="D33" s="419"/>
      <c r="E33" s="419"/>
      <c r="F33" s="419"/>
      <c r="G33" s="28"/>
      <c r="H33" s="28"/>
      <c r="I33" s="28"/>
      <c r="J33" s="28"/>
    </row>
    <row r="34" customFormat="false" ht="17.25" hidden="false" customHeight="true" outlineLevel="0" collapsed="false">
      <c r="A34" s="216"/>
      <c r="B34" s="419"/>
      <c r="C34" s="419"/>
      <c r="D34" s="419"/>
      <c r="E34" s="419"/>
      <c r="F34" s="419"/>
      <c r="G34" s="28"/>
      <c r="H34" s="28"/>
      <c r="I34" s="28"/>
      <c r="J34" s="28"/>
      <c r="K34" s="109" t="n">
        <f aca="false">F11*E11+E12*F12</f>
        <v>4000</v>
      </c>
    </row>
    <row r="35" customFormat="false" ht="17.25" hidden="false" customHeight="true" outlineLevel="0" collapsed="false">
      <c r="A35" s="549"/>
      <c r="B35" s="550"/>
      <c r="C35" s="550"/>
      <c r="D35" s="550"/>
      <c r="E35" s="550"/>
      <c r="F35" s="550"/>
      <c r="G35" s="478"/>
      <c r="H35" s="478"/>
      <c r="I35" s="478"/>
      <c r="J35" s="478"/>
      <c r="K35" s="109" t="n">
        <f aca="false">F13*E13+E14*F14</f>
        <v>3780</v>
      </c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</row>
  </sheetData>
  <mergeCells count="13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O14:Q14"/>
    <mergeCell ref="S14:T14"/>
    <mergeCell ref="B15:D15"/>
    <mergeCell ref="F15:G15"/>
    <mergeCell ref="H15:I15"/>
    <mergeCell ref="K15:L15"/>
    <mergeCell ref="T15:U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8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8.29"/>
    <col collapsed="false" customWidth="true" hidden="false" outlineLevel="0" max="12" min="12" style="1" width="7.29"/>
    <col collapsed="false" customWidth="true" hidden="false" outlineLevel="0" max="15" min="15" style="1" width="5.86"/>
    <col collapsed="false" customWidth="true" hidden="false" outlineLevel="0" max="17" min="17" style="1" width="6.57"/>
  </cols>
  <sheetData>
    <row r="1" customFormat="false" ht="20.25" hidden="false" customHeight="true" outlineLevel="0" collapsed="false">
      <c r="A1" s="2" t="s">
        <v>663</v>
      </c>
      <c r="B1" s="2"/>
      <c r="C1" s="2"/>
      <c r="D1" s="2"/>
      <c r="E1" s="2"/>
      <c r="F1" s="2"/>
      <c r="G1" s="2"/>
      <c r="H1" s="554" t="s">
        <v>1</v>
      </c>
      <c r="I1" s="554"/>
      <c r="J1" s="55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554"/>
      <c r="I2" s="554"/>
      <c r="J2" s="554"/>
      <c r="K2" s="521" t="s">
        <v>4</v>
      </c>
      <c r="L2" s="521"/>
      <c r="M2" s="523" t="s">
        <v>5</v>
      </c>
      <c r="N2" s="529" t="s">
        <v>6</v>
      </c>
      <c r="O2" s="529"/>
      <c r="P2" s="529" t="s">
        <v>7</v>
      </c>
      <c r="Q2" s="529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11" t="s">
        <v>11</v>
      </c>
      <c r="B3" s="255"/>
      <c r="C3" s="255"/>
      <c r="D3" s="255"/>
      <c r="E3" s="255"/>
      <c r="F3" s="255"/>
      <c r="G3" s="255"/>
      <c r="H3" s="554"/>
      <c r="I3" s="554"/>
      <c r="J3" s="554"/>
      <c r="K3" s="555" t="str">
        <f aca="false">A11</f>
        <v>SU-079</v>
      </c>
      <c r="L3" s="556" t="n">
        <f aca="false">IF(S16&gt;6000,S16/6000,1)</f>
        <v>1</v>
      </c>
      <c r="M3" s="557" t="n">
        <f aca="false">ROUNDUP(L3,0)</f>
        <v>1</v>
      </c>
      <c r="N3" s="558" t="n">
        <f aca="false">0.341*6*K13</f>
        <v>102.3</v>
      </c>
      <c r="O3" s="558"/>
      <c r="P3" s="559" t="n">
        <f aca="false">N3*M3</f>
        <v>102.3</v>
      </c>
      <c r="Q3" s="559"/>
      <c r="R3" s="315" t="str">
        <f aca="false">F9</f>
        <v>BRANCO</v>
      </c>
      <c r="S3" s="560" t="n">
        <v>6000</v>
      </c>
      <c r="T3" s="561" t="n">
        <f aca="false">S16*0.341/1000</f>
        <v>1.364</v>
      </c>
      <c r="U3" s="561" t="n">
        <f aca="false">M3*2.046</f>
        <v>2.046</v>
      </c>
    </row>
    <row r="4" customFormat="false" ht="19.5" hidden="false" customHeight="true" outlineLevel="0" collapsed="false">
      <c r="A4" s="11" t="s">
        <v>12</v>
      </c>
      <c r="B4" s="21"/>
      <c r="C4" s="21"/>
      <c r="D4" s="21"/>
      <c r="E4" s="21"/>
      <c r="F4" s="21"/>
      <c r="G4" s="21"/>
      <c r="H4" s="554"/>
      <c r="I4" s="554"/>
      <c r="J4" s="554"/>
      <c r="K4" s="562" t="str">
        <f aca="false">A13</f>
        <v>SU-276</v>
      </c>
      <c r="L4" s="563" t="n">
        <f aca="false">IF(N36&gt;6000,N36/6000,1)</f>
        <v>1</v>
      </c>
      <c r="M4" s="564" t="n">
        <f aca="false">ROUNDUP(L4,0)</f>
        <v>1</v>
      </c>
      <c r="N4" s="565" t="n">
        <f aca="false">0.168*6*K13</f>
        <v>50.4</v>
      </c>
      <c r="O4" s="565"/>
      <c r="P4" s="566" t="n">
        <f aca="false">N4*M4</f>
        <v>50.4</v>
      </c>
      <c r="Q4" s="566"/>
      <c r="R4" s="321" t="str">
        <f aca="false">F9</f>
        <v>BRANCO</v>
      </c>
      <c r="S4" s="567" t="n">
        <v>6000</v>
      </c>
      <c r="T4" s="568" t="n">
        <f aca="false">N36*0.168/1000</f>
        <v>0.084</v>
      </c>
      <c r="U4" s="568" t="n">
        <f aca="false">M4*1.008</f>
        <v>1.008</v>
      </c>
    </row>
    <row r="5" customFormat="false" ht="19.5" hidden="false" customHeight="true" outlineLevel="0" collapsed="false">
      <c r="A5" s="11" t="s">
        <v>14</v>
      </c>
      <c r="B5" s="569"/>
      <c r="C5" s="569"/>
      <c r="D5" s="570" t="s">
        <v>13</v>
      </c>
      <c r="E5" s="478"/>
      <c r="F5" s="478"/>
      <c r="G5" s="478"/>
      <c r="H5" s="554"/>
      <c r="I5" s="554"/>
      <c r="J5" s="554"/>
      <c r="K5" s="562" t="str">
        <f aca="false">A14</f>
        <v>SU-082</v>
      </c>
      <c r="L5" s="563" t="n">
        <f aca="false">IF(N37&gt;6000,N37/6000,1)</f>
        <v>1</v>
      </c>
      <c r="M5" s="571" t="n">
        <f aca="false">ROUNDUP(L5,0)</f>
        <v>1</v>
      </c>
      <c r="N5" s="565" t="n">
        <f aca="false">0.312*6*K13</f>
        <v>93.6</v>
      </c>
      <c r="O5" s="565"/>
      <c r="P5" s="566" t="n">
        <f aca="false">N5*M5</f>
        <v>93.6</v>
      </c>
      <c r="Q5" s="566"/>
      <c r="R5" s="321" t="str">
        <f aca="false">F9</f>
        <v>BRANCO</v>
      </c>
      <c r="S5" s="567" t="n">
        <v>6000</v>
      </c>
      <c r="T5" s="568" t="n">
        <f aca="false">N37*0.312/1000</f>
        <v>0.127296</v>
      </c>
      <c r="U5" s="568" t="n">
        <f aca="false">M5*1.872</f>
        <v>1.872</v>
      </c>
    </row>
    <row r="6" customFormat="false" ht="22.5" hidden="false" customHeight="true" outlineLevel="0" collapsed="false">
      <c r="A6" s="572" t="s">
        <v>117</v>
      </c>
      <c r="B6" s="35" t="s">
        <v>17</v>
      </c>
      <c r="C6" s="35" t="s">
        <v>18</v>
      </c>
      <c r="D6" s="35" t="s">
        <v>5</v>
      </c>
      <c r="E6" s="573" t="s">
        <v>664</v>
      </c>
      <c r="F6" s="574" t="s">
        <v>665</v>
      </c>
      <c r="G6" s="145" t="s">
        <v>666</v>
      </c>
      <c r="H6" s="270"/>
      <c r="I6" s="270"/>
      <c r="J6" s="270"/>
      <c r="K6" s="562" t="str">
        <f aca="false">A15</f>
        <v>SU-200</v>
      </c>
      <c r="L6" s="563" t="n">
        <f aca="false">IF(N38&gt;6000,N38/6000,1)</f>
        <v>1</v>
      </c>
      <c r="M6" s="564" t="n">
        <f aca="false">ROUNDUP(L6,0)</f>
        <v>1</v>
      </c>
      <c r="N6" s="565" t="n">
        <f aca="false">0.444*6*K13</f>
        <v>133.2</v>
      </c>
      <c r="O6" s="565"/>
      <c r="P6" s="566" t="n">
        <f aca="false">N6*M6</f>
        <v>133.2</v>
      </c>
      <c r="Q6" s="566"/>
      <c r="R6" s="321" t="str">
        <f aca="false">F9</f>
        <v>BRANCO</v>
      </c>
      <c r="S6" s="567" t="n">
        <v>6000</v>
      </c>
      <c r="T6" s="568" t="n">
        <f aca="false">N38*0.444/1000</f>
        <v>0.718836</v>
      </c>
      <c r="U6" s="568" t="n">
        <f aca="false">M6*2.644</f>
        <v>2.644</v>
      </c>
    </row>
    <row r="7" customFormat="false" ht="27" hidden="false" customHeight="true" outlineLevel="0" collapsed="false">
      <c r="A7" s="271" t="n">
        <v>600</v>
      </c>
      <c r="B7" s="42" t="n">
        <v>500</v>
      </c>
      <c r="C7" s="42" t="n">
        <v>1500</v>
      </c>
      <c r="D7" s="42" t="n">
        <v>1</v>
      </c>
      <c r="E7" s="575" t="n">
        <v>300</v>
      </c>
      <c r="F7" s="38" t="n">
        <v>600</v>
      </c>
      <c r="G7" s="576" t="n">
        <v>600</v>
      </c>
      <c r="H7" s="270"/>
      <c r="I7" s="270"/>
      <c r="J7" s="270"/>
      <c r="K7" s="577" t="s">
        <v>188</v>
      </c>
      <c r="L7" s="563" t="n">
        <f aca="false">IF(N40&gt;6000,N40/6000,1)</f>
        <v>1</v>
      </c>
      <c r="M7" s="564" t="n">
        <f aca="false">ROUNDUP(L7,0)</f>
        <v>1</v>
      </c>
      <c r="N7" s="565" t="n">
        <f aca="false">0.111*6*K13</f>
        <v>33.3</v>
      </c>
      <c r="O7" s="565"/>
      <c r="P7" s="566" t="n">
        <f aca="false">N7*M7</f>
        <v>33.3</v>
      </c>
      <c r="Q7" s="566"/>
      <c r="R7" s="321" t="str">
        <f aca="false">F9</f>
        <v>BRANCO</v>
      </c>
      <c r="S7" s="567" t="n">
        <v>6000</v>
      </c>
      <c r="T7" s="568" t="n">
        <f aca="false">0.111*N40/1000</f>
        <v>0.200466</v>
      </c>
      <c r="U7" s="568" t="n">
        <f aca="false">M7*0.666</f>
        <v>0.666</v>
      </c>
    </row>
    <row r="8" customFormat="false" ht="24" hidden="false" customHeight="true" outlineLevel="0" collapsed="false">
      <c r="A8" s="578" t="s">
        <v>667</v>
      </c>
      <c r="B8" s="579" t="n">
        <f aca="false">D9*A7</f>
        <v>450</v>
      </c>
      <c r="C8" s="579"/>
      <c r="D8" s="20" t="s">
        <v>121</v>
      </c>
      <c r="E8" s="20"/>
      <c r="F8" s="20" t="s">
        <v>8</v>
      </c>
      <c r="G8" s="20"/>
      <c r="H8" s="270"/>
      <c r="I8" s="270"/>
      <c r="J8" s="270"/>
      <c r="K8" s="562" t="s">
        <v>668</v>
      </c>
      <c r="L8" s="563" t="n">
        <f aca="false">IF(N42&gt;6000,N42/6000,1)</f>
        <v>1</v>
      </c>
      <c r="M8" s="564" t="n">
        <f aca="false">ROUNDUP(L8,0)</f>
        <v>1</v>
      </c>
      <c r="N8" s="565" t="n">
        <f aca="false">0.596*6*K13</f>
        <v>178.8</v>
      </c>
      <c r="O8" s="565"/>
      <c r="P8" s="566" t="n">
        <f aca="false">N8*M8</f>
        <v>178.8</v>
      </c>
      <c r="Q8" s="566"/>
      <c r="R8" s="321" t="str">
        <f aca="false">F9</f>
        <v>BRANCO</v>
      </c>
      <c r="S8" s="567" t="n">
        <f aca="false">S7</f>
        <v>6000</v>
      </c>
      <c r="T8" s="568" t="n">
        <f aca="false">0.596*N42/1000</f>
        <v>0.54832</v>
      </c>
      <c r="U8" s="568" t="n">
        <f aca="false">M8*3.576</f>
        <v>3.576</v>
      </c>
    </row>
    <row r="9" customFormat="false" ht="26.25" hidden="false" customHeight="true" outlineLevel="0" collapsed="false">
      <c r="A9" s="578" t="s">
        <v>140</v>
      </c>
      <c r="B9" s="580" t="n">
        <f aca="false">B8*D7</f>
        <v>450</v>
      </c>
      <c r="C9" s="580"/>
      <c r="D9" s="581" t="n">
        <f aca="false">(B7*C7)/10^6</f>
        <v>0.75</v>
      </c>
      <c r="E9" s="581"/>
      <c r="F9" s="21" t="s">
        <v>15</v>
      </c>
      <c r="G9" s="21"/>
      <c r="H9" s="270"/>
      <c r="I9" s="270"/>
      <c r="J9" s="270"/>
      <c r="K9" s="562" t="s">
        <v>660</v>
      </c>
      <c r="L9" s="563" t="n">
        <f aca="false">IF(N43&gt;6000,N43/6000,1)</f>
        <v>1</v>
      </c>
      <c r="M9" s="564" t="n">
        <f aca="false">ROUNDUP(L9,0)</f>
        <v>1</v>
      </c>
      <c r="N9" s="565" t="n">
        <f aca="false">0.14*6*K13</f>
        <v>42</v>
      </c>
      <c r="O9" s="565"/>
      <c r="P9" s="566" t="n">
        <f aca="false">N9*M9</f>
        <v>42</v>
      </c>
      <c r="Q9" s="566"/>
      <c r="R9" s="321" t="str">
        <f aca="false">F9</f>
        <v>BRANCO</v>
      </c>
      <c r="S9" s="567" t="n">
        <v>6000</v>
      </c>
      <c r="T9" s="568" t="n">
        <f aca="false">0.14*N43/1000</f>
        <v>0.47376</v>
      </c>
      <c r="U9" s="568" t="n">
        <f aca="false">M9*0.84</f>
        <v>0.84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562"/>
      <c r="L10" s="563"/>
      <c r="M10" s="582"/>
      <c r="N10" s="565"/>
      <c r="O10" s="565"/>
      <c r="P10" s="566"/>
      <c r="Q10" s="566"/>
      <c r="R10" s="321"/>
      <c r="S10" s="567"/>
      <c r="T10" s="583"/>
      <c r="U10" s="568"/>
    </row>
    <row r="11" customFormat="false" ht="25.5" hidden="false" customHeight="true" outlineLevel="0" collapsed="false">
      <c r="A11" s="50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500</v>
      </c>
      <c r="G11" s="69"/>
      <c r="H11" s="72" t="s">
        <v>17</v>
      </c>
      <c r="I11" s="72"/>
      <c r="J11" s="72" t="s">
        <v>33</v>
      </c>
      <c r="K11" s="136"/>
      <c r="L11" s="584"/>
      <c r="M11" s="585"/>
      <c r="N11" s="586"/>
      <c r="O11" s="586"/>
      <c r="P11" s="587"/>
      <c r="Q11" s="587"/>
      <c r="R11" s="321"/>
      <c r="S11" s="588"/>
      <c r="T11" s="589"/>
      <c r="U11" s="590"/>
    </row>
    <row r="12" customFormat="false" ht="25.5" hidden="false" customHeight="true" outlineLevel="0" collapsed="false">
      <c r="A12" s="116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1500</v>
      </c>
      <c r="G12" s="97"/>
      <c r="H12" s="83" t="s">
        <v>18</v>
      </c>
      <c r="I12" s="83"/>
      <c r="J12" s="83" t="s">
        <v>33</v>
      </c>
      <c r="K12" s="591" t="s">
        <v>669</v>
      </c>
      <c r="L12" s="591"/>
      <c r="M12" s="592" t="s">
        <v>670</v>
      </c>
      <c r="N12" s="592"/>
      <c r="O12" s="592" t="s">
        <v>135</v>
      </c>
      <c r="P12" s="592"/>
      <c r="Q12" s="592" t="s">
        <v>136</v>
      </c>
      <c r="R12" s="592"/>
      <c r="S12" s="593" t="s">
        <v>130</v>
      </c>
      <c r="T12" s="593"/>
      <c r="U12" s="589" t="n">
        <f aca="false">T3+T4+T5+T6+T7+T8</f>
        <v>3.042918</v>
      </c>
    </row>
    <row r="13" customFormat="false" ht="25.5" hidden="false" customHeight="true" outlineLevel="0" collapsed="false">
      <c r="A13" s="116" t="s">
        <v>671</v>
      </c>
      <c r="B13" s="80" t="s">
        <v>360</v>
      </c>
      <c r="C13" s="80"/>
      <c r="D13" s="80"/>
      <c r="E13" s="46" t="n">
        <f aca="false">D7*1</f>
        <v>1</v>
      </c>
      <c r="F13" s="97" t="n">
        <f aca="false">B7</f>
        <v>500</v>
      </c>
      <c r="G13" s="97"/>
      <c r="H13" s="83" t="s">
        <v>17</v>
      </c>
      <c r="I13" s="83"/>
      <c r="J13" s="83" t="s">
        <v>42</v>
      </c>
      <c r="K13" s="410" t="n">
        <v>50</v>
      </c>
      <c r="L13" s="410"/>
      <c r="M13" s="410" t="n">
        <v>100</v>
      </c>
      <c r="N13" s="410"/>
      <c r="O13" s="594" t="n">
        <f aca="false">U12*M13</f>
        <v>304.2918</v>
      </c>
      <c r="P13" s="594"/>
      <c r="Q13" s="595" t="n">
        <f aca="false">M15*R14+M15</f>
        <v>167.36049</v>
      </c>
      <c r="R13" s="595"/>
      <c r="S13" s="593" t="s">
        <v>131</v>
      </c>
      <c r="T13" s="593"/>
      <c r="U13" s="596" t="n">
        <f aca="false">U3+U4+U5+U6+U7+U8</f>
        <v>11.812</v>
      </c>
    </row>
    <row r="14" customFormat="false" ht="25.5" hidden="false" customHeight="true" outlineLevel="0" collapsed="false">
      <c r="A14" s="116" t="s">
        <v>672</v>
      </c>
      <c r="B14" s="80" t="s">
        <v>673</v>
      </c>
      <c r="C14" s="80"/>
      <c r="D14" s="80"/>
      <c r="E14" s="46" t="n">
        <f aca="false">D7*1</f>
        <v>1</v>
      </c>
      <c r="F14" s="97" t="n">
        <f aca="false">B7-92</f>
        <v>408</v>
      </c>
      <c r="G14" s="97"/>
      <c r="H14" s="83" t="s">
        <v>17</v>
      </c>
      <c r="I14" s="83"/>
      <c r="J14" s="83" t="s">
        <v>42</v>
      </c>
      <c r="K14" s="592" t="s">
        <v>195</v>
      </c>
      <c r="L14" s="592"/>
      <c r="M14" s="592" t="s">
        <v>199</v>
      </c>
      <c r="N14" s="592"/>
      <c r="O14" s="336"/>
      <c r="P14" s="336"/>
      <c r="Q14" s="336"/>
      <c r="R14" s="597" t="n">
        <v>0.1</v>
      </c>
      <c r="S14" s="593" t="s">
        <v>132</v>
      </c>
      <c r="T14" s="593"/>
      <c r="U14" s="589" t="n">
        <f aca="false">U13-U12</f>
        <v>8.769082</v>
      </c>
    </row>
    <row r="15" customFormat="false" ht="25.5" hidden="false" customHeight="true" outlineLevel="0" collapsed="false">
      <c r="A15" s="116" t="s">
        <v>674</v>
      </c>
      <c r="B15" s="80" t="s">
        <v>675</v>
      </c>
      <c r="C15" s="80"/>
      <c r="D15" s="80"/>
      <c r="E15" s="46" t="n">
        <f aca="false">D7*1</f>
        <v>1</v>
      </c>
      <c r="F15" s="24" t="n">
        <f aca="false">B7-25</f>
        <v>475</v>
      </c>
      <c r="G15" s="24"/>
      <c r="H15" s="83" t="s">
        <v>17</v>
      </c>
      <c r="I15" s="83"/>
      <c r="J15" s="83" t="s">
        <v>33</v>
      </c>
      <c r="K15" s="410" t="n">
        <f aca="false">U13*K13</f>
        <v>590.6</v>
      </c>
      <c r="L15" s="410"/>
      <c r="M15" s="598" t="n">
        <f aca="false">U12*K13</f>
        <v>152.1459</v>
      </c>
      <c r="N15" s="598"/>
      <c r="O15" s="336"/>
      <c r="P15" s="336"/>
      <c r="Q15" s="336"/>
      <c r="R15" s="336"/>
      <c r="S15" s="336"/>
      <c r="T15" s="336"/>
      <c r="U15" s="336"/>
    </row>
    <row r="16" customFormat="false" ht="25.5" hidden="false" customHeight="true" outlineLevel="0" collapsed="false">
      <c r="A16" s="116" t="s">
        <v>674</v>
      </c>
      <c r="B16" s="80" t="s">
        <v>676</v>
      </c>
      <c r="C16" s="80"/>
      <c r="D16" s="80"/>
      <c r="E16" s="46" t="n">
        <f aca="false">D7*2</f>
        <v>2</v>
      </c>
      <c r="F16" s="24" t="n">
        <f aca="false">C7-E7-G7-28</f>
        <v>572</v>
      </c>
      <c r="G16" s="24"/>
      <c r="H16" s="83" t="s">
        <v>18</v>
      </c>
      <c r="I16" s="83"/>
      <c r="J16" s="83" t="s">
        <v>245</v>
      </c>
      <c r="M16" s="132"/>
      <c r="N16" s="132"/>
      <c r="O16" s="415"/>
      <c r="P16" s="599" t="s">
        <v>654</v>
      </c>
      <c r="Q16" s="599"/>
      <c r="R16" s="599"/>
      <c r="S16" s="415" t="n">
        <f aca="false">E11*F11+E12*F12</f>
        <v>4000</v>
      </c>
      <c r="T16" s="415"/>
      <c r="U16" s="132"/>
    </row>
    <row r="17" customFormat="false" ht="25.5" hidden="false" customHeight="true" outlineLevel="0" collapsed="false">
      <c r="A17" s="116" t="s">
        <v>188</v>
      </c>
      <c r="B17" s="80" t="s">
        <v>203</v>
      </c>
      <c r="C17" s="80"/>
      <c r="D17" s="80"/>
      <c r="E17" s="46" t="n">
        <f aca="false">D7*2</f>
        <v>2</v>
      </c>
      <c r="F17" s="24" t="n">
        <f aca="false">B7-93</f>
        <v>407</v>
      </c>
      <c r="G17" s="24"/>
      <c r="H17" s="83" t="s">
        <v>17</v>
      </c>
      <c r="I17" s="83"/>
      <c r="J17" s="83" t="s">
        <v>42</v>
      </c>
      <c r="K17" s="600" t="s">
        <v>36</v>
      </c>
      <c r="L17" s="600"/>
      <c r="M17" s="600"/>
      <c r="N17" s="600"/>
      <c r="O17" s="415"/>
      <c r="P17" s="599" t="s">
        <v>655</v>
      </c>
      <c r="Q17" s="599"/>
      <c r="R17" s="599"/>
      <c r="S17" s="415"/>
      <c r="T17" s="415"/>
      <c r="U17" s="132"/>
    </row>
    <row r="18" customFormat="false" ht="25.5" hidden="false" customHeight="true" outlineLevel="0" collapsed="false">
      <c r="A18" s="116" t="s">
        <v>188</v>
      </c>
      <c r="B18" s="80" t="s">
        <v>203</v>
      </c>
      <c r="C18" s="80"/>
      <c r="D18" s="80"/>
      <c r="E18" s="46" t="n">
        <f aca="false">D7*2</f>
        <v>2</v>
      </c>
      <c r="F18" s="24" t="n">
        <f aca="false">C7-E7-G7-104</f>
        <v>496</v>
      </c>
      <c r="G18" s="24"/>
      <c r="H18" s="83" t="s">
        <v>18</v>
      </c>
      <c r="I18" s="83"/>
      <c r="J18" s="83" t="s">
        <v>42</v>
      </c>
      <c r="K18" s="601" t="s">
        <v>666</v>
      </c>
      <c r="L18" s="31" t="n">
        <f aca="false">B7-46</f>
        <v>454</v>
      </c>
      <c r="M18" s="602" t="n">
        <f aca="false">E7-40</f>
        <v>260</v>
      </c>
      <c r="N18" s="602" t="n">
        <f aca="false">D7*1</f>
        <v>1</v>
      </c>
      <c r="O18" s="415"/>
      <c r="T18" s="415"/>
      <c r="U18" s="132"/>
    </row>
    <row r="19" customFormat="false" ht="27" hidden="false" customHeight="true" outlineLevel="0" collapsed="false">
      <c r="A19" s="116" t="s">
        <v>668</v>
      </c>
      <c r="B19" s="80" t="s">
        <v>677</v>
      </c>
      <c r="C19" s="80"/>
      <c r="D19" s="80"/>
      <c r="E19" s="46" t="n">
        <f aca="false">D7*2</f>
        <v>2</v>
      </c>
      <c r="F19" s="97" t="n">
        <f aca="false">B7-40</f>
        <v>460</v>
      </c>
      <c r="G19" s="97"/>
      <c r="H19" s="83" t="s">
        <v>17</v>
      </c>
      <c r="I19" s="83"/>
      <c r="J19" s="83" t="s">
        <v>42</v>
      </c>
      <c r="K19" s="603" t="s">
        <v>665</v>
      </c>
      <c r="L19" s="31" t="n">
        <f aca="false">B7-98</f>
        <v>402</v>
      </c>
      <c r="M19" s="604" t="n">
        <f aca="false">F7-86</f>
        <v>514</v>
      </c>
      <c r="N19" s="605" t="n">
        <f aca="false">D7*1</f>
        <v>1</v>
      </c>
      <c r="O19" s="415"/>
      <c r="T19" s="415"/>
      <c r="U19" s="132"/>
    </row>
    <row r="20" customFormat="false" ht="28.5" hidden="false" customHeight="true" outlineLevel="0" collapsed="false">
      <c r="A20" s="116" t="s">
        <v>678</v>
      </c>
      <c r="B20" s="80" t="s">
        <v>679</v>
      </c>
      <c r="C20" s="80"/>
      <c r="D20" s="80"/>
      <c r="E20" s="46" t="n">
        <f aca="false">D7*2</f>
        <v>2</v>
      </c>
      <c r="F20" s="97" t="n">
        <f aca="false">B7-40</f>
        <v>460</v>
      </c>
      <c r="G20" s="97"/>
      <c r="H20" s="606" t="s">
        <v>17</v>
      </c>
      <c r="I20" s="606"/>
      <c r="J20" s="607" t="s">
        <v>42</v>
      </c>
      <c r="K20" s="608" t="s">
        <v>664</v>
      </c>
      <c r="L20" s="31" t="n">
        <f aca="false">B7-46</f>
        <v>454</v>
      </c>
      <c r="M20" s="609" t="n">
        <f aca="false">G7-40</f>
        <v>560</v>
      </c>
      <c r="N20" s="31" t="n">
        <f aca="false">D7*1</f>
        <v>1</v>
      </c>
      <c r="O20" s="109"/>
      <c r="T20" s="109"/>
    </row>
    <row r="21" customFormat="false" ht="26.25" hidden="false" customHeight="true" outlineLevel="0" collapsed="false">
      <c r="A21" s="116" t="s">
        <v>678</v>
      </c>
      <c r="B21" s="80" t="s">
        <v>679</v>
      </c>
      <c r="C21" s="80"/>
      <c r="D21" s="80"/>
      <c r="E21" s="46" t="n">
        <f aca="false">D7*2</f>
        <v>2</v>
      </c>
      <c r="F21" s="97" t="n">
        <f aca="false">E7-64</f>
        <v>236</v>
      </c>
      <c r="G21" s="97"/>
      <c r="H21" s="606" t="s">
        <v>18</v>
      </c>
      <c r="I21" s="606"/>
      <c r="J21" s="83" t="s">
        <v>42</v>
      </c>
      <c r="O21" s="109"/>
      <c r="T21" s="109"/>
    </row>
    <row r="22" customFormat="false" ht="24" hidden="false" customHeight="true" outlineLevel="0" collapsed="false">
      <c r="A22" s="116" t="s">
        <v>678</v>
      </c>
      <c r="B22" s="80" t="s">
        <v>680</v>
      </c>
      <c r="C22" s="80"/>
      <c r="D22" s="80"/>
      <c r="E22" s="46" t="n">
        <f aca="false">D7*2</f>
        <v>2</v>
      </c>
      <c r="F22" s="610" t="n">
        <f aca="false">B7-40</f>
        <v>460</v>
      </c>
      <c r="G22" s="610"/>
      <c r="H22" s="83" t="s">
        <v>17</v>
      </c>
      <c r="I22" s="83"/>
      <c r="J22" s="83" t="s">
        <v>42</v>
      </c>
      <c r="O22" s="109"/>
      <c r="T22" s="109"/>
    </row>
    <row r="23" customFormat="false" ht="27" hidden="false" customHeight="true" outlineLevel="0" collapsed="false">
      <c r="A23" s="116" t="s">
        <v>678</v>
      </c>
      <c r="B23" s="80" t="s">
        <v>680</v>
      </c>
      <c r="C23" s="80"/>
      <c r="D23" s="80"/>
      <c r="E23" s="46" t="n">
        <f aca="false">D7*2</f>
        <v>2</v>
      </c>
      <c r="F23" s="611" t="n">
        <f aca="false">G7-64</f>
        <v>536</v>
      </c>
      <c r="G23" s="611"/>
      <c r="H23" s="83" t="s">
        <v>18</v>
      </c>
      <c r="I23" s="83"/>
      <c r="J23" s="83" t="s">
        <v>42</v>
      </c>
      <c r="O23" s="109"/>
      <c r="T23" s="109"/>
    </row>
    <row r="24" customFormat="false" ht="17.25" hidden="false" customHeight="true" outlineLevel="0" collapsed="false">
      <c r="A24" s="52"/>
      <c r="B24" s="52"/>
      <c r="D24" s="23"/>
      <c r="E24" s="47"/>
      <c r="F24" s="52"/>
      <c r="G24" s="23"/>
      <c r="H24" s="52"/>
      <c r="I24" s="23"/>
      <c r="J24" s="47"/>
      <c r="O24" s="109"/>
      <c r="T24" s="109"/>
    </row>
    <row r="25" customFormat="false" ht="17.25" hidden="false" customHeight="true" outlineLevel="0" collapsed="false">
      <c r="A25" s="52"/>
      <c r="B25" s="52"/>
      <c r="D25" s="23"/>
      <c r="E25" s="47"/>
      <c r="F25" s="52"/>
      <c r="G25" s="23"/>
      <c r="H25" s="52"/>
      <c r="I25" s="23"/>
      <c r="J25" s="47"/>
      <c r="O25" s="109"/>
      <c r="T25" s="109"/>
    </row>
    <row r="26" customFormat="false" ht="17.25" hidden="false" customHeight="true" outlineLevel="0" collapsed="false">
      <c r="A26" s="52"/>
      <c r="B26" s="52"/>
      <c r="D26" s="23"/>
      <c r="E26" s="47"/>
      <c r="F26" s="52"/>
      <c r="G26" s="23"/>
      <c r="H26" s="52"/>
      <c r="I26" s="23"/>
      <c r="J26" s="47"/>
      <c r="O26" s="109"/>
      <c r="T26" s="109"/>
    </row>
    <row r="27" customFormat="false" ht="17.25" hidden="false" customHeight="true" outlineLevel="0" collapsed="false">
      <c r="A27" s="52"/>
      <c r="B27" s="52"/>
      <c r="D27" s="23"/>
      <c r="E27" s="47"/>
      <c r="F27" s="52"/>
      <c r="G27" s="23"/>
      <c r="H27" s="52"/>
      <c r="I27" s="23"/>
      <c r="J27" s="47"/>
      <c r="O27" s="109"/>
      <c r="P27" s="109"/>
      <c r="Q27" s="109"/>
      <c r="R27" s="109"/>
      <c r="S27" s="109"/>
      <c r="T27" s="109"/>
    </row>
    <row r="28" customFormat="false" ht="17.25" hidden="false" customHeight="true" outlineLevel="0" collapsed="false">
      <c r="A28" s="52"/>
      <c r="B28" s="52"/>
      <c r="D28" s="23"/>
      <c r="E28" s="47"/>
      <c r="F28" s="52"/>
      <c r="G28" s="23"/>
      <c r="H28" s="52"/>
      <c r="I28" s="23"/>
      <c r="J28" s="47"/>
    </row>
    <row r="29" customFormat="false" ht="17.25" hidden="false" customHeight="true" outlineLevel="0" collapsed="false">
      <c r="A29" s="52"/>
      <c r="B29" s="52"/>
      <c r="D29" s="23"/>
      <c r="E29" s="47"/>
      <c r="F29" s="52"/>
      <c r="G29" s="23"/>
      <c r="H29" s="52"/>
      <c r="I29" s="23"/>
      <c r="J29" s="47"/>
    </row>
    <row r="30" customFormat="false" ht="17.25" hidden="false" customHeight="true" outlineLevel="0" collapsed="false">
      <c r="A30" s="52"/>
      <c r="B30" s="52"/>
      <c r="D30" s="23"/>
      <c r="E30" s="47"/>
      <c r="F30" s="52"/>
      <c r="G30" s="23"/>
      <c r="H30" s="52"/>
      <c r="I30" s="23"/>
      <c r="J30" s="47"/>
    </row>
    <row r="31" customFormat="false" ht="17.25" hidden="false" customHeight="true" outlineLevel="0" collapsed="false">
      <c r="A31" s="52"/>
      <c r="B31" s="52"/>
      <c r="D31" s="23"/>
      <c r="E31" s="47"/>
      <c r="F31" s="52"/>
      <c r="G31" s="23"/>
      <c r="H31" s="52"/>
      <c r="I31" s="23"/>
      <c r="J31" s="47"/>
      <c r="L31" s="612"/>
      <c r="M31" s="612"/>
      <c r="N31" s="612"/>
      <c r="O31" s="612"/>
      <c r="P31" s="612"/>
      <c r="Q31" s="613"/>
      <c r="R31" s="613"/>
      <c r="S31" s="613"/>
      <c r="T31" s="613"/>
    </row>
    <row r="32" customFormat="false" ht="17.25" hidden="false" customHeight="true" outlineLevel="0" collapsed="false">
      <c r="A32" s="52"/>
      <c r="B32" s="52"/>
      <c r="D32" s="23"/>
      <c r="E32" s="47"/>
      <c r="F32" s="52"/>
      <c r="G32" s="23"/>
      <c r="H32" s="52"/>
      <c r="I32" s="23"/>
      <c r="J32" s="47"/>
      <c r="K32" s="614"/>
      <c r="L32" s="614"/>
      <c r="M32" s="93"/>
      <c r="N32" s="93"/>
      <c r="O32" s="93"/>
      <c r="P32" s="93"/>
      <c r="Q32" s="93"/>
      <c r="R32" s="93"/>
      <c r="S32" s="93"/>
    </row>
    <row r="33" customFormat="false" ht="17.25" hidden="false" customHeight="true" outlineLevel="0" collapsed="false">
      <c r="A33" s="52"/>
      <c r="B33" s="52"/>
      <c r="D33" s="23"/>
      <c r="E33" s="47"/>
      <c r="F33" s="52"/>
      <c r="G33" s="23"/>
      <c r="H33" s="52"/>
      <c r="I33" s="23"/>
      <c r="J33" s="47"/>
      <c r="K33" s="615"/>
      <c r="L33" s="93"/>
      <c r="M33" s="93"/>
      <c r="N33" s="124"/>
      <c r="O33" s="93"/>
      <c r="P33" s="93"/>
      <c r="Q33" s="93"/>
      <c r="R33" s="93"/>
      <c r="S33" s="93"/>
    </row>
    <row r="34" customFormat="false" ht="17.25" hidden="false" customHeight="true" outlineLevel="0" collapsed="false">
      <c r="A34" s="139"/>
      <c r="B34" s="139"/>
      <c r="C34" s="203"/>
      <c r="D34" s="140"/>
      <c r="E34" s="64"/>
      <c r="F34" s="139"/>
      <c r="G34" s="140"/>
      <c r="H34" s="139"/>
      <c r="I34" s="140"/>
      <c r="J34" s="64"/>
      <c r="K34" s="615"/>
      <c r="L34" s="93"/>
      <c r="M34" s="93"/>
      <c r="N34" s="93"/>
      <c r="O34" s="93"/>
      <c r="P34" s="93"/>
      <c r="Q34" s="93"/>
      <c r="R34" s="93"/>
      <c r="S34" s="93"/>
    </row>
    <row r="35" customFormat="false" ht="17.25" hidden="false" customHeight="true" outlineLevel="0" collapsed="false">
      <c r="B35" s="612"/>
      <c r="C35" s="612"/>
      <c r="D35" s="612"/>
      <c r="E35" s="612"/>
      <c r="F35" s="612"/>
      <c r="G35" s="613"/>
      <c r="H35" s="613"/>
      <c r="I35" s="613"/>
      <c r="J35" s="613"/>
      <c r="K35" s="93"/>
      <c r="L35" s="93"/>
      <c r="M35" s="93"/>
      <c r="N35" s="124"/>
      <c r="O35" s="93"/>
      <c r="P35" s="93"/>
      <c r="Q35" s="93"/>
      <c r="R35" s="93"/>
      <c r="S35" s="93"/>
    </row>
    <row r="36" customFormat="false" ht="17.25" hidden="false" customHeight="true" outlineLevel="0" collapsed="false">
      <c r="A36" s="11" t="s">
        <v>51</v>
      </c>
      <c r="B36" s="20" t="s">
        <v>26</v>
      </c>
      <c r="C36" s="20"/>
      <c r="D36" s="20"/>
      <c r="E36" s="20"/>
      <c r="F36" s="20"/>
      <c r="G36" s="160" t="s">
        <v>206</v>
      </c>
      <c r="H36" s="160"/>
      <c r="I36" s="416" t="s">
        <v>207</v>
      </c>
      <c r="J36" s="416"/>
      <c r="K36" s="599" t="s">
        <v>360</v>
      </c>
      <c r="L36" s="599"/>
      <c r="M36" s="599"/>
      <c r="N36" s="415" t="n">
        <f aca="false">F13*E13</f>
        <v>500</v>
      </c>
      <c r="O36" s="109"/>
      <c r="P36" s="93"/>
      <c r="Q36" s="93"/>
      <c r="R36" s="93"/>
      <c r="S36" s="93"/>
    </row>
    <row r="37" customFormat="false" ht="15" hidden="false" customHeight="false" outlineLevel="0" collapsed="false">
      <c r="A37" s="616" t="s">
        <v>681</v>
      </c>
      <c r="B37" s="314" t="s">
        <v>682</v>
      </c>
      <c r="C37" s="314"/>
      <c r="D37" s="314"/>
      <c r="E37" s="314"/>
      <c r="F37" s="314"/>
      <c r="G37" s="72" t="s">
        <v>64</v>
      </c>
      <c r="H37" s="72"/>
      <c r="I37" s="72" t="n">
        <f aca="false">D7*1</f>
        <v>1</v>
      </c>
      <c r="J37" s="72"/>
      <c r="K37" s="599" t="s">
        <v>673</v>
      </c>
      <c r="L37" s="599"/>
      <c r="M37" s="599"/>
      <c r="N37" s="415" t="n">
        <f aca="false">F14*E14</f>
        <v>408</v>
      </c>
      <c r="O37" s="109"/>
      <c r="P37" s="93"/>
      <c r="Q37" s="93"/>
      <c r="R37" s="93"/>
      <c r="S37" s="93"/>
    </row>
    <row r="38" customFormat="false" ht="15" hidden="false" customHeight="false" outlineLevel="0" collapsed="false">
      <c r="A38" s="528" t="s">
        <v>683</v>
      </c>
      <c r="B38" s="320" t="s">
        <v>424</v>
      </c>
      <c r="C38" s="320"/>
      <c r="D38" s="320"/>
      <c r="E38" s="320"/>
      <c r="F38" s="320"/>
      <c r="G38" s="83" t="s">
        <v>46</v>
      </c>
      <c r="H38" s="83"/>
      <c r="I38" s="83" t="n">
        <f aca="false">B7*D7</f>
        <v>500</v>
      </c>
      <c r="J38" s="83"/>
      <c r="K38" s="599" t="s">
        <v>675</v>
      </c>
      <c r="L38" s="599"/>
      <c r="M38" s="599"/>
      <c r="N38" s="415" t="n">
        <f aca="false">E15*F15+E16*F16</f>
        <v>1619</v>
      </c>
      <c r="O38" s="109"/>
      <c r="P38" s="93"/>
      <c r="Q38" s="93"/>
      <c r="R38" s="93"/>
      <c r="S38" s="93"/>
    </row>
    <row r="39" customFormat="false" ht="15" hidden="false" customHeight="false" outlineLevel="0" collapsed="false">
      <c r="A39" s="528" t="s">
        <v>684</v>
      </c>
      <c r="B39" s="320" t="s">
        <v>685</v>
      </c>
      <c r="C39" s="320"/>
      <c r="D39" s="320"/>
      <c r="E39" s="320"/>
      <c r="F39" s="320"/>
      <c r="G39" s="83" t="s">
        <v>46</v>
      </c>
      <c r="H39" s="83"/>
      <c r="I39" s="83" t="n">
        <f aca="false">B7*3</f>
        <v>1500</v>
      </c>
      <c r="J39" s="83"/>
      <c r="K39" s="599" t="s">
        <v>676</v>
      </c>
      <c r="L39" s="599"/>
      <c r="M39" s="599"/>
      <c r="N39" s="415"/>
      <c r="O39" s="109"/>
      <c r="P39" s="93"/>
      <c r="Q39" s="93"/>
      <c r="R39" s="93"/>
      <c r="S39" s="93"/>
    </row>
    <row r="40" customFormat="false" ht="15" hidden="false" customHeight="false" outlineLevel="0" collapsed="false">
      <c r="A40" s="528" t="s">
        <v>686</v>
      </c>
      <c r="B40" s="320" t="s">
        <v>687</v>
      </c>
      <c r="C40" s="320"/>
      <c r="D40" s="320"/>
      <c r="E40" s="320"/>
      <c r="F40" s="320"/>
      <c r="G40" s="83" t="s">
        <v>46</v>
      </c>
      <c r="H40" s="83"/>
      <c r="I40" s="83" t="n">
        <f aca="false">B7*4</f>
        <v>2000</v>
      </c>
      <c r="J40" s="83"/>
      <c r="K40" s="599" t="s">
        <v>203</v>
      </c>
      <c r="L40" s="599"/>
      <c r="M40" s="599"/>
      <c r="N40" s="415" t="n">
        <f aca="false">F17*E17+E18*F18</f>
        <v>1806</v>
      </c>
      <c r="O40" s="109"/>
      <c r="P40" s="93"/>
      <c r="Q40" s="93"/>
      <c r="R40" s="93"/>
      <c r="S40" s="93"/>
    </row>
    <row r="41" customFormat="false" ht="15" hidden="false" customHeight="false" outlineLevel="0" collapsed="false">
      <c r="A41" s="528" t="s">
        <v>688</v>
      </c>
      <c r="B41" s="320" t="s">
        <v>340</v>
      </c>
      <c r="C41" s="320"/>
      <c r="D41" s="320"/>
      <c r="E41" s="320"/>
      <c r="F41" s="320"/>
      <c r="G41" s="83" t="s">
        <v>64</v>
      </c>
      <c r="H41" s="83"/>
      <c r="I41" s="83" t="n">
        <f aca="false">D7*2</f>
        <v>2</v>
      </c>
      <c r="J41" s="83"/>
      <c r="K41" s="599"/>
      <c r="L41" s="599"/>
      <c r="M41" s="599"/>
      <c r="N41" s="109"/>
      <c r="O41" s="109"/>
      <c r="P41" s="93"/>
      <c r="Q41" s="93"/>
      <c r="R41" s="93"/>
      <c r="S41" s="93"/>
    </row>
    <row r="42" customFormat="false" ht="15" hidden="false" customHeight="false" outlineLevel="0" collapsed="false">
      <c r="A42" s="528" t="s">
        <v>233</v>
      </c>
      <c r="B42" s="320" t="s">
        <v>689</v>
      </c>
      <c r="C42" s="320"/>
      <c r="D42" s="320"/>
      <c r="E42" s="320"/>
      <c r="F42" s="320"/>
      <c r="G42" s="83" t="s">
        <v>64</v>
      </c>
      <c r="H42" s="83"/>
      <c r="I42" s="83" t="n">
        <f aca="false">D7*8</f>
        <v>8</v>
      </c>
      <c r="J42" s="83"/>
      <c r="K42" s="599" t="s">
        <v>677</v>
      </c>
      <c r="L42" s="599"/>
      <c r="M42" s="599"/>
      <c r="N42" s="109" t="n">
        <f aca="false">F19*E19</f>
        <v>920</v>
      </c>
      <c r="O42" s="109"/>
      <c r="P42" s="93"/>
      <c r="Q42" s="93"/>
      <c r="R42" s="93"/>
      <c r="S42" s="93"/>
    </row>
    <row r="43" customFormat="false" ht="15" hidden="false" customHeight="false" outlineLevel="0" collapsed="false">
      <c r="A43" s="528" t="s">
        <v>690</v>
      </c>
      <c r="B43" s="320" t="s">
        <v>691</v>
      </c>
      <c r="C43" s="320"/>
      <c r="D43" s="320"/>
      <c r="E43" s="320"/>
      <c r="F43" s="320"/>
      <c r="G43" s="83" t="s">
        <v>64</v>
      </c>
      <c r="H43" s="83"/>
      <c r="I43" s="83" t="n">
        <f aca="false">D7*4</f>
        <v>4</v>
      </c>
      <c r="J43" s="83"/>
      <c r="K43" s="599" t="s">
        <v>692</v>
      </c>
      <c r="L43" s="599"/>
      <c r="M43" s="599"/>
      <c r="N43" s="109" t="n">
        <f aca="false">F20*E20+E21*F21+E22*F22+E23*F23</f>
        <v>3384</v>
      </c>
      <c r="O43" s="109"/>
      <c r="P43" s="93"/>
      <c r="Q43" s="93"/>
      <c r="R43" s="93"/>
      <c r="S43" s="93"/>
    </row>
    <row r="44" customFormat="false" ht="15" hidden="false" customHeight="false" outlineLevel="0" collapsed="false">
      <c r="A44" s="528"/>
      <c r="B44" s="320"/>
      <c r="C44" s="320"/>
      <c r="D44" s="320"/>
      <c r="E44" s="320"/>
      <c r="F44" s="320"/>
      <c r="G44" s="83"/>
      <c r="H44" s="83"/>
      <c r="I44" s="83"/>
      <c r="J44" s="83"/>
      <c r="K44" s="109"/>
      <c r="L44" s="109"/>
      <c r="M44" s="109"/>
      <c r="N44" s="109"/>
      <c r="O44" s="109"/>
      <c r="P44" s="93"/>
      <c r="Q44" s="93"/>
      <c r="R44" s="93"/>
      <c r="S44" s="93"/>
    </row>
    <row r="45" customFormat="false" ht="15" hidden="false" customHeight="false" outlineLevel="0" collapsed="false">
      <c r="A45" s="528"/>
      <c r="B45" s="320"/>
      <c r="C45" s="320"/>
      <c r="D45" s="320"/>
      <c r="E45" s="320"/>
      <c r="F45" s="320"/>
      <c r="G45" s="83"/>
      <c r="H45" s="83"/>
      <c r="I45" s="83"/>
      <c r="J45" s="83"/>
      <c r="K45" s="93"/>
      <c r="L45" s="93"/>
      <c r="M45" s="93"/>
      <c r="N45" s="93"/>
      <c r="O45" s="93"/>
      <c r="P45" s="93"/>
      <c r="Q45" s="93"/>
      <c r="R45" s="93"/>
      <c r="S45" s="93"/>
    </row>
    <row r="46" customFormat="false" ht="15" hidden="false" customHeight="false" outlineLevel="0" collapsed="false">
      <c r="A46" s="528"/>
      <c r="B46" s="320"/>
      <c r="C46" s="320"/>
      <c r="D46" s="320"/>
      <c r="E46" s="320"/>
      <c r="F46" s="320"/>
      <c r="G46" s="83"/>
      <c r="H46" s="83"/>
      <c r="I46" s="83"/>
      <c r="J46" s="83"/>
      <c r="K46" s="93"/>
      <c r="L46" s="93"/>
      <c r="M46" s="93"/>
      <c r="N46" s="93"/>
      <c r="O46" s="93"/>
      <c r="P46" s="93"/>
      <c r="Q46" s="93"/>
      <c r="R46" s="93"/>
      <c r="S46" s="93"/>
    </row>
    <row r="47" customFormat="false" ht="15" hidden="false" customHeight="false" outlineLevel="0" collapsed="false">
      <c r="A47" s="528"/>
      <c r="B47" s="320"/>
      <c r="C47" s="320"/>
      <c r="D47" s="320"/>
      <c r="E47" s="320"/>
      <c r="F47" s="320"/>
      <c r="G47" s="83"/>
      <c r="H47" s="83"/>
      <c r="I47" s="83"/>
      <c r="J47" s="83"/>
      <c r="K47" s="93"/>
      <c r="L47" s="93"/>
      <c r="M47" s="93"/>
      <c r="N47" s="93"/>
      <c r="O47" s="93"/>
      <c r="P47" s="93"/>
      <c r="Q47" s="93"/>
      <c r="R47" s="93"/>
      <c r="S47" s="93"/>
    </row>
    <row r="48" customFormat="false" ht="15.75" hidden="false" customHeight="false" outlineLevel="0" collapsed="false">
      <c r="A48" s="617"/>
      <c r="B48" s="618"/>
      <c r="C48" s="618"/>
      <c r="D48" s="618"/>
      <c r="E48" s="618"/>
      <c r="F48" s="618"/>
      <c r="G48" s="103"/>
      <c r="H48" s="103"/>
      <c r="I48" s="103"/>
      <c r="J48" s="103"/>
      <c r="K48" s="93"/>
      <c r="L48" s="93"/>
      <c r="M48" s="93"/>
      <c r="N48" s="93"/>
      <c r="O48" s="93"/>
      <c r="P48" s="93"/>
      <c r="Q48" s="93"/>
      <c r="R48" s="93"/>
      <c r="S48" s="93"/>
    </row>
  </sheetData>
  <mergeCells count="15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G4"/>
    <mergeCell ref="N4:O4"/>
    <mergeCell ref="P4:Q4"/>
    <mergeCell ref="B5:C5"/>
    <mergeCell ref="E5:G5"/>
    <mergeCell ref="N5:O5"/>
    <mergeCell ref="P5:Q5"/>
    <mergeCell ref="H6:J9"/>
    <mergeCell ref="N6:O6"/>
    <mergeCell ref="P6:Q6"/>
    <mergeCell ref="N7:O7"/>
    <mergeCell ref="P7:Q7"/>
    <mergeCell ref="B8:C8"/>
    <mergeCell ref="D8:E8"/>
    <mergeCell ref="F8:G8"/>
    <mergeCell ref="N8:O8"/>
    <mergeCell ref="P8:Q8"/>
    <mergeCell ref="B9:C9"/>
    <mergeCell ref="D9:E9"/>
    <mergeCell ref="F9:G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M14:N14"/>
    <mergeCell ref="S14:T14"/>
    <mergeCell ref="B15:D15"/>
    <mergeCell ref="F15:G15"/>
    <mergeCell ref="H15:I15"/>
    <mergeCell ref="K15:L15"/>
    <mergeCell ref="M15:N15"/>
    <mergeCell ref="B16:D16"/>
    <mergeCell ref="F16:G16"/>
    <mergeCell ref="H16:I16"/>
    <mergeCell ref="P16:R16"/>
    <mergeCell ref="B17:D17"/>
    <mergeCell ref="F17:G17"/>
    <mergeCell ref="H17:I17"/>
    <mergeCell ref="K17:N17"/>
    <mergeCell ref="P17:R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D21"/>
    <mergeCell ref="F21:G21"/>
    <mergeCell ref="H21:I21"/>
    <mergeCell ref="B22:D22"/>
    <mergeCell ref="F22:G22"/>
    <mergeCell ref="H22:I22"/>
    <mergeCell ref="B23:D23"/>
    <mergeCell ref="F23:G23"/>
    <mergeCell ref="H23:I23"/>
    <mergeCell ref="L31:P31"/>
    <mergeCell ref="Q31:R31"/>
    <mergeCell ref="S31:T31"/>
    <mergeCell ref="K32:L32"/>
    <mergeCell ref="B35:F35"/>
    <mergeCell ref="G35:H35"/>
    <mergeCell ref="I35:J35"/>
    <mergeCell ref="B36:F36"/>
    <mergeCell ref="G36:H36"/>
    <mergeCell ref="I36:J36"/>
    <mergeCell ref="K36:M36"/>
    <mergeCell ref="B37:F37"/>
    <mergeCell ref="G37:H37"/>
    <mergeCell ref="I37:J37"/>
    <mergeCell ref="K37:M37"/>
    <mergeCell ref="B38:F38"/>
    <mergeCell ref="G38:H38"/>
    <mergeCell ref="I38:J38"/>
    <mergeCell ref="K38:M38"/>
    <mergeCell ref="B39:F39"/>
    <mergeCell ref="G39:H39"/>
    <mergeCell ref="I39:J39"/>
    <mergeCell ref="K39:M39"/>
    <mergeCell ref="B40:F40"/>
    <mergeCell ref="G40:H40"/>
    <mergeCell ref="I40:J40"/>
    <mergeCell ref="K40:M40"/>
    <mergeCell ref="B41:F41"/>
    <mergeCell ref="G41:H41"/>
    <mergeCell ref="I41:J41"/>
    <mergeCell ref="K41:M41"/>
    <mergeCell ref="B42:F42"/>
    <mergeCell ref="G42:H42"/>
    <mergeCell ref="I42:J42"/>
    <mergeCell ref="K42:M42"/>
    <mergeCell ref="B43:F43"/>
    <mergeCell ref="G43:H43"/>
    <mergeCell ref="I43:J43"/>
    <mergeCell ref="K43:M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8.29"/>
    <col collapsed="false" customWidth="true" hidden="false" outlineLevel="0" max="12" min="12" style="1" width="7.29"/>
    <col collapsed="false" customWidth="true" hidden="false" outlineLevel="0" max="15" min="15" style="1" width="5.86"/>
    <col collapsed="false" customWidth="true" hidden="false" outlineLevel="0" max="17" min="17" style="1" width="6.57"/>
  </cols>
  <sheetData>
    <row r="1" customFormat="false" ht="20.25" hidden="false" customHeight="true" outlineLevel="0" collapsed="false">
      <c r="A1" s="2" t="s">
        <v>693</v>
      </c>
      <c r="B1" s="2"/>
      <c r="C1" s="2"/>
      <c r="D1" s="2"/>
      <c r="E1" s="2"/>
      <c r="F1" s="2"/>
      <c r="G1" s="2"/>
      <c r="H1" s="554" t="s">
        <v>1</v>
      </c>
      <c r="I1" s="554"/>
      <c r="J1" s="55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554"/>
      <c r="I2" s="554"/>
      <c r="J2" s="554"/>
      <c r="K2" s="521" t="s">
        <v>4</v>
      </c>
      <c r="L2" s="521"/>
      <c r="M2" s="523" t="s">
        <v>5</v>
      </c>
      <c r="N2" s="529" t="s">
        <v>6</v>
      </c>
      <c r="O2" s="529"/>
      <c r="P2" s="529" t="s">
        <v>7</v>
      </c>
      <c r="Q2" s="529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554"/>
      <c r="I3" s="554"/>
      <c r="J3" s="554"/>
      <c r="K3" s="555" t="str">
        <f aca="false">A11</f>
        <v>SU-079</v>
      </c>
      <c r="L3" s="556" t="n">
        <f aca="false">IF(S16&gt;6000,S16/6000,1)</f>
        <v>1</v>
      </c>
      <c r="M3" s="557" t="n">
        <f aca="false">ROUNDUP(L3,0)</f>
        <v>1</v>
      </c>
      <c r="N3" s="558" t="n">
        <f aca="false">0.341*6*K13</f>
        <v>102.3</v>
      </c>
      <c r="O3" s="558"/>
      <c r="P3" s="559" t="n">
        <f aca="false">N3*M3</f>
        <v>102.3</v>
      </c>
      <c r="Q3" s="559"/>
      <c r="R3" s="315" t="str">
        <f aca="false">F5</f>
        <v>BRANCO</v>
      </c>
      <c r="S3" s="560" t="n">
        <v>6000</v>
      </c>
      <c r="T3" s="561" t="n">
        <f aca="false">S16*0.341/1000</f>
        <v>1.023</v>
      </c>
      <c r="U3" s="561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554"/>
      <c r="I4" s="554"/>
      <c r="J4" s="554"/>
      <c r="K4" s="562" t="str">
        <f aca="false">A13</f>
        <v>SU-276</v>
      </c>
      <c r="L4" s="563" t="n">
        <f aca="false">IF(S18&gt;6000,S18/6000,1)</f>
        <v>1</v>
      </c>
      <c r="M4" s="564" t="n">
        <f aca="false">ROUNDUP(L4,0)</f>
        <v>1</v>
      </c>
      <c r="N4" s="565" t="n">
        <f aca="false">0.168*6*K13</f>
        <v>50.4</v>
      </c>
      <c r="O4" s="565"/>
      <c r="P4" s="566" t="n">
        <f aca="false">N4*M4</f>
        <v>50.4</v>
      </c>
      <c r="Q4" s="566"/>
      <c r="R4" s="321" t="str">
        <f aca="false">F5</f>
        <v>BRANCO</v>
      </c>
      <c r="S4" s="567" t="n">
        <v>6000</v>
      </c>
      <c r="T4" s="568" t="n">
        <f aca="false">S18*0.168/1000</f>
        <v>0.084</v>
      </c>
      <c r="U4" s="568" t="n">
        <f aca="false">M4*1.008</f>
        <v>1.008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55" t="s">
        <v>15</v>
      </c>
      <c r="G5" s="255"/>
      <c r="H5" s="554"/>
      <c r="I5" s="554"/>
      <c r="J5" s="554"/>
      <c r="K5" s="562" t="str">
        <f aca="false">A14</f>
        <v>SU-082</v>
      </c>
      <c r="L5" s="563" t="n">
        <f aca="false">IF(S19&gt;6000,S19/6000,1)</f>
        <v>1</v>
      </c>
      <c r="M5" s="571" t="n">
        <f aca="false">ROUNDUP(L5,0)</f>
        <v>1</v>
      </c>
      <c r="N5" s="565" t="n">
        <f aca="false">0.312*6*K13</f>
        <v>93.6</v>
      </c>
      <c r="O5" s="565"/>
      <c r="P5" s="566" t="n">
        <f aca="false">N5*M5</f>
        <v>93.6</v>
      </c>
      <c r="Q5" s="566"/>
      <c r="R5" s="321" t="str">
        <f aca="false">F5</f>
        <v>BRANCO</v>
      </c>
      <c r="S5" s="567" t="n">
        <v>6000</v>
      </c>
      <c r="T5" s="568" t="n">
        <f aca="false">S19*0.312/1000</f>
        <v>0.127296</v>
      </c>
      <c r="U5" s="568" t="n">
        <f aca="false">M5*1.872</f>
        <v>1.872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20" t="s">
        <v>694</v>
      </c>
      <c r="F6" s="473" t="s">
        <v>121</v>
      </c>
      <c r="G6" s="473"/>
      <c r="H6" s="270"/>
      <c r="I6" s="270"/>
      <c r="J6" s="270"/>
      <c r="K6" s="562" t="str">
        <f aca="false">A15</f>
        <v>SU-200</v>
      </c>
      <c r="L6" s="563" t="n">
        <f aca="false">IF(S20&gt;6000,S20/6000,1)</f>
        <v>1</v>
      </c>
      <c r="M6" s="564" t="n">
        <f aca="false">ROUNDUP(L6,0)</f>
        <v>1</v>
      </c>
      <c r="N6" s="565" t="n">
        <f aca="false">0.444*6*K13</f>
        <v>133.2</v>
      </c>
      <c r="O6" s="565"/>
      <c r="P6" s="566" t="n">
        <f aca="false">N6*M6</f>
        <v>133.2</v>
      </c>
      <c r="Q6" s="566"/>
      <c r="R6" s="321" t="str">
        <f aca="false">F5</f>
        <v>BRANCO</v>
      </c>
      <c r="S6" s="567" t="n">
        <v>6000</v>
      </c>
      <c r="T6" s="568" t="n">
        <f aca="false">S20*0.444/1000</f>
        <v>0.624708</v>
      </c>
      <c r="U6" s="568" t="n">
        <f aca="false">M6*2.644</f>
        <v>2.644</v>
      </c>
    </row>
    <row r="7" customFormat="false" ht="27" hidden="false" customHeight="true" outlineLevel="0" collapsed="false">
      <c r="A7" s="271" t="n">
        <v>600</v>
      </c>
      <c r="B7" s="272" t="n">
        <v>500</v>
      </c>
      <c r="C7" s="272" t="n">
        <v>1000</v>
      </c>
      <c r="D7" s="272" t="n">
        <v>1</v>
      </c>
      <c r="E7" s="619" t="n">
        <v>500</v>
      </c>
      <c r="F7" s="620" t="n">
        <f aca="false">(B7*C7)/10^6</f>
        <v>0.5</v>
      </c>
      <c r="G7" s="620"/>
      <c r="H7" s="270"/>
      <c r="I7" s="270"/>
      <c r="J7" s="270"/>
      <c r="K7" s="577" t="s">
        <v>188</v>
      </c>
      <c r="L7" s="563" t="n">
        <f aca="false">IF(S22&gt;6000,S22/6000,1)</f>
        <v>1</v>
      </c>
      <c r="M7" s="564" t="n">
        <f aca="false">ROUNDUP(L7,0)</f>
        <v>1</v>
      </c>
      <c r="N7" s="565" t="n">
        <f aca="false">0.111*6*K13</f>
        <v>33.3</v>
      </c>
      <c r="O7" s="565"/>
      <c r="P7" s="566" t="n">
        <f aca="false">N7*M7</f>
        <v>33.3</v>
      </c>
      <c r="Q7" s="566"/>
      <c r="R7" s="321" t="str">
        <f aca="false">F5</f>
        <v>BRANCO</v>
      </c>
      <c r="S7" s="567" t="n">
        <v>6000</v>
      </c>
      <c r="T7" s="568" t="n">
        <f aca="false">0.111*S22/1000</f>
        <v>0.175602</v>
      </c>
      <c r="U7" s="568" t="n">
        <f aca="false">M7*0.666</f>
        <v>0.666</v>
      </c>
    </row>
    <row r="8" customFormat="false" ht="24" hidden="false" customHeight="true" outlineLevel="0" collapsed="false">
      <c r="A8" s="104" t="s">
        <v>120</v>
      </c>
      <c r="B8" s="104"/>
      <c r="C8" s="621" t="n">
        <f aca="false">F7*A7</f>
        <v>300</v>
      </c>
      <c r="D8" s="622" t="s">
        <v>695</v>
      </c>
      <c r="E8" s="39" t="n">
        <f aca="false">B7-98</f>
        <v>402</v>
      </c>
      <c r="F8" s="623" t="n">
        <f aca="false">C7-E7-92</f>
        <v>408</v>
      </c>
      <c r="G8" s="69" t="n">
        <f aca="false">D7*1</f>
        <v>1</v>
      </c>
      <c r="H8" s="270"/>
      <c r="I8" s="270"/>
      <c r="J8" s="270"/>
      <c r="K8" s="562" t="s">
        <v>668</v>
      </c>
      <c r="L8" s="563" t="n">
        <f aca="false">IF(S24&gt;6000,S24/6000,1)</f>
        <v>1</v>
      </c>
      <c r="M8" s="564" t="n">
        <f aca="false">ROUNDUP(L8,0)</f>
        <v>1</v>
      </c>
      <c r="N8" s="565" t="n">
        <f aca="false">0.596*6*K13</f>
        <v>178.8</v>
      </c>
      <c r="O8" s="565"/>
      <c r="P8" s="566" t="n">
        <f aca="false">N8*M8</f>
        <v>178.8</v>
      </c>
      <c r="Q8" s="566"/>
      <c r="R8" s="321" t="str">
        <f aca="false">F5</f>
        <v>BRANCO</v>
      </c>
      <c r="S8" s="567" t="n">
        <f aca="false">S7</f>
        <v>6000</v>
      </c>
      <c r="T8" s="568" t="n">
        <f aca="false">0.596*S24/1000</f>
        <v>0.27416</v>
      </c>
      <c r="U8" s="568" t="n">
        <f aca="false">M8*3.576</f>
        <v>3.576</v>
      </c>
    </row>
    <row r="9" customFormat="false" ht="26.25" hidden="false" customHeight="true" outlineLevel="0" collapsed="false">
      <c r="A9" s="104" t="s">
        <v>122</v>
      </c>
      <c r="B9" s="104"/>
      <c r="C9" s="621" t="n">
        <f aca="false">C8*D7</f>
        <v>300</v>
      </c>
      <c r="D9" s="624" t="s">
        <v>696</v>
      </c>
      <c r="E9" s="442" t="n">
        <f aca="false">B7-46</f>
        <v>454</v>
      </c>
      <c r="F9" s="623" t="n">
        <f aca="false">C7-E7-40</f>
        <v>460</v>
      </c>
      <c r="G9" s="39" t="n">
        <f aca="false">D7*1</f>
        <v>1</v>
      </c>
      <c r="H9" s="270"/>
      <c r="I9" s="270"/>
      <c r="J9" s="270"/>
      <c r="K9" s="562" t="s">
        <v>660</v>
      </c>
      <c r="L9" s="563" t="n">
        <f aca="false">IF(S25&gt;6000,S25/6000,1)</f>
        <v>1</v>
      </c>
      <c r="M9" s="564" t="n">
        <f aca="false">ROUNDUP(L9,0)</f>
        <v>1</v>
      </c>
      <c r="N9" s="565" t="n">
        <f aca="false">0.14*6*K13</f>
        <v>42</v>
      </c>
      <c r="O9" s="565"/>
      <c r="P9" s="566" t="n">
        <f aca="false">N9*M9</f>
        <v>42</v>
      </c>
      <c r="Q9" s="566"/>
      <c r="R9" s="321" t="str">
        <f aca="false">F5</f>
        <v>BRANCO</v>
      </c>
      <c r="S9" s="567" t="n">
        <v>6000</v>
      </c>
      <c r="T9" s="568" t="n">
        <f aca="false">0.14*S25/1000</f>
        <v>0.25088</v>
      </c>
      <c r="U9" s="568" t="n">
        <f aca="false">M9*0.84</f>
        <v>0.84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562"/>
      <c r="L10" s="563"/>
      <c r="M10" s="582"/>
      <c r="N10" s="565"/>
      <c r="O10" s="565"/>
      <c r="P10" s="566"/>
      <c r="Q10" s="566"/>
      <c r="R10" s="321"/>
      <c r="S10" s="567"/>
      <c r="T10" s="583"/>
      <c r="U10" s="568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500</v>
      </c>
      <c r="G11" s="69"/>
      <c r="H11" s="72" t="s">
        <v>17</v>
      </c>
      <c r="I11" s="72"/>
      <c r="J11" s="72" t="s">
        <v>33</v>
      </c>
      <c r="K11" s="136"/>
      <c r="L11" s="584"/>
      <c r="M11" s="585"/>
      <c r="N11" s="586"/>
      <c r="O11" s="586"/>
      <c r="P11" s="587"/>
      <c r="Q11" s="587"/>
      <c r="R11" s="321"/>
      <c r="S11" s="588"/>
      <c r="T11" s="589"/>
      <c r="U11" s="590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1000</v>
      </c>
      <c r="G12" s="97"/>
      <c r="H12" s="83" t="s">
        <v>18</v>
      </c>
      <c r="I12" s="83"/>
      <c r="J12" s="83" t="s">
        <v>33</v>
      </c>
      <c r="K12" s="591" t="s">
        <v>669</v>
      </c>
      <c r="L12" s="591"/>
      <c r="M12" s="592" t="s">
        <v>670</v>
      </c>
      <c r="N12" s="592"/>
      <c r="O12" s="592" t="s">
        <v>135</v>
      </c>
      <c r="P12" s="592"/>
      <c r="Q12" s="592" t="s">
        <v>136</v>
      </c>
      <c r="R12" s="592"/>
      <c r="S12" s="593" t="s">
        <v>130</v>
      </c>
      <c r="T12" s="593"/>
      <c r="U12" s="589" t="n">
        <f aca="false">T3+T4+T5+T6+T7+T8</f>
        <v>2.308766</v>
      </c>
    </row>
    <row r="13" customFormat="false" ht="25.5" hidden="false" customHeight="true" outlineLevel="0" collapsed="false">
      <c r="A13" s="79" t="s">
        <v>671</v>
      </c>
      <c r="B13" s="80" t="s">
        <v>360</v>
      </c>
      <c r="C13" s="80"/>
      <c r="D13" s="80"/>
      <c r="E13" s="46" t="n">
        <f aca="false">D7*1</f>
        <v>1</v>
      </c>
      <c r="F13" s="97" t="n">
        <f aca="false">B7</f>
        <v>500</v>
      </c>
      <c r="G13" s="97"/>
      <c r="H13" s="83" t="s">
        <v>17</v>
      </c>
      <c r="I13" s="83"/>
      <c r="J13" s="83" t="s">
        <v>42</v>
      </c>
      <c r="K13" s="410" t="n">
        <v>50</v>
      </c>
      <c r="L13" s="410"/>
      <c r="M13" s="410" t="n">
        <v>100</v>
      </c>
      <c r="N13" s="410"/>
      <c r="O13" s="594" t="n">
        <f aca="false">U12*M13</f>
        <v>230.8766</v>
      </c>
      <c r="P13" s="594"/>
      <c r="Q13" s="595" t="n">
        <f aca="false">K17*R14+K17</f>
        <v>126.98213</v>
      </c>
      <c r="R13" s="595"/>
      <c r="S13" s="593" t="s">
        <v>131</v>
      </c>
      <c r="T13" s="593"/>
      <c r="U13" s="596" t="n">
        <f aca="false">U3+U4+U5+U6+U7+U8</f>
        <v>11.812</v>
      </c>
    </row>
    <row r="14" customFormat="false" ht="25.5" hidden="false" customHeight="true" outlineLevel="0" collapsed="false">
      <c r="A14" s="79" t="s">
        <v>672</v>
      </c>
      <c r="B14" s="80" t="s">
        <v>673</v>
      </c>
      <c r="C14" s="80"/>
      <c r="D14" s="80"/>
      <c r="E14" s="46" t="n">
        <f aca="false">D7*1</f>
        <v>1</v>
      </c>
      <c r="F14" s="97" t="n">
        <f aca="false">B7-92</f>
        <v>408</v>
      </c>
      <c r="G14" s="97"/>
      <c r="H14" s="83" t="s">
        <v>17</v>
      </c>
      <c r="I14" s="83"/>
      <c r="J14" s="83" t="s">
        <v>42</v>
      </c>
      <c r="K14" s="592" t="s">
        <v>195</v>
      </c>
      <c r="L14" s="592"/>
      <c r="M14" s="336"/>
      <c r="N14" s="625"/>
      <c r="O14" s="336"/>
      <c r="P14" s="336"/>
      <c r="Q14" s="336"/>
      <c r="R14" s="597" t="n">
        <v>0.1</v>
      </c>
      <c r="S14" s="593" t="s">
        <v>132</v>
      </c>
      <c r="T14" s="593"/>
      <c r="U14" s="589" t="n">
        <f aca="false">U13-U12</f>
        <v>9.503234</v>
      </c>
    </row>
    <row r="15" customFormat="false" ht="25.5" hidden="false" customHeight="true" outlineLevel="0" collapsed="false">
      <c r="A15" s="79" t="s">
        <v>674</v>
      </c>
      <c r="B15" s="80" t="s">
        <v>675</v>
      </c>
      <c r="C15" s="80"/>
      <c r="D15" s="80"/>
      <c r="E15" s="46" t="n">
        <f aca="false">D7*1</f>
        <v>1</v>
      </c>
      <c r="F15" s="24" t="n">
        <f aca="false">B7-25</f>
        <v>475</v>
      </c>
      <c r="G15" s="24"/>
      <c r="H15" s="83" t="s">
        <v>17</v>
      </c>
      <c r="I15" s="83"/>
      <c r="J15" s="83" t="s">
        <v>33</v>
      </c>
      <c r="K15" s="410" t="n">
        <f aca="false">U13*K13</f>
        <v>590.6</v>
      </c>
      <c r="L15" s="410"/>
      <c r="M15" s="336"/>
      <c r="O15" s="336"/>
      <c r="P15" s="336"/>
      <c r="Q15" s="336"/>
      <c r="R15" s="336"/>
      <c r="S15" s="336"/>
      <c r="T15" s="336"/>
      <c r="U15" s="336"/>
    </row>
    <row r="16" customFormat="false" ht="25.5" hidden="false" customHeight="true" outlineLevel="0" collapsed="false">
      <c r="A16" s="79" t="s">
        <v>674</v>
      </c>
      <c r="B16" s="80" t="s">
        <v>676</v>
      </c>
      <c r="C16" s="80"/>
      <c r="D16" s="80"/>
      <c r="E16" s="46" t="n">
        <f aca="false">D7*2</f>
        <v>2</v>
      </c>
      <c r="F16" s="97" t="n">
        <f aca="false">C7-E7-34</f>
        <v>466</v>
      </c>
      <c r="G16" s="97"/>
      <c r="H16" s="83" t="s">
        <v>18</v>
      </c>
      <c r="I16" s="83"/>
      <c r="J16" s="83" t="s">
        <v>245</v>
      </c>
      <c r="K16" s="592" t="s">
        <v>199</v>
      </c>
      <c r="L16" s="592"/>
      <c r="M16" s="132"/>
      <c r="N16" s="132"/>
      <c r="O16" s="415"/>
      <c r="P16" s="599" t="s">
        <v>654</v>
      </c>
      <c r="Q16" s="599"/>
      <c r="R16" s="599"/>
      <c r="S16" s="415" t="n">
        <f aca="false">E11*F11+E12*F12</f>
        <v>3000</v>
      </c>
      <c r="T16" s="415"/>
      <c r="U16" s="132"/>
    </row>
    <row r="17" customFormat="false" ht="25.5" hidden="false" customHeight="true" outlineLevel="0" collapsed="false">
      <c r="A17" s="79" t="s">
        <v>188</v>
      </c>
      <c r="B17" s="80" t="s">
        <v>203</v>
      </c>
      <c r="C17" s="80"/>
      <c r="D17" s="80"/>
      <c r="E17" s="46" t="n">
        <f aca="false">D7*2</f>
        <v>2</v>
      </c>
      <c r="F17" s="24" t="n">
        <f aca="false">B7-93</f>
        <v>407</v>
      </c>
      <c r="G17" s="24"/>
      <c r="H17" s="83" t="s">
        <v>17</v>
      </c>
      <c r="I17" s="83"/>
      <c r="J17" s="83" t="s">
        <v>42</v>
      </c>
      <c r="K17" s="598" t="n">
        <f aca="false">U12*K13</f>
        <v>115.4383</v>
      </c>
      <c r="L17" s="598"/>
      <c r="M17" s="132"/>
      <c r="N17" s="132"/>
      <c r="O17" s="415"/>
      <c r="P17" s="599" t="s">
        <v>655</v>
      </c>
      <c r="Q17" s="599"/>
      <c r="R17" s="599"/>
      <c r="S17" s="415"/>
      <c r="T17" s="415"/>
      <c r="U17" s="132"/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D7*2</f>
        <v>2</v>
      </c>
      <c r="F18" s="24" t="n">
        <f aca="false">C7-E7-116</f>
        <v>384</v>
      </c>
      <c r="G18" s="24"/>
      <c r="H18" s="83" t="s">
        <v>18</v>
      </c>
      <c r="I18" s="83"/>
      <c r="J18" s="83" t="s">
        <v>42</v>
      </c>
      <c r="M18" s="132"/>
      <c r="N18" s="132"/>
      <c r="O18" s="415"/>
      <c r="P18" s="599" t="s">
        <v>360</v>
      </c>
      <c r="Q18" s="599"/>
      <c r="R18" s="599"/>
      <c r="S18" s="415" t="n">
        <f aca="false">F13*E13</f>
        <v>500</v>
      </c>
      <c r="T18" s="415"/>
      <c r="U18" s="132"/>
    </row>
    <row r="19" customFormat="false" ht="27" hidden="false" customHeight="true" outlineLevel="0" collapsed="false">
      <c r="A19" s="79" t="s">
        <v>668</v>
      </c>
      <c r="B19" s="80" t="s">
        <v>677</v>
      </c>
      <c r="C19" s="80"/>
      <c r="D19" s="80"/>
      <c r="E19" s="46" t="n">
        <f aca="false">D7*1</f>
        <v>1</v>
      </c>
      <c r="F19" s="97" t="n">
        <f aca="false">B7-40</f>
        <v>460</v>
      </c>
      <c r="G19" s="97"/>
      <c r="H19" s="83" t="s">
        <v>17</v>
      </c>
      <c r="I19" s="83"/>
      <c r="J19" s="83" t="s">
        <v>42</v>
      </c>
      <c r="M19" s="132"/>
      <c r="N19" s="132"/>
      <c r="O19" s="415"/>
      <c r="P19" s="599" t="s">
        <v>673</v>
      </c>
      <c r="Q19" s="599"/>
      <c r="R19" s="599"/>
      <c r="S19" s="415" t="n">
        <f aca="false">F14*E14</f>
        <v>408</v>
      </c>
      <c r="T19" s="415"/>
      <c r="U19" s="132"/>
    </row>
    <row r="20" customFormat="false" ht="28.5" hidden="false" customHeight="true" outlineLevel="0" collapsed="false">
      <c r="A20" s="79" t="s">
        <v>678</v>
      </c>
      <c r="B20" s="80" t="s">
        <v>692</v>
      </c>
      <c r="C20" s="80"/>
      <c r="D20" s="80"/>
      <c r="E20" s="46" t="n">
        <f aca="false">D7*2</f>
        <v>2</v>
      </c>
      <c r="F20" s="97" t="n">
        <f aca="false">B7-40</f>
        <v>460</v>
      </c>
      <c r="G20" s="97"/>
      <c r="H20" s="606" t="s">
        <v>17</v>
      </c>
      <c r="I20" s="606"/>
      <c r="J20" s="607" t="s">
        <v>42</v>
      </c>
      <c r="O20" s="109"/>
      <c r="P20" s="599" t="s">
        <v>675</v>
      </c>
      <c r="Q20" s="599"/>
      <c r="R20" s="599"/>
      <c r="S20" s="415" t="n">
        <f aca="false">E15*F15+E16*F16</f>
        <v>1407</v>
      </c>
      <c r="T20" s="109"/>
    </row>
    <row r="21" customFormat="false" ht="26.25" hidden="false" customHeight="true" outlineLevel="0" collapsed="false">
      <c r="A21" s="99" t="s">
        <v>678</v>
      </c>
      <c r="B21" s="100" t="s">
        <v>697</v>
      </c>
      <c r="C21" s="100"/>
      <c r="D21" s="100"/>
      <c r="E21" s="55" t="n">
        <f aca="false">D7*2</f>
        <v>2</v>
      </c>
      <c r="F21" s="246" t="n">
        <f aca="false">E7-64</f>
        <v>436</v>
      </c>
      <c r="G21" s="246"/>
      <c r="H21" s="626" t="s">
        <v>18</v>
      </c>
      <c r="I21" s="626"/>
      <c r="J21" s="103" t="s">
        <v>42</v>
      </c>
      <c r="O21" s="109"/>
      <c r="P21" s="599" t="s">
        <v>676</v>
      </c>
      <c r="Q21" s="599"/>
      <c r="R21" s="599"/>
      <c r="S21" s="415"/>
      <c r="T21" s="109"/>
    </row>
    <row r="22" customFormat="false" ht="17.25" hidden="false" customHeight="true" outlineLevel="0" collapsed="false">
      <c r="A22" s="11" t="s">
        <v>51</v>
      </c>
      <c r="B22" s="20" t="s">
        <v>26</v>
      </c>
      <c r="C22" s="20"/>
      <c r="D22" s="20"/>
      <c r="E22" s="20"/>
      <c r="F22" s="20"/>
      <c r="G22" s="160" t="s">
        <v>206</v>
      </c>
      <c r="H22" s="160"/>
      <c r="I22" s="416" t="s">
        <v>207</v>
      </c>
      <c r="J22" s="416"/>
      <c r="O22" s="109"/>
      <c r="P22" s="599" t="s">
        <v>203</v>
      </c>
      <c r="Q22" s="599"/>
      <c r="R22" s="599"/>
      <c r="S22" s="415" t="n">
        <f aca="false">F17*E17+E18*F18</f>
        <v>1582</v>
      </c>
      <c r="T22" s="109"/>
    </row>
    <row r="23" customFormat="false" ht="17.25" hidden="false" customHeight="true" outlineLevel="0" collapsed="false">
      <c r="A23" s="616" t="s">
        <v>681</v>
      </c>
      <c r="B23" s="314" t="s">
        <v>682</v>
      </c>
      <c r="C23" s="314"/>
      <c r="D23" s="314"/>
      <c r="E23" s="314"/>
      <c r="F23" s="314"/>
      <c r="G23" s="72" t="s">
        <v>64</v>
      </c>
      <c r="H23" s="72"/>
      <c r="I23" s="72" t="n">
        <f aca="false">D7*1</f>
        <v>1</v>
      </c>
      <c r="J23" s="72"/>
      <c r="O23" s="109"/>
      <c r="P23" s="599"/>
      <c r="Q23" s="599"/>
      <c r="R23" s="599"/>
      <c r="S23" s="109"/>
      <c r="T23" s="109"/>
    </row>
    <row r="24" customFormat="false" ht="17.25" hidden="false" customHeight="true" outlineLevel="0" collapsed="false">
      <c r="A24" s="528" t="s">
        <v>683</v>
      </c>
      <c r="B24" s="320" t="s">
        <v>424</v>
      </c>
      <c r="C24" s="320"/>
      <c r="D24" s="320"/>
      <c r="E24" s="320"/>
      <c r="F24" s="320"/>
      <c r="G24" s="83" t="s">
        <v>46</v>
      </c>
      <c r="H24" s="83"/>
      <c r="I24" s="83" t="n">
        <f aca="false">B7*D7</f>
        <v>500</v>
      </c>
      <c r="J24" s="83"/>
      <c r="O24" s="109"/>
      <c r="P24" s="599" t="s">
        <v>677</v>
      </c>
      <c r="Q24" s="599"/>
      <c r="R24" s="599"/>
      <c r="S24" s="109" t="n">
        <f aca="false">F19*E19</f>
        <v>460</v>
      </c>
      <c r="T24" s="109"/>
    </row>
    <row r="25" customFormat="false" ht="17.25" hidden="false" customHeight="true" outlineLevel="0" collapsed="false">
      <c r="A25" s="528" t="s">
        <v>684</v>
      </c>
      <c r="B25" s="320" t="s">
        <v>685</v>
      </c>
      <c r="C25" s="320"/>
      <c r="D25" s="320"/>
      <c r="E25" s="320"/>
      <c r="F25" s="320"/>
      <c r="G25" s="83" t="s">
        <v>46</v>
      </c>
      <c r="H25" s="83"/>
      <c r="I25" s="83" t="n">
        <f aca="false">B7*3</f>
        <v>1500</v>
      </c>
      <c r="J25" s="83"/>
      <c r="O25" s="109"/>
      <c r="P25" s="599" t="s">
        <v>692</v>
      </c>
      <c r="Q25" s="599"/>
      <c r="R25" s="599"/>
      <c r="S25" s="109" t="n">
        <f aca="false">F20*E20+E21*F21</f>
        <v>1792</v>
      </c>
      <c r="T25" s="109"/>
    </row>
    <row r="26" customFormat="false" ht="17.25" hidden="false" customHeight="true" outlineLevel="0" collapsed="false">
      <c r="A26" s="528" t="s">
        <v>686</v>
      </c>
      <c r="B26" s="320" t="s">
        <v>687</v>
      </c>
      <c r="C26" s="320"/>
      <c r="D26" s="320"/>
      <c r="E26" s="320"/>
      <c r="F26" s="320"/>
      <c r="G26" s="83" t="s">
        <v>46</v>
      </c>
      <c r="H26" s="83"/>
      <c r="I26" s="83" t="n">
        <f aca="false">B7*4</f>
        <v>2000</v>
      </c>
      <c r="J26" s="83"/>
      <c r="O26" s="109"/>
      <c r="P26" s="599"/>
      <c r="Q26" s="599"/>
      <c r="R26" s="599"/>
      <c r="S26" s="109"/>
      <c r="T26" s="109"/>
    </row>
    <row r="27" customFormat="false" ht="17.25" hidden="false" customHeight="true" outlineLevel="0" collapsed="false">
      <c r="A27" s="528" t="s">
        <v>688</v>
      </c>
      <c r="B27" s="320" t="s">
        <v>340</v>
      </c>
      <c r="C27" s="320"/>
      <c r="D27" s="320"/>
      <c r="E27" s="320"/>
      <c r="F27" s="320"/>
      <c r="G27" s="83" t="s">
        <v>64</v>
      </c>
      <c r="H27" s="83"/>
      <c r="I27" s="83" t="n">
        <f aca="false">D7*2</f>
        <v>2</v>
      </c>
      <c r="J27" s="83"/>
      <c r="O27" s="109"/>
      <c r="P27" s="109"/>
      <c r="Q27" s="109"/>
      <c r="R27" s="109"/>
      <c r="S27" s="109"/>
      <c r="T27" s="109"/>
    </row>
    <row r="28" customFormat="false" ht="17.25" hidden="false" customHeight="true" outlineLevel="0" collapsed="false">
      <c r="A28" s="528" t="s">
        <v>233</v>
      </c>
      <c r="B28" s="320" t="s">
        <v>689</v>
      </c>
      <c r="C28" s="320"/>
      <c r="D28" s="320"/>
      <c r="E28" s="320"/>
      <c r="F28" s="320"/>
      <c r="G28" s="83" t="s">
        <v>64</v>
      </c>
      <c r="H28" s="83"/>
      <c r="I28" s="83" t="n">
        <f aca="false">D7*6</f>
        <v>6</v>
      </c>
      <c r="J28" s="83"/>
    </row>
    <row r="29" customFormat="false" ht="17.25" hidden="false" customHeight="true" outlineLevel="0" collapsed="false">
      <c r="A29" s="528" t="s">
        <v>690</v>
      </c>
      <c r="B29" s="320" t="s">
        <v>691</v>
      </c>
      <c r="C29" s="320"/>
      <c r="D29" s="320"/>
      <c r="E29" s="320"/>
      <c r="F29" s="320"/>
      <c r="G29" s="83" t="s">
        <v>64</v>
      </c>
      <c r="H29" s="83"/>
      <c r="I29" s="83" t="n">
        <f aca="false">D7*4</f>
        <v>4</v>
      </c>
      <c r="J29" s="83"/>
    </row>
    <row r="30" customFormat="false" ht="17.25" hidden="false" customHeight="true" outlineLevel="0" collapsed="false">
      <c r="A30" s="528"/>
      <c r="B30" s="320"/>
      <c r="C30" s="320"/>
      <c r="D30" s="320"/>
      <c r="E30" s="320"/>
      <c r="F30" s="320"/>
      <c r="G30" s="83"/>
      <c r="H30" s="83"/>
      <c r="I30" s="83"/>
      <c r="J30" s="83"/>
    </row>
    <row r="31" customFormat="false" ht="17.25" hidden="false" customHeight="true" outlineLevel="0" collapsed="false">
      <c r="A31" s="528"/>
      <c r="B31" s="320"/>
      <c r="C31" s="320"/>
      <c r="D31" s="320"/>
      <c r="E31" s="320"/>
      <c r="F31" s="320"/>
      <c r="G31" s="83"/>
      <c r="H31" s="83"/>
      <c r="I31" s="83"/>
      <c r="J31" s="83"/>
      <c r="L31" s="612"/>
      <c r="M31" s="612"/>
      <c r="N31" s="612"/>
      <c r="O31" s="612"/>
      <c r="P31" s="612"/>
      <c r="Q31" s="613"/>
      <c r="R31" s="613"/>
      <c r="S31" s="613"/>
      <c r="T31" s="613"/>
    </row>
    <row r="32" customFormat="false" ht="17.25" hidden="false" customHeight="true" outlineLevel="0" collapsed="false">
      <c r="A32" s="528"/>
      <c r="B32" s="320"/>
      <c r="C32" s="320"/>
      <c r="D32" s="320"/>
      <c r="E32" s="320"/>
      <c r="F32" s="320"/>
      <c r="G32" s="83"/>
      <c r="H32" s="83"/>
      <c r="I32" s="83"/>
      <c r="J32" s="83"/>
      <c r="K32" s="614"/>
      <c r="L32" s="614"/>
      <c r="M32" s="93"/>
      <c r="N32" s="93"/>
      <c r="O32" s="93"/>
      <c r="P32" s="93"/>
      <c r="Q32" s="93"/>
      <c r="R32" s="93"/>
      <c r="S32" s="93"/>
    </row>
    <row r="33" customFormat="false" ht="17.25" hidden="false" customHeight="true" outlineLevel="0" collapsed="false">
      <c r="A33" s="528"/>
      <c r="B33" s="320"/>
      <c r="C33" s="320"/>
      <c r="D33" s="320"/>
      <c r="E33" s="320"/>
      <c r="F33" s="320"/>
      <c r="G33" s="83"/>
      <c r="H33" s="83"/>
      <c r="I33" s="83"/>
      <c r="J33" s="83"/>
      <c r="K33" s="615"/>
      <c r="L33" s="93"/>
      <c r="M33" s="93"/>
      <c r="N33" s="124"/>
      <c r="O33" s="93"/>
      <c r="P33" s="93"/>
      <c r="Q33" s="93"/>
      <c r="R33" s="93"/>
      <c r="S33" s="93"/>
    </row>
    <row r="34" customFormat="false" ht="17.25" hidden="false" customHeight="true" outlineLevel="0" collapsed="false">
      <c r="A34" s="617"/>
      <c r="B34" s="618"/>
      <c r="C34" s="618"/>
      <c r="D34" s="618"/>
      <c r="E34" s="618"/>
      <c r="F34" s="618"/>
      <c r="G34" s="103"/>
      <c r="H34" s="103"/>
      <c r="I34" s="103"/>
      <c r="J34" s="103"/>
      <c r="K34" s="615"/>
      <c r="L34" s="93"/>
      <c r="M34" s="93"/>
      <c r="N34" s="93"/>
      <c r="O34" s="93"/>
      <c r="P34" s="93"/>
      <c r="Q34" s="93"/>
      <c r="R34" s="93"/>
      <c r="S34" s="93"/>
    </row>
    <row r="35" customFormat="false" ht="17.25" hidden="false" customHeight="true" outlineLevel="0" collapsed="false">
      <c r="B35" s="612"/>
      <c r="C35" s="612"/>
      <c r="D35" s="612"/>
      <c r="E35" s="612"/>
      <c r="F35" s="612"/>
      <c r="G35" s="613"/>
      <c r="H35" s="613"/>
      <c r="I35" s="613"/>
      <c r="J35" s="613"/>
      <c r="K35" s="93"/>
      <c r="L35" s="93"/>
      <c r="M35" s="93"/>
      <c r="N35" s="124"/>
      <c r="O35" s="93"/>
      <c r="P35" s="93"/>
      <c r="Q35" s="93"/>
      <c r="R35" s="93"/>
      <c r="S35" s="93"/>
    </row>
    <row r="36" customFormat="false" ht="17.25" hidden="false" customHeight="true" outlineLevel="0" collapsed="false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3"/>
      <c r="L36" s="93"/>
      <c r="M36" s="93"/>
      <c r="N36" s="124"/>
      <c r="O36" s="93"/>
      <c r="P36" s="93"/>
      <c r="Q36" s="93"/>
      <c r="R36" s="93"/>
    </row>
    <row r="37" customFormat="false" ht="15" hidden="false" customHeight="false" outlineLevel="0" collapsed="false">
      <c r="K37" s="93"/>
      <c r="L37" s="93"/>
      <c r="M37" s="93"/>
      <c r="N37" s="93"/>
      <c r="O37" s="93"/>
      <c r="P37" s="93"/>
      <c r="Q37" s="93"/>
      <c r="R37" s="93"/>
    </row>
    <row r="38" customFormat="false" ht="15" hidden="false" customHeight="false" outlineLevel="0" collapsed="false">
      <c r="K38" s="93"/>
      <c r="L38" s="93"/>
      <c r="M38" s="93"/>
      <c r="N38" s="93"/>
      <c r="O38" s="93"/>
      <c r="P38" s="93"/>
      <c r="Q38" s="93"/>
      <c r="R38" s="93"/>
    </row>
    <row r="39" customFormat="false" ht="15" hidden="false" customHeight="false" outlineLevel="0" collapsed="false">
      <c r="K39" s="93"/>
      <c r="L39" s="93"/>
      <c r="M39" s="93"/>
      <c r="N39" s="93"/>
      <c r="O39" s="93"/>
      <c r="P39" s="93"/>
      <c r="Q39" s="93"/>
      <c r="R39" s="93"/>
    </row>
    <row r="40" customFormat="false" ht="15" hidden="false" customHeight="false" outlineLevel="0" collapsed="false">
      <c r="K40" s="93"/>
      <c r="L40" s="93"/>
      <c r="M40" s="93"/>
      <c r="N40" s="93"/>
      <c r="O40" s="93"/>
      <c r="P40" s="93"/>
      <c r="Q40" s="93"/>
      <c r="R40" s="93"/>
    </row>
    <row r="41" customFormat="false" ht="15" hidden="false" customHeight="false" outlineLevel="0" collapsed="false">
      <c r="K41" s="93"/>
      <c r="L41" s="93"/>
      <c r="M41" s="93"/>
      <c r="N41" s="93"/>
      <c r="O41" s="93"/>
      <c r="P41" s="93"/>
      <c r="Q41" s="93"/>
      <c r="R41" s="93"/>
    </row>
    <row r="42" customFormat="false" ht="15" hidden="false" customHeight="false" outlineLevel="0" collapsed="false">
      <c r="K42" s="93"/>
      <c r="L42" s="93"/>
      <c r="M42" s="93"/>
      <c r="N42" s="93"/>
      <c r="O42" s="93"/>
      <c r="P42" s="93"/>
      <c r="Q42" s="93"/>
      <c r="R42" s="93"/>
    </row>
    <row r="43" customFormat="false" ht="15" hidden="false" customHeight="false" outlineLevel="0" collapsed="false">
      <c r="K43" s="93"/>
      <c r="L43" s="93"/>
      <c r="M43" s="93"/>
      <c r="N43" s="93"/>
      <c r="O43" s="93"/>
      <c r="P43" s="93"/>
      <c r="Q43" s="93"/>
      <c r="R43" s="93"/>
    </row>
    <row r="44" customFormat="false" ht="15" hidden="false" customHeight="false" outlineLevel="0" collapsed="false">
      <c r="K44" s="93"/>
      <c r="L44" s="93"/>
      <c r="M44" s="93"/>
      <c r="N44" s="93"/>
      <c r="O44" s="93"/>
      <c r="P44" s="93"/>
      <c r="Q44" s="93"/>
      <c r="R44" s="93"/>
    </row>
  </sheetData>
  <mergeCells count="146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F6:G6"/>
    <mergeCell ref="H6:J9"/>
    <mergeCell ref="N6:O6"/>
    <mergeCell ref="P6:Q6"/>
    <mergeCell ref="F7:G7"/>
    <mergeCell ref="N7:O7"/>
    <mergeCell ref="P7:Q7"/>
    <mergeCell ref="A8:B8"/>
    <mergeCell ref="N8:O8"/>
    <mergeCell ref="P8:Q8"/>
    <mergeCell ref="A9:B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P16:R16"/>
    <mergeCell ref="B17:D17"/>
    <mergeCell ref="F17:G17"/>
    <mergeCell ref="H17:I17"/>
    <mergeCell ref="K17:L17"/>
    <mergeCell ref="P17:R17"/>
    <mergeCell ref="B18:D18"/>
    <mergeCell ref="F18:G18"/>
    <mergeCell ref="H18:I18"/>
    <mergeCell ref="P18:R18"/>
    <mergeCell ref="B19:D19"/>
    <mergeCell ref="F19:G19"/>
    <mergeCell ref="H19:I19"/>
    <mergeCell ref="P19:R19"/>
    <mergeCell ref="B20:D20"/>
    <mergeCell ref="F20:G20"/>
    <mergeCell ref="H20:I20"/>
    <mergeCell ref="P20:R20"/>
    <mergeCell ref="B21:D21"/>
    <mergeCell ref="F21:G21"/>
    <mergeCell ref="H21:I21"/>
    <mergeCell ref="P21:R21"/>
    <mergeCell ref="B22:F22"/>
    <mergeCell ref="G22:H22"/>
    <mergeCell ref="I22:J22"/>
    <mergeCell ref="P22:R22"/>
    <mergeCell ref="B23:F23"/>
    <mergeCell ref="G23:H23"/>
    <mergeCell ref="I23:J23"/>
    <mergeCell ref="P23:R23"/>
    <mergeCell ref="B24:F24"/>
    <mergeCell ref="G24:H24"/>
    <mergeCell ref="I24:J24"/>
    <mergeCell ref="P24:R24"/>
    <mergeCell ref="B25:F25"/>
    <mergeCell ref="G25:H25"/>
    <mergeCell ref="I25:J25"/>
    <mergeCell ref="P25:R25"/>
    <mergeCell ref="B26:F26"/>
    <mergeCell ref="G26:H26"/>
    <mergeCell ref="I26:J26"/>
    <mergeCell ref="P26:R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L31:P31"/>
    <mergeCell ref="Q31:R31"/>
    <mergeCell ref="S31:T31"/>
    <mergeCell ref="B32:F32"/>
    <mergeCell ref="G32:H32"/>
    <mergeCell ref="I32:J32"/>
    <mergeCell ref="K32:L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8.29"/>
    <col collapsed="false" customWidth="true" hidden="false" outlineLevel="0" max="12" min="12" style="1" width="7.29"/>
    <col collapsed="false" customWidth="true" hidden="false" outlineLevel="0" max="15" min="15" style="1" width="5.86"/>
    <col collapsed="false" customWidth="true" hidden="false" outlineLevel="0" max="17" min="17" style="1" width="6.57"/>
  </cols>
  <sheetData>
    <row r="1" customFormat="false" ht="20.25" hidden="false" customHeight="true" outlineLevel="0" collapsed="false">
      <c r="A1" s="2" t="s">
        <v>698</v>
      </c>
      <c r="B1" s="2"/>
      <c r="C1" s="2"/>
      <c r="D1" s="2"/>
      <c r="E1" s="2"/>
      <c r="F1" s="2"/>
      <c r="G1" s="2"/>
      <c r="H1" s="554" t="s">
        <v>1</v>
      </c>
      <c r="I1" s="554"/>
      <c r="J1" s="55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554"/>
      <c r="I2" s="554"/>
      <c r="J2" s="554"/>
      <c r="K2" s="521" t="s">
        <v>4</v>
      </c>
      <c r="L2" s="521"/>
      <c r="M2" s="523" t="s">
        <v>5</v>
      </c>
      <c r="N2" s="529" t="s">
        <v>6</v>
      </c>
      <c r="O2" s="529"/>
      <c r="P2" s="529" t="s">
        <v>7</v>
      </c>
      <c r="Q2" s="529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554"/>
      <c r="I3" s="554"/>
      <c r="J3" s="554"/>
      <c r="K3" s="555" t="str">
        <f aca="false">A11</f>
        <v>SU-079</v>
      </c>
      <c r="L3" s="556" t="n">
        <f aca="false">IF(S16&gt;6000,S16/6000,1)</f>
        <v>1</v>
      </c>
      <c r="M3" s="557" t="n">
        <f aca="false">ROUNDUP(L3,0)</f>
        <v>1</v>
      </c>
      <c r="N3" s="558" t="n">
        <f aca="false">0.341*6*K13</f>
        <v>102.3</v>
      </c>
      <c r="O3" s="558"/>
      <c r="P3" s="559" t="n">
        <f aca="false">N3*M3</f>
        <v>102.3</v>
      </c>
      <c r="Q3" s="559"/>
      <c r="R3" s="315" t="str">
        <f aca="false">F5</f>
        <v>BRANCO</v>
      </c>
      <c r="S3" s="560" t="n">
        <v>6000</v>
      </c>
      <c r="T3" s="561" t="n">
        <f aca="false">S16*0.341/1000</f>
        <v>1.023</v>
      </c>
      <c r="U3" s="561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554"/>
      <c r="I4" s="554"/>
      <c r="J4" s="554"/>
      <c r="K4" s="562" t="str">
        <f aca="false">A13</f>
        <v>SU-276</v>
      </c>
      <c r="L4" s="563" t="n">
        <f aca="false">IF(S18&gt;6000,S18/6000,1)</f>
        <v>1</v>
      </c>
      <c r="M4" s="564" t="n">
        <f aca="false">ROUNDUP(L4,0)</f>
        <v>1</v>
      </c>
      <c r="N4" s="565" t="n">
        <f aca="false">0.168*6*K13</f>
        <v>50.4</v>
      </c>
      <c r="O4" s="565"/>
      <c r="P4" s="566" t="n">
        <f aca="false">N4*M4</f>
        <v>50.4</v>
      </c>
      <c r="Q4" s="566"/>
      <c r="R4" s="321" t="str">
        <f aca="false">F5</f>
        <v>BRANCO</v>
      </c>
      <c r="S4" s="567" t="n">
        <v>6000</v>
      </c>
      <c r="T4" s="568" t="n">
        <f aca="false">S18*0.168/1000</f>
        <v>0.084</v>
      </c>
      <c r="U4" s="568" t="n">
        <f aca="false">M4*1.008</f>
        <v>1.008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55" t="s">
        <v>15</v>
      </c>
      <c r="G5" s="255"/>
      <c r="H5" s="554"/>
      <c r="I5" s="554"/>
      <c r="J5" s="554"/>
      <c r="K5" s="562" t="str">
        <f aca="false">A14</f>
        <v>SU-082</v>
      </c>
      <c r="L5" s="563" t="n">
        <f aca="false">IF(S19&gt;6000,S19/6000,1)</f>
        <v>1</v>
      </c>
      <c r="M5" s="571" t="n">
        <f aca="false">ROUNDUP(L5,0)</f>
        <v>1</v>
      </c>
      <c r="N5" s="565" t="n">
        <f aca="false">0.312*6*K13</f>
        <v>93.6</v>
      </c>
      <c r="O5" s="565"/>
      <c r="P5" s="566" t="n">
        <f aca="false">N5*M5</f>
        <v>93.6</v>
      </c>
      <c r="Q5" s="566"/>
      <c r="R5" s="321" t="str">
        <f aca="false">F5</f>
        <v>BRANCO</v>
      </c>
      <c r="S5" s="567" t="n">
        <v>6000</v>
      </c>
      <c r="T5" s="568" t="n">
        <f aca="false">S19*0.312/1000</f>
        <v>0.127296</v>
      </c>
      <c r="U5" s="568" t="n">
        <f aca="false">M5*1.872</f>
        <v>1.872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20" t="s">
        <v>694</v>
      </c>
      <c r="F6" s="473" t="s">
        <v>121</v>
      </c>
      <c r="G6" s="473"/>
      <c r="H6" s="270"/>
      <c r="I6" s="270"/>
      <c r="J6" s="270"/>
      <c r="K6" s="562" t="str">
        <f aca="false">A15</f>
        <v>SU-200</v>
      </c>
      <c r="L6" s="563" t="n">
        <f aca="false">IF(S20&gt;6000,S20/6000,1)</f>
        <v>1</v>
      </c>
      <c r="M6" s="564" t="n">
        <f aca="false">ROUNDUP(L6,0)</f>
        <v>1</v>
      </c>
      <c r="N6" s="565" t="n">
        <f aca="false">0.444*6*K13</f>
        <v>133.2</v>
      </c>
      <c r="O6" s="565"/>
      <c r="P6" s="566" t="n">
        <f aca="false">N6*M6</f>
        <v>133.2</v>
      </c>
      <c r="Q6" s="566"/>
      <c r="R6" s="321" t="str">
        <f aca="false">F5</f>
        <v>BRANCO</v>
      </c>
      <c r="S6" s="567" t="n">
        <v>6000</v>
      </c>
      <c r="T6" s="568" t="n">
        <f aca="false">S20*0.444/1000</f>
        <v>0.624708</v>
      </c>
      <c r="U6" s="568" t="n">
        <f aca="false">M6*2.644</f>
        <v>2.644</v>
      </c>
    </row>
    <row r="7" customFormat="false" ht="27" hidden="false" customHeight="true" outlineLevel="0" collapsed="false">
      <c r="A7" s="271" t="n">
        <v>600</v>
      </c>
      <c r="B7" s="272" t="n">
        <v>500</v>
      </c>
      <c r="C7" s="272" t="n">
        <v>1000</v>
      </c>
      <c r="D7" s="272" t="n">
        <v>1</v>
      </c>
      <c r="E7" s="619" t="n">
        <v>500</v>
      </c>
      <c r="F7" s="620" t="n">
        <f aca="false">(B7*C7)/10^6</f>
        <v>0.5</v>
      </c>
      <c r="G7" s="620"/>
      <c r="H7" s="270"/>
      <c r="I7" s="270"/>
      <c r="J7" s="270"/>
      <c r="K7" s="577" t="s">
        <v>188</v>
      </c>
      <c r="L7" s="563" t="n">
        <f aca="false">IF(S22&gt;6000,S22/6000,1)</f>
        <v>1</v>
      </c>
      <c r="M7" s="564" t="n">
        <f aca="false">ROUNDUP(L7,0)</f>
        <v>1</v>
      </c>
      <c r="N7" s="565" t="n">
        <f aca="false">0.111*6*K13</f>
        <v>33.3</v>
      </c>
      <c r="O7" s="565"/>
      <c r="P7" s="566" t="n">
        <f aca="false">N7*M7</f>
        <v>33.3</v>
      </c>
      <c r="Q7" s="566"/>
      <c r="R7" s="321" t="str">
        <f aca="false">F5</f>
        <v>BRANCO</v>
      </c>
      <c r="S7" s="567" t="n">
        <v>6000</v>
      </c>
      <c r="T7" s="568" t="n">
        <f aca="false">0.111*S22/1000</f>
        <v>0.175602</v>
      </c>
      <c r="U7" s="568" t="n">
        <f aca="false">M7*0.666</f>
        <v>0.666</v>
      </c>
    </row>
    <row r="8" customFormat="false" ht="24" hidden="false" customHeight="true" outlineLevel="0" collapsed="false">
      <c r="A8" s="104" t="s">
        <v>120</v>
      </c>
      <c r="B8" s="104"/>
      <c r="C8" s="621" t="n">
        <f aca="false">F7*A7</f>
        <v>300</v>
      </c>
      <c r="D8" s="622" t="s">
        <v>695</v>
      </c>
      <c r="E8" s="39" t="n">
        <f aca="false">B7-98</f>
        <v>402</v>
      </c>
      <c r="F8" s="623" t="n">
        <f aca="false">C7-E7-92</f>
        <v>408</v>
      </c>
      <c r="G8" s="69" t="n">
        <f aca="false">D7*1</f>
        <v>1</v>
      </c>
      <c r="H8" s="270"/>
      <c r="I8" s="270"/>
      <c r="J8" s="270"/>
      <c r="K8" s="562" t="s">
        <v>668</v>
      </c>
      <c r="L8" s="563" t="n">
        <f aca="false">IF(S24&gt;6000,S24/6000,1)</f>
        <v>1</v>
      </c>
      <c r="M8" s="564" t="n">
        <f aca="false">ROUNDUP(L8,0)</f>
        <v>1</v>
      </c>
      <c r="N8" s="565" t="n">
        <f aca="false">0.596*6*K13</f>
        <v>178.8</v>
      </c>
      <c r="O8" s="565"/>
      <c r="P8" s="566" t="n">
        <f aca="false">N8*M8</f>
        <v>178.8</v>
      </c>
      <c r="Q8" s="566"/>
      <c r="R8" s="321" t="str">
        <f aca="false">F5</f>
        <v>BRANCO</v>
      </c>
      <c r="S8" s="567" t="n">
        <f aca="false">S7</f>
        <v>6000</v>
      </c>
      <c r="T8" s="568" t="n">
        <f aca="false">0.596*S24/1000</f>
        <v>0.27416</v>
      </c>
      <c r="U8" s="568" t="n">
        <f aca="false">M8*3.576</f>
        <v>3.576</v>
      </c>
    </row>
    <row r="9" customFormat="false" ht="26.25" hidden="false" customHeight="true" outlineLevel="0" collapsed="false">
      <c r="A9" s="104" t="s">
        <v>122</v>
      </c>
      <c r="B9" s="104"/>
      <c r="C9" s="621" t="n">
        <f aca="false">C8*D7</f>
        <v>300</v>
      </c>
      <c r="D9" s="624" t="s">
        <v>696</v>
      </c>
      <c r="E9" s="442" t="n">
        <f aca="false">B7-46</f>
        <v>454</v>
      </c>
      <c r="F9" s="623" t="n">
        <f aca="false">C7-E7-40</f>
        <v>460</v>
      </c>
      <c r="G9" s="39" t="n">
        <f aca="false">D7*1</f>
        <v>1</v>
      </c>
      <c r="H9" s="270"/>
      <c r="I9" s="270"/>
      <c r="J9" s="270"/>
      <c r="K9" s="562" t="s">
        <v>660</v>
      </c>
      <c r="L9" s="563" t="n">
        <f aca="false">IF(S25&gt;6000,S25/6000,1)</f>
        <v>1</v>
      </c>
      <c r="M9" s="564" t="n">
        <f aca="false">ROUNDUP(L9,0)</f>
        <v>1</v>
      </c>
      <c r="N9" s="565" t="n">
        <f aca="false">0.14*6*K13</f>
        <v>42</v>
      </c>
      <c r="O9" s="565"/>
      <c r="P9" s="566" t="n">
        <f aca="false">N9*M9</f>
        <v>42</v>
      </c>
      <c r="Q9" s="566"/>
      <c r="R9" s="321" t="str">
        <f aca="false">F5</f>
        <v>BRANCO</v>
      </c>
      <c r="S9" s="567" t="n">
        <v>6000</v>
      </c>
      <c r="T9" s="568" t="n">
        <f aca="false">0.14*S25/1000</f>
        <v>0.25088</v>
      </c>
      <c r="U9" s="568" t="n">
        <f aca="false">M9*0.84</f>
        <v>0.84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2" t="s">
        <v>30</v>
      </c>
      <c r="K10" s="562"/>
      <c r="L10" s="563"/>
      <c r="M10" s="582"/>
      <c r="N10" s="565"/>
      <c r="O10" s="565"/>
      <c r="P10" s="566"/>
      <c r="Q10" s="566"/>
      <c r="R10" s="321"/>
      <c r="S10" s="567"/>
      <c r="T10" s="583"/>
      <c r="U10" s="568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500</v>
      </c>
      <c r="G11" s="69"/>
      <c r="H11" s="72" t="s">
        <v>17</v>
      </c>
      <c r="I11" s="72"/>
      <c r="J11" s="72" t="s">
        <v>33</v>
      </c>
      <c r="K11" s="136"/>
      <c r="L11" s="584"/>
      <c r="M11" s="585"/>
      <c r="N11" s="586"/>
      <c r="O11" s="586"/>
      <c r="P11" s="587"/>
      <c r="Q11" s="587"/>
      <c r="R11" s="321"/>
      <c r="S11" s="588"/>
      <c r="T11" s="589"/>
      <c r="U11" s="590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1000</v>
      </c>
      <c r="G12" s="97"/>
      <c r="H12" s="83" t="s">
        <v>18</v>
      </c>
      <c r="I12" s="83"/>
      <c r="J12" s="83" t="s">
        <v>33</v>
      </c>
      <c r="K12" s="591" t="s">
        <v>669</v>
      </c>
      <c r="L12" s="591"/>
      <c r="M12" s="592" t="s">
        <v>670</v>
      </c>
      <c r="N12" s="592"/>
      <c r="O12" s="592" t="s">
        <v>135</v>
      </c>
      <c r="P12" s="592"/>
      <c r="Q12" s="592" t="s">
        <v>136</v>
      </c>
      <c r="R12" s="592"/>
      <c r="S12" s="593" t="s">
        <v>130</v>
      </c>
      <c r="T12" s="593"/>
      <c r="U12" s="589" t="n">
        <f aca="false">T3+T4+T5+T6+T7+T8</f>
        <v>2.308766</v>
      </c>
    </row>
    <row r="13" customFormat="false" ht="25.5" hidden="false" customHeight="true" outlineLevel="0" collapsed="false">
      <c r="A13" s="79" t="s">
        <v>671</v>
      </c>
      <c r="B13" s="80" t="s">
        <v>360</v>
      </c>
      <c r="C13" s="80"/>
      <c r="D13" s="80"/>
      <c r="E13" s="46" t="n">
        <f aca="false">D7*1</f>
        <v>1</v>
      </c>
      <c r="F13" s="97" t="n">
        <f aca="false">B7</f>
        <v>500</v>
      </c>
      <c r="G13" s="97"/>
      <c r="H13" s="83" t="s">
        <v>17</v>
      </c>
      <c r="I13" s="83"/>
      <c r="J13" s="83" t="s">
        <v>42</v>
      </c>
      <c r="K13" s="410" t="n">
        <v>50</v>
      </c>
      <c r="L13" s="410"/>
      <c r="M13" s="410" t="n">
        <v>100</v>
      </c>
      <c r="N13" s="410"/>
      <c r="O13" s="594" t="n">
        <f aca="false">U12*M13</f>
        <v>230.8766</v>
      </c>
      <c r="P13" s="594"/>
      <c r="Q13" s="595" t="n">
        <f aca="false">K17*R14+K17</f>
        <v>126.98213</v>
      </c>
      <c r="R13" s="595"/>
      <c r="S13" s="593" t="s">
        <v>131</v>
      </c>
      <c r="T13" s="593"/>
      <c r="U13" s="596" t="n">
        <f aca="false">U3+U4+U5+U6+U7+U8</f>
        <v>11.812</v>
      </c>
    </row>
    <row r="14" customFormat="false" ht="25.5" hidden="false" customHeight="true" outlineLevel="0" collapsed="false">
      <c r="A14" s="79" t="s">
        <v>672</v>
      </c>
      <c r="B14" s="80" t="s">
        <v>673</v>
      </c>
      <c r="C14" s="80"/>
      <c r="D14" s="80"/>
      <c r="E14" s="46" t="n">
        <f aca="false">D7*1</f>
        <v>1</v>
      </c>
      <c r="F14" s="97" t="n">
        <f aca="false">B7-92</f>
        <v>408</v>
      </c>
      <c r="G14" s="97"/>
      <c r="H14" s="83" t="s">
        <v>17</v>
      </c>
      <c r="I14" s="83"/>
      <c r="J14" s="83" t="s">
        <v>42</v>
      </c>
      <c r="K14" s="592" t="s">
        <v>195</v>
      </c>
      <c r="L14" s="592"/>
      <c r="M14" s="336"/>
      <c r="N14" s="625"/>
      <c r="O14" s="336"/>
      <c r="P14" s="336"/>
      <c r="Q14" s="336"/>
      <c r="R14" s="597" t="n">
        <v>0.1</v>
      </c>
      <c r="S14" s="593" t="s">
        <v>132</v>
      </c>
      <c r="T14" s="593"/>
      <c r="U14" s="589" t="n">
        <f aca="false">U13-U12</f>
        <v>9.503234</v>
      </c>
    </row>
    <row r="15" customFormat="false" ht="25.5" hidden="false" customHeight="true" outlineLevel="0" collapsed="false">
      <c r="A15" s="79" t="s">
        <v>674</v>
      </c>
      <c r="B15" s="80" t="s">
        <v>675</v>
      </c>
      <c r="C15" s="80"/>
      <c r="D15" s="80"/>
      <c r="E15" s="46" t="n">
        <f aca="false">D7*1</f>
        <v>1</v>
      </c>
      <c r="F15" s="24" t="n">
        <f aca="false">B7-25</f>
        <v>475</v>
      </c>
      <c r="G15" s="24"/>
      <c r="H15" s="83" t="s">
        <v>17</v>
      </c>
      <c r="I15" s="83"/>
      <c r="J15" s="83" t="s">
        <v>33</v>
      </c>
      <c r="K15" s="410" t="n">
        <f aca="false">U13*K13</f>
        <v>590.6</v>
      </c>
      <c r="L15" s="410"/>
      <c r="M15" s="336"/>
      <c r="O15" s="336"/>
      <c r="P15" s="336"/>
      <c r="Q15" s="336"/>
      <c r="R15" s="336"/>
      <c r="S15" s="336"/>
      <c r="T15" s="336"/>
      <c r="U15" s="336"/>
    </row>
    <row r="16" customFormat="false" ht="25.5" hidden="false" customHeight="true" outlineLevel="0" collapsed="false">
      <c r="A16" s="79" t="s">
        <v>674</v>
      </c>
      <c r="B16" s="80" t="s">
        <v>676</v>
      </c>
      <c r="C16" s="80"/>
      <c r="D16" s="80"/>
      <c r="E16" s="46" t="n">
        <f aca="false">D7*2</f>
        <v>2</v>
      </c>
      <c r="F16" s="97" t="n">
        <f aca="false">C7-E7-34</f>
        <v>466</v>
      </c>
      <c r="G16" s="97"/>
      <c r="H16" s="83" t="s">
        <v>18</v>
      </c>
      <c r="I16" s="83"/>
      <c r="J16" s="83" t="s">
        <v>245</v>
      </c>
      <c r="K16" s="592" t="s">
        <v>199</v>
      </c>
      <c r="L16" s="592"/>
      <c r="M16" s="132"/>
      <c r="N16" s="132"/>
      <c r="O16" s="415"/>
      <c r="P16" s="599" t="s">
        <v>654</v>
      </c>
      <c r="Q16" s="599"/>
      <c r="R16" s="599"/>
      <c r="S16" s="415" t="n">
        <f aca="false">E11*F11+E12*F12</f>
        <v>3000</v>
      </c>
      <c r="T16" s="415"/>
      <c r="U16" s="132"/>
    </row>
    <row r="17" customFormat="false" ht="25.5" hidden="false" customHeight="true" outlineLevel="0" collapsed="false">
      <c r="A17" s="79" t="s">
        <v>188</v>
      </c>
      <c r="B17" s="80" t="s">
        <v>203</v>
      </c>
      <c r="C17" s="80"/>
      <c r="D17" s="80"/>
      <c r="E17" s="46" t="n">
        <f aca="false">D7*2</f>
        <v>2</v>
      </c>
      <c r="F17" s="24" t="n">
        <f aca="false">B7-93</f>
        <v>407</v>
      </c>
      <c r="G17" s="24"/>
      <c r="H17" s="83" t="s">
        <v>17</v>
      </c>
      <c r="I17" s="83"/>
      <c r="J17" s="83" t="s">
        <v>42</v>
      </c>
      <c r="K17" s="598" t="n">
        <f aca="false">U12*K13</f>
        <v>115.4383</v>
      </c>
      <c r="L17" s="598"/>
      <c r="M17" s="132"/>
      <c r="N17" s="132"/>
      <c r="O17" s="415"/>
      <c r="P17" s="599" t="s">
        <v>655</v>
      </c>
      <c r="Q17" s="599"/>
      <c r="R17" s="599"/>
      <c r="S17" s="415"/>
      <c r="T17" s="415"/>
      <c r="U17" s="132"/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D7*2</f>
        <v>2</v>
      </c>
      <c r="F18" s="24" t="n">
        <f aca="false">C7-E7-116</f>
        <v>384</v>
      </c>
      <c r="G18" s="24"/>
      <c r="H18" s="83" t="s">
        <v>18</v>
      </c>
      <c r="I18" s="83"/>
      <c r="J18" s="83" t="s">
        <v>42</v>
      </c>
      <c r="M18" s="132"/>
      <c r="N18" s="132"/>
      <c r="O18" s="415"/>
      <c r="P18" s="599" t="s">
        <v>360</v>
      </c>
      <c r="Q18" s="599"/>
      <c r="R18" s="599"/>
      <c r="S18" s="415" t="n">
        <f aca="false">F13*E13</f>
        <v>500</v>
      </c>
      <c r="T18" s="415"/>
      <c r="U18" s="132"/>
    </row>
    <row r="19" customFormat="false" ht="27" hidden="false" customHeight="true" outlineLevel="0" collapsed="false">
      <c r="A19" s="79" t="s">
        <v>668</v>
      </c>
      <c r="B19" s="80" t="s">
        <v>677</v>
      </c>
      <c r="C19" s="80"/>
      <c r="D19" s="80"/>
      <c r="E19" s="46" t="n">
        <f aca="false">D7*1</f>
        <v>1</v>
      </c>
      <c r="F19" s="97" t="n">
        <f aca="false">B7-40</f>
        <v>460</v>
      </c>
      <c r="G19" s="97"/>
      <c r="H19" s="83" t="s">
        <v>17</v>
      </c>
      <c r="I19" s="83"/>
      <c r="J19" s="83" t="s">
        <v>42</v>
      </c>
      <c r="M19" s="132"/>
      <c r="N19" s="132"/>
      <c r="O19" s="415"/>
      <c r="P19" s="599" t="s">
        <v>673</v>
      </c>
      <c r="Q19" s="599"/>
      <c r="R19" s="599"/>
      <c r="S19" s="415" t="n">
        <f aca="false">F14*E14</f>
        <v>408</v>
      </c>
      <c r="T19" s="415"/>
      <c r="U19" s="132"/>
    </row>
    <row r="20" customFormat="false" ht="28.5" hidden="false" customHeight="true" outlineLevel="0" collapsed="false">
      <c r="A20" s="79" t="s">
        <v>678</v>
      </c>
      <c r="B20" s="80" t="s">
        <v>692</v>
      </c>
      <c r="C20" s="80"/>
      <c r="D20" s="80"/>
      <c r="E20" s="46" t="n">
        <f aca="false">D7*2</f>
        <v>2</v>
      </c>
      <c r="F20" s="97" t="n">
        <f aca="false">B7-40</f>
        <v>460</v>
      </c>
      <c r="G20" s="97"/>
      <c r="H20" s="606" t="s">
        <v>17</v>
      </c>
      <c r="I20" s="606"/>
      <c r="J20" s="607" t="s">
        <v>42</v>
      </c>
      <c r="O20" s="109"/>
      <c r="P20" s="599" t="s">
        <v>675</v>
      </c>
      <c r="Q20" s="599"/>
      <c r="R20" s="599"/>
      <c r="S20" s="415" t="n">
        <f aca="false">E15*F15+E16*F16</f>
        <v>1407</v>
      </c>
      <c r="T20" s="109"/>
    </row>
    <row r="21" customFormat="false" ht="26.25" hidden="false" customHeight="true" outlineLevel="0" collapsed="false">
      <c r="A21" s="99" t="s">
        <v>678</v>
      </c>
      <c r="B21" s="100" t="s">
        <v>697</v>
      </c>
      <c r="C21" s="100"/>
      <c r="D21" s="100"/>
      <c r="E21" s="55" t="n">
        <f aca="false">D7*2</f>
        <v>2</v>
      </c>
      <c r="F21" s="246" t="n">
        <f aca="false">E7-64</f>
        <v>436</v>
      </c>
      <c r="G21" s="246"/>
      <c r="H21" s="626" t="s">
        <v>18</v>
      </c>
      <c r="I21" s="626"/>
      <c r="J21" s="103" t="s">
        <v>42</v>
      </c>
      <c r="O21" s="109"/>
      <c r="P21" s="599" t="s">
        <v>676</v>
      </c>
      <c r="Q21" s="599"/>
      <c r="R21" s="599"/>
      <c r="S21" s="415"/>
      <c r="T21" s="109"/>
    </row>
    <row r="22" customFormat="false" ht="17.25" hidden="false" customHeight="true" outlineLevel="0" collapsed="false">
      <c r="A22" s="11" t="s">
        <v>51</v>
      </c>
      <c r="B22" s="20" t="s">
        <v>26</v>
      </c>
      <c r="C22" s="20"/>
      <c r="D22" s="20"/>
      <c r="E22" s="20"/>
      <c r="F22" s="20"/>
      <c r="G22" s="160" t="s">
        <v>206</v>
      </c>
      <c r="H22" s="160"/>
      <c r="I22" s="416" t="s">
        <v>207</v>
      </c>
      <c r="J22" s="416"/>
      <c r="O22" s="109"/>
      <c r="P22" s="599" t="s">
        <v>203</v>
      </c>
      <c r="Q22" s="599"/>
      <c r="R22" s="599"/>
      <c r="S22" s="415" t="n">
        <f aca="false">F17*E17+E18*F18</f>
        <v>1582</v>
      </c>
      <c r="T22" s="109"/>
    </row>
    <row r="23" customFormat="false" ht="17.25" hidden="false" customHeight="true" outlineLevel="0" collapsed="false">
      <c r="A23" s="616" t="s">
        <v>681</v>
      </c>
      <c r="B23" s="314" t="s">
        <v>682</v>
      </c>
      <c r="C23" s="314"/>
      <c r="D23" s="314"/>
      <c r="E23" s="314"/>
      <c r="F23" s="314"/>
      <c r="G23" s="72" t="s">
        <v>64</v>
      </c>
      <c r="H23" s="72"/>
      <c r="I23" s="72" t="n">
        <f aca="false">D7*1</f>
        <v>1</v>
      </c>
      <c r="J23" s="72"/>
      <c r="O23" s="109"/>
      <c r="P23" s="599"/>
      <c r="Q23" s="599"/>
      <c r="R23" s="599"/>
      <c r="S23" s="109"/>
      <c r="T23" s="109"/>
    </row>
    <row r="24" customFormat="false" ht="17.25" hidden="false" customHeight="true" outlineLevel="0" collapsed="false">
      <c r="A24" s="528" t="s">
        <v>683</v>
      </c>
      <c r="B24" s="320" t="s">
        <v>424</v>
      </c>
      <c r="C24" s="320"/>
      <c r="D24" s="320"/>
      <c r="E24" s="320"/>
      <c r="F24" s="320"/>
      <c r="G24" s="83" t="s">
        <v>46</v>
      </c>
      <c r="H24" s="83"/>
      <c r="I24" s="83" t="n">
        <f aca="false">B7*D7</f>
        <v>500</v>
      </c>
      <c r="J24" s="83"/>
      <c r="O24" s="109"/>
      <c r="P24" s="599" t="s">
        <v>677</v>
      </c>
      <c r="Q24" s="599"/>
      <c r="R24" s="599"/>
      <c r="S24" s="109" t="n">
        <f aca="false">F19*E19</f>
        <v>460</v>
      </c>
      <c r="T24" s="109"/>
    </row>
    <row r="25" customFormat="false" ht="17.25" hidden="false" customHeight="true" outlineLevel="0" collapsed="false">
      <c r="A25" s="528" t="s">
        <v>684</v>
      </c>
      <c r="B25" s="320" t="s">
        <v>685</v>
      </c>
      <c r="C25" s="320"/>
      <c r="D25" s="320"/>
      <c r="E25" s="320"/>
      <c r="F25" s="320"/>
      <c r="G25" s="83" t="s">
        <v>46</v>
      </c>
      <c r="H25" s="83"/>
      <c r="I25" s="83" t="n">
        <f aca="false">B7*3</f>
        <v>1500</v>
      </c>
      <c r="J25" s="83"/>
      <c r="O25" s="109"/>
      <c r="P25" s="599" t="s">
        <v>692</v>
      </c>
      <c r="Q25" s="599"/>
      <c r="R25" s="599"/>
      <c r="S25" s="109" t="n">
        <f aca="false">F20*E20+E21*F21</f>
        <v>1792</v>
      </c>
      <c r="T25" s="109"/>
    </row>
    <row r="26" customFormat="false" ht="17.25" hidden="false" customHeight="true" outlineLevel="0" collapsed="false">
      <c r="A26" s="528" t="s">
        <v>686</v>
      </c>
      <c r="B26" s="320" t="s">
        <v>687</v>
      </c>
      <c r="C26" s="320"/>
      <c r="D26" s="320"/>
      <c r="E26" s="320"/>
      <c r="F26" s="320"/>
      <c r="G26" s="83" t="s">
        <v>46</v>
      </c>
      <c r="H26" s="83"/>
      <c r="I26" s="83" t="n">
        <f aca="false">B7*4</f>
        <v>2000</v>
      </c>
      <c r="J26" s="83"/>
      <c r="O26" s="109"/>
      <c r="P26" s="599"/>
      <c r="Q26" s="599"/>
      <c r="R26" s="599"/>
      <c r="S26" s="109"/>
      <c r="T26" s="109"/>
    </row>
    <row r="27" customFormat="false" ht="17.25" hidden="false" customHeight="true" outlineLevel="0" collapsed="false">
      <c r="A27" s="528" t="s">
        <v>688</v>
      </c>
      <c r="B27" s="320" t="s">
        <v>340</v>
      </c>
      <c r="C27" s="320"/>
      <c r="D27" s="320"/>
      <c r="E27" s="320"/>
      <c r="F27" s="320"/>
      <c r="G27" s="83" t="s">
        <v>64</v>
      </c>
      <c r="H27" s="83"/>
      <c r="I27" s="83" t="n">
        <f aca="false">D7*2</f>
        <v>2</v>
      </c>
      <c r="J27" s="83"/>
      <c r="O27" s="109"/>
      <c r="P27" s="109"/>
      <c r="Q27" s="109"/>
      <c r="R27" s="109"/>
      <c r="S27" s="109"/>
      <c r="T27" s="109"/>
    </row>
    <row r="28" customFormat="false" ht="17.25" hidden="false" customHeight="true" outlineLevel="0" collapsed="false">
      <c r="A28" s="528" t="s">
        <v>233</v>
      </c>
      <c r="B28" s="320" t="s">
        <v>689</v>
      </c>
      <c r="C28" s="320"/>
      <c r="D28" s="320"/>
      <c r="E28" s="320"/>
      <c r="F28" s="320"/>
      <c r="G28" s="83" t="s">
        <v>64</v>
      </c>
      <c r="H28" s="83"/>
      <c r="I28" s="83" t="n">
        <f aca="false">D7*6</f>
        <v>6</v>
      </c>
      <c r="J28" s="83"/>
    </row>
    <row r="29" customFormat="false" ht="17.25" hidden="false" customHeight="true" outlineLevel="0" collapsed="false">
      <c r="A29" s="528" t="s">
        <v>690</v>
      </c>
      <c r="B29" s="320" t="s">
        <v>691</v>
      </c>
      <c r="C29" s="320"/>
      <c r="D29" s="320"/>
      <c r="E29" s="320"/>
      <c r="F29" s="320"/>
      <c r="G29" s="83" t="s">
        <v>64</v>
      </c>
      <c r="H29" s="83"/>
      <c r="I29" s="83" t="n">
        <f aca="false">D7*4</f>
        <v>4</v>
      </c>
      <c r="J29" s="83"/>
    </row>
    <row r="30" customFormat="false" ht="17.25" hidden="false" customHeight="true" outlineLevel="0" collapsed="false">
      <c r="A30" s="528"/>
      <c r="B30" s="320"/>
      <c r="C30" s="320"/>
      <c r="D30" s="320"/>
      <c r="E30" s="320"/>
      <c r="F30" s="320"/>
      <c r="G30" s="83"/>
      <c r="H30" s="83"/>
      <c r="I30" s="83"/>
      <c r="J30" s="83"/>
    </row>
    <row r="31" customFormat="false" ht="17.25" hidden="false" customHeight="true" outlineLevel="0" collapsed="false">
      <c r="A31" s="528"/>
      <c r="B31" s="320"/>
      <c r="C31" s="320"/>
      <c r="D31" s="320"/>
      <c r="E31" s="320"/>
      <c r="F31" s="320"/>
      <c r="G31" s="83"/>
      <c r="H31" s="83"/>
      <c r="I31" s="83"/>
      <c r="J31" s="83"/>
      <c r="L31" s="612"/>
      <c r="M31" s="612"/>
      <c r="N31" s="612"/>
      <c r="O31" s="612"/>
      <c r="P31" s="612"/>
      <c r="Q31" s="613"/>
      <c r="R31" s="613"/>
      <c r="S31" s="613"/>
      <c r="T31" s="613"/>
    </row>
    <row r="32" customFormat="false" ht="17.25" hidden="false" customHeight="true" outlineLevel="0" collapsed="false">
      <c r="A32" s="528"/>
      <c r="B32" s="320"/>
      <c r="C32" s="320"/>
      <c r="D32" s="320"/>
      <c r="E32" s="320"/>
      <c r="F32" s="320"/>
      <c r="G32" s="83"/>
      <c r="H32" s="83"/>
      <c r="I32" s="83"/>
      <c r="J32" s="83"/>
      <c r="K32" s="614"/>
      <c r="L32" s="614"/>
      <c r="M32" s="93"/>
      <c r="N32" s="93"/>
      <c r="O32" s="93"/>
      <c r="P32" s="93"/>
      <c r="Q32" s="93"/>
      <c r="R32" s="93"/>
      <c r="S32" s="93"/>
    </row>
    <row r="33" customFormat="false" ht="17.25" hidden="false" customHeight="true" outlineLevel="0" collapsed="false">
      <c r="A33" s="528"/>
      <c r="B33" s="320"/>
      <c r="C33" s="320"/>
      <c r="D33" s="320"/>
      <c r="E33" s="320"/>
      <c r="F33" s="320"/>
      <c r="G33" s="83"/>
      <c r="H33" s="83"/>
      <c r="I33" s="83"/>
      <c r="J33" s="83"/>
      <c r="K33" s="615"/>
      <c r="L33" s="93"/>
      <c r="M33" s="93"/>
      <c r="N33" s="124"/>
      <c r="O33" s="93"/>
      <c r="P33" s="93"/>
      <c r="Q33" s="93"/>
      <c r="R33" s="93"/>
      <c r="S33" s="93"/>
    </row>
    <row r="34" customFormat="false" ht="17.25" hidden="false" customHeight="true" outlineLevel="0" collapsed="false">
      <c r="A34" s="617"/>
      <c r="B34" s="618"/>
      <c r="C34" s="618"/>
      <c r="D34" s="618"/>
      <c r="E34" s="618"/>
      <c r="F34" s="618"/>
      <c r="G34" s="103"/>
      <c r="H34" s="103"/>
      <c r="I34" s="103"/>
      <c r="J34" s="103"/>
      <c r="K34" s="615"/>
      <c r="L34" s="93"/>
      <c r="M34" s="93"/>
      <c r="N34" s="93"/>
      <c r="O34" s="93"/>
      <c r="P34" s="93"/>
      <c r="Q34" s="93"/>
      <c r="R34" s="93"/>
      <c r="S34" s="93"/>
    </row>
    <row r="35" customFormat="false" ht="17.25" hidden="false" customHeight="true" outlineLevel="0" collapsed="false">
      <c r="B35" s="612"/>
      <c r="C35" s="612"/>
      <c r="D35" s="612"/>
      <c r="E35" s="612"/>
      <c r="F35" s="612"/>
      <c r="G35" s="613"/>
      <c r="H35" s="613"/>
      <c r="I35" s="613"/>
      <c r="J35" s="613"/>
      <c r="K35" s="93"/>
      <c r="L35" s="93"/>
      <c r="M35" s="93"/>
      <c r="N35" s="124"/>
      <c r="O35" s="93"/>
      <c r="P35" s="93"/>
      <c r="Q35" s="93"/>
      <c r="R35" s="93"/>
      <c r="S35" s="93"/>
    </row>
    <row r="36" customFormat="false" ht="17.25" hidden="false" customHeight="true" outlineLevel="0" collapsed="false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3"/>
      <c r="L36" s="93"/>
      <c r="M36" s="93"/>
      <c r="N36" s="124"/>
      <c r="O36" s="93"/>
      <c r="P36" s="93"/>
      <c r="Q36" s="93"/>
      <c r="R36" s="93"/>
    </row>
    <row r="37" customFormat="false" ht="15" hidden="false" customHeight="false" outlineLevel="0" collapsed="false">
      <c r="K37" s="93"/>
      <c r="L37" s="93"/>
      <c r="M37" s="93"/>
      <c r="N37" s="93"/>
      <c r="O37" s="93"/>
      <c r="P37" s="93"/>
      <c r="Q37" s="93"/>
      <c r="R37" s="93"/>
    </row>
    <row r="38" customFormat="false" ht="15" hidden="false" customHeight="false" outlineLevel="0" collapsed="false">
      <c r="K38" s="93"/>
      <c r="L38" s="93"/>
      <c r="M38" s="93"/>
      <c r="N38" s="93"/>
      <c r="O38" s="93"/>
      <c r="P38" s="93"/>
      <c r="Q38" s="93"/>
      <c r="R38" s="93"/>
    </row>
    <row r="39" customFormat="false" ht="15" hidden="false" customHeight="false" outlineLevel="0" collapsed="false">
      <c r="K39" s="93"/>
      <c r="L39" s="93"/>
      <c r="M39" s="93"/>
      <c r="N39" s="93"/>
      <c r="O39" s="93"/>
      <c r="P39" s="93"/>
      <c r="Q39" s="93"/>
      <c r="R39" s="93"/>
    </row>
    <row r="40" customFormat="false" ht="15" hidden="false" customHeight="false" outlineLevel="0" collapsed="false">
      <c r="K40" s="93"/>
      <c r="L40" s="93"/>
      <c r="M40" s="93"/>
      <c r="N40" s="93"/>
      <c r="O40" s="93"/>
      <c r="P40" s="93"/>
      <c r="Q40" s="93"/>
      <c r="R40" s="93"/>
    </row>
    <row r="41" customFormat="false" ht="15" hidden="false" customHeight="false" outlineLevel="0" collapsed="false">
      <c r="K41" s="93"/>
      <c r="L41" s="93"/>
      <c r="M41" s="93"/>
      <c r="N41" s="93"/>
      <c r="O41" s="93"/>
      <c r="P41" s="93"/>
      <c r="Q41" s="93"/>
      <c r="R41" s="93"/>
    </row>
    <row r="42" customFormat="false" ht="15" hidden="false" customHeight="false" outlineLevel="0" collapsed="false">
      <c r="K42" s="93"/>
      <c r="L42" s="93"/>
      <c r="M42" s="93"/>
      <c r="N42" s="93"/>
      <c r="O42" s="93"/>
      <c r="P42" s="93"/>
      <c r="Q42" s="93"/>
      <c r="R42" s="93"/>
    </row>
    <row r="43" customFormat="false" ht="15" hidden="false" customHeight="false" outlineLevel="0" collapsed="false">
      <c r="K43" s="93"/>
      <c r="L43" s="93"/>
      <c r="M43" s="93"/>
      <c r="N43" s="93"/>
      <c r="O43" s="93"/>
      <c r="P43" s="93"/>
      <c r="Q43" s="93"/>
      <c r="R43" s="93"/>
    </row>
    <row r="44" customFormat="false" ht="15" hidden="false" customHeight="false" outlineLevel="0" collapsed="false">
      <c r="K44" s="93"/>
      <c r="L44" s="93"/>
      <c r="M44" s="93"/>
      <c r="N44" s="93"/>
      <c r="O44" s="93"/>
      <c r="P44" s="93"/>
      <c r="Q44" s="93"/>
      <c r="R44" s="93"/>
    </row>
  </sheetData>
  <mergeCells count="146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F6:G6"/>
    <mergeCell ref="H6:J9"/>
    <mergeCell ref="N6:O6"/>
    <mergeCell ref="P6:Q6"/>
    <mergeCell ref="F7:G7"/>
    <mergeCell ref="N7:O7"/>
    <mergeCell ref="P7:Q7"/>
    <mergeCell ref="A8:B8"/>
    <mergeCell ref="N8:O8"/>
    <mergeCell ref="P8:Q8"/>
    <mergeCell ref="A9:B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P16:R16"/>
    <mergeCell ref="B17:D17"/>
    <mergeCell ref="F17:G17"/>
    <mergeCell ref="H17:I17"/>
    <mergeCell ref="K17:L17"/>
    <mergeCell ref="P17:R17"/>
    <mergeCell ref="B18:D18"/>
    <mergeCell ref="F18:G18"/>
    <mergeCell ref="H18:I18"/>
    <mergeCell ref="P18:R18"/>
    <mergeCell ref="B19:D19"/>
    <mergeCell ref="F19:G19"/>
    <mergeCell ref="H19:I19"/>
    <mergeCell ref="P19:R19"/>
    <mergeCell ref="B20:D20"/>
    <mergeCell ref="F20:G20"/>
    <mergeCell ref="H20:I20"/>
    <mergeCell ref="P20:R20"/>
    <mergeCell ref="B21:D21"/>
    <mergeCell ref="F21:G21"/>
    <mergeCell ref="H21:I21"/>
    <mergeCell ref="P21:R21"/>
    <mergeCell ref="B22:F22"/>
    <mergeCell ref="G22:H22"/>
    <mergeCell ref="I22:J22"/>
    <mergeCell ref="P22:R22"/>
    <mergeCell ref="B23:F23"/>
    <mergeCell ref="G23:H23"/>
    <mergeCell ref="I23:J23"/>
    <mergeCell ref="P23:R23"/>
    <mergeCell ref="B24:F24"/>
    <mergeCell ref="G24:H24"/>
    <mergeCell ref="I24:J24"/>
    <mergeCell ref="P24:R24"/>
    <mergeCell ref="B25:F25"/>
    <mergeCell ref="G25:H25"/>
    <mergeCell ref="I25:J25"/>
    <mergeCell ref="P25:R25"/>
    <mergeCell ref="B26:F26"/>
    <mergeCell ref="G26:H26"/>
    <mergeCell ref="I26:J26"/>
    <mergeCell ref="P26:R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L31:P31"/>
    <mergeCell ref="Q31:R31"/>
    <mergeCell ref="S31:T31"/>
    <mergeCell ref="B32:F32"/>
    <mergeCell ref="G32:H32"/>
    <mergeCell ref="I32:J32"/>
    <mergeCell ref="K32:L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699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72" t="s">
        <v>493</v>
      </c>
      <c r="L3" s="257" t="n">
        <f aca="false">IF(L36&gt;6000,L36/6000,1)</f>
        <v>1</v>
      </c>
      <c r="M3" s="15" t="n">
        <f aca="false">ROUNDUP(L3,0)</f>
        <v>1</v>
      </c>
      <c r="N3" s="259" t="n">
        <f aca="false">1.022*6*K26</f>
        <v>306.6</v>
      </c>
      <c r="O3" s="259"/>
      <c r="P3" s="259" t="n">
        <f aca="false">N3*M3</f>
        <v>306.6</v>
      </c>
      <c r="Q3" s="259"/>
      <c r="R3" s="397" t="str">
        <f aca="false">F5</f>
        <v>BRANCO</v>
      </c>
      <c r="S3" s="397" t="n">
        <v>6000</v>
      </c>
      <c r="T3" s="440" t="n">
        <f aca="false">L36*1.022/1000</f>
        <v>2.017428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83" t="s">
        <v>494</v>
      </c>
      <c r="L4" s="265" t="n">
        <f aca="false">IF(L37&gt;6000,L37/6000,1)</f>
        <v>1</v>
      </c>
      <c r="M4" s="24" t="n">
        <f aca="false">ROUNDUP(L4,0)</f>
        <v>1</v>
      </c>
      <c r="N4" s="266" t="n">
        <f aca="false">0.981*6*K26</f>
        <v>294.3</v>
      </c>
      <c r="O4" s="266"/>
      <c r="P4" s="266" t="n">
        <f aca="false">N4*M4</f>
        <v>294.3</v>
      </c>
      <c r="Q4" s="266"/>
      <c r="R4" s="96" t="str">
        <f aca="false">F5</f>
        <v>BRANCO</v>
      </c>
      <c r="S4" s="96" t="n">
        <v>6000</v>
      </c>
      <c r="T4" s="439" t="n">
        <f aca="false">L37*0.981/1000</f>
        <v>1.936494</v>
      </c>
      <c r="U4" s="439" t="n">
        <f aca="false">M4*5.886</f>
        <v>5.886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83" t="s">
        <v>496</v>
      </c>
      <c r="L5" s="265" t="n">
        <f aca="false">IF(L38&gt;6000,L38/6000,1)</f>
        <v>1</v>
      </c>
      <c r="M5" s="24" t="n">
        <f aca="false">ROUNDUP(L5,0)</f>
        <v>1</v>
      </c>
      <c r="N5" s="266" t="n">
        <f aca="false">0.263*6*K26</f>
        <v>78.9</v>
      </c>
      <c r="O5" s="266"/>
      <c r="P5" s="266" t="n">
        <f aca="false">N5*M5</f>
        <v>78.9</v>
      </c>
      <c r="Q5" s="266"/>
      <c r="R5" s="96" t="str">
        <f aca="false">F5</f>
        <v>BRANCO</v>
      </c>
      <c r="S5" s="96" t="n">
        <v>6000</v>
      </c>
      <c r="T5" s="439" t="n">
        <f aca="false">L38*0.263/1000</f>
        <v>0.526</v>
      </c>
      <c r="U5" s="439" t="n">
        <f aca="false">M5*1.578</f>
        <v>1.578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83" t="s">
        <v>520</v>
      </c>
      <c r="L6" s="627" t="n">
        <f aca="false">IF(L39&gt;6000,L39/6000,1)</f>
        <v>1</v>
      </c>
      <c r="M6" s="24" t="n">
        <f aca="false">ROUNDUP(L6,0)</f>
        <v>1</v>
      </c>
      <c r="N6" s="266" t="n">
        <f aca="false">0.677*6*K26</f>
        <v>203.1</v>
      </c>
      <c r="O6" s="266"/>
      <c r="P6" s="266" t="n">
        <f aca="false">N6*M6</f>
        <v>203.1</v>
      </c>
      <c r="Q6" s="266"/>
      <c r="R6" s="96" t="str">
        <f aca="false">F5</f>
        <v>BRANCO</v>
      </c>
      <c r="S6" s="96" t="n">
        <v>4600</v>
      </c>
      <c r="T6" s="439" t="n">
        <f aca="false">L39*0.677/1000</f>
        <v>1.2863</v>
      </c>
      <c r="U6" s="439" t="n">
        <f aca="false">M6*4.062</f>
        <v>4.062</v>
      </c>
    </row>
    <row r="7" customFormat="false" ht="27" hidden="false" customHeight="true" outlineLevel="0" collapsed="false">
      <c r="A7" s="271" t="n">
        <v>500</v>
      </c>
      <c r="B7" s="272" t="n">
        <v>2000</v>
      </c>
      <c r="C7" s="272" t="n">
        <v>1000</v>
      </c>
      <c r="D7" s="272" t="n">
        <v>1</v>
      </c>
      <c r="E7" s="276" t="n">
        <f aca="false">(B7*C7)/10^6</f>
        <v>2</v>
      </c>
      <c r="F7" s="276"/>
      <c r="G7" s="270"/>
      <c r="H7" s="270"/>
      <c r="I7" s="270"/>
      <c r="J7" s="270"/>
      <c r="K7" s="83" t="s">
        <v>201</v>
      </c>
      <c r="L7" s="627" t="n">
        <f aca="false">IF(L40&gt;6000,L40/6000,1)</f>
        <v>1</v>
      </c>
      <c r="M7" s="24" t="n">
        <f aca="false">ROUNDUP(L7,0)</f>
        <v>1</v>
      </c>
      <c r="N7" s="266" t="n">
        <f aca="false">0.507*6*K26</f>
        <v>152.1</v>
      </c>
      <c r="O7" s="266"/>
      <c r="P7" s="266" t="n">
        <f aca="false">N7*M7</f>
        <v>152.1</v>
      </c>
      <c r="Q7" s="266"/>
      <c r="R7" s="96" t="str">
        <f aca="false">F5</f>
        <v>BRANCO</v>
      </c>
      <c r="S7" s="96" t="n">
        <v>4600</v>
      </c>
      <c r="T7" s="439" t="n">
        <f aca="false">L40*0.507/1000</f>
        <v>0.8923707</v>
      </c>
      <c r="U7" s="439" t="n">
        <f aca="false">M7*3.042</f>
        <v>3.042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83" t="s">
        <v>615</v>
      </c>
      <c r="L8" s="627" t="n">
        <f aca="false">IF(L41&gt;6000,L41/6000,1)</f>
        <v>1</v>
      </c>
      <c r="M8" s="24" t="n">
        <f aca="false">ROUNDUP(L8,0)</f>
        <v>1</v>
      </c>
      <c r="N8" s="266" t="n">
        <f aca="false">0.512*6*K26</f>
        <v>153.6</v>
      </c>
      <c r="O8" s="266"/>
      <c r="P8" s="266" t="n">
        <f aca="false">N8*M8</f>
        <v>153.6</v>
      </c>
      <c r="Q8" s="266"/>
      <c r="R8" s="96" t="str">
        <f aca="false">F5</f>
        <v>BRANCO</v>
      </c>
      <c r="S8" s="96" t="n">
        <v>4600</v>
      </c>
      <c r="T8" s="439" t="n">
        <f aca="false">L41*0.512/1000</f>
        <v>1.831936</v>
      </c>
      <c r="U8" s="439" t="n">
        <f aca="false">M8*3.072</f>
        <v>3.072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1000</v>
      </c>
      <c r="D9" s="275"/>
      <c r="E9" s="389" t="n">
        <f aca="false">(B7-250)/4</f>
        <v>437.5</v>
      </c>
      <c r="F9" s="390" t="n">
        <f aca="false">C7-134</f>
        <v>866</v>
      </c>
      <c r="G9" s="270"/>
      <c r="H9" s="270"/>
      <c r="I9" s="270"/>
      <c r="J9" s="270"/>
      <c r="K9" s="83" t="s">
        <v>616</v>
      </c>
      <c r="L9" s="627" t="n">
        <f aca="false">IF(L42&gt;6000,L42/6000,1)</f>
        <v>2.13566666666667</v>
      </c>
      <c r="M9" s="24" t="n">
        <f aca="false">ROUNDUP(L9,0)</f>
        <v>3</v>
      </c>
      <c r="N9" s="266" t="n">
        <f aca="false">0.326*6*K26</f>
        <v>97.8</v>
      </c>
      <c r="O9" s="266"/>
      <c r="P9" s="266" t="n">
        <f aca="false">N9*M9</f>
        <v>293.4</v>
      </c>
      <c r="Q9" s="266"/>
      <c r="R9" s="96" t="str">
        <f aca="false">R8</f>
        <v>BRANCO</v>
      </c>
      <c r="S9" s="96" t="n">
        <v>6000</v>
      </c>
      <c r="T9" s="439" t="n">
        <f aca="false">L42*0.326/1000</f>
        <v>4.177364</v>
      </c>
      <c r="U9" s="439" t="n">
        <f aca="false">M9*1.956</f>
        <v>5.868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83" t="s">
        <v>617</v>
      </c>
      <c r="L10" s="627" t="n">
        <f aca="false">IF(N36&gt;6000,N36/6000,1)</f>
        <v>2.13566666666667</v>
      </c>
      <c r="M10" s="24" t="n">
        <f aca="false">ROUNDUP(L10,0)</f>
        <v>3</v>
      </c>
      <c r="N10" s="277" t="n">
        <f aca="false">0.326*6*K26</f>
        <v>97.8</v>
      </c>
      <c r="O10" s="277"/>
      <c r="P10" s="277" t="n">
        <f aca="false">N10*M10</f>
        <v>293.4</v>
      </c>
      <c r="Q10" s="277"/>
      <c r="R10" s="96" t="str">
        <f aca="false">F5</f>
        <v>BRANCO</v>
      </c>
      <c r="S10" s="96" t="n">
        <v>6000</v>
      </c>
      <c r="T10" s="439" t="n">
        <f aca="false">N36*0.326/1000</f>
        <v>4.177364</v>
      </c>
      <c r="U10" s="439" t="n">
        <f aca="false">M10*1.956</f>
        <v>5.868</v>
      </c>
    </row>
    <row r="11" customFormat="false" ht="25.5" hidden="false" customHeight="true" outlineLevel="0" collapsed="false">
      <c r="A11" s="67" t="s">
        <v>493</v>
      </c>
      <c r="B11" s="628" t="s">
        <v>187</v>
      </c>
      <c r="C11" s="628"/>
      <c r="D11" s="628"/>
      <c r="E11" s="15" t="n">
        <f aca="false">D7*1</f>
        <v>1</v>
      </c>
      <c r="F11" s="69" t="n">
        <f aca="false">B7-26</f>
        <v>1974</v>
      </c>
      <c r="G11" s="69"/>
      <c r="H11" s="72" t="s">
        <v>17</v>
      </c>
      <c r="I11" s="72"/>
      <c r="J11" s="72" t="s">
        <v>42</v>
      </c>
      <c r="K11" s="83" t="s">
        <v>193</v>
      </c>
      <c r="L11" s="629" t="n">
        <f aca="false">IF(N37&gt;6000,N37/6000,1)</f>
        <v>1</v>
      </c>
      <c r="M11" s="24" t="n">
        <f aca="false">ROUNDUP(L11,0)</f>
        <v>1</v>
      </c>
      <c r="N11" s="266" t="n">
        <f aca="false">0.52*6*K26</f>
        <v>156</v>
      </c>
      <c r="O11" s="266"/>
      <c r="P11" s="266" t="n">
        <f aca="false">N11*M11</f>
        <v>156</v>
      </c>
      <c r="Q11" s="266"/>
      <c r="R11" s="96" t="str">
        <f aca="false">F5</f>
        <v>BRANCO</v>
      </c>
      <c r="S11" s="96" t="n">
        <v>6000</v>
      </c>
      <c r="T11" s="439" t="n">
        <f aca="false">N37*0.52/1000</f>
        <v>0.988</v>
      </c>
      <c r="U11" s="439" t="n">
        <f aca="false">M11*3.12</f>
        <v>3.12</v>
      </c>
    </row>
    <row r="12" customFormat="false" ht="25.5" hidden="false" customHeight="true" outlineLevel="0" collapsed="false">
      <c r="A12" s="79" t="s">
        <v>494</v>
      </c>
      <c r="B12" s="630" t="s">
        <v>190</v>
      </c>
      <c r="C12" s="630"/>
      <c r="D12" s="630"/>
      <c r="E12" s="24" t="n">
        <f aca="false">D7*1</f>
        <v>1</v>
      </c>
      <c r="F12" s="97" t="n">
        <f aca="false">B7-26</f>
        <v>1974</v>
      </c>
      <c r="G12" s="97"/>
      <c r="H12" s="83" t="s">
        <v>17</v>
      </c>
      <c r="I12" s="83"/>
      <c r="J12" s="83" t="s">
        <v>42</v>
      </c>
      <c r="K12" s="83" t="s">
        <v>197</v>
      </c>
      <c r="L12" s="631" t="n">
        <f aca="false">IF(N38&gt;6000,N38/6000,1)</f>
        <v>1</v>
      </c>
      <c r="M12" s="24" t="n">
        <f aca="false">ROUNDUP(L12,0)</f>
        <v>1</v>
      </c>
      <c r="N12" s="266" t="n">
        <f aca="false">0.48*6*K26</f>
        <v>144</v>
      </c>
      <c r="O12" s="266"/>
      <c r="P12" s="266" t="n">
        <f aca="false">N12*M12</f>
        <v>144</v>
      </c>
      <c r="Q12" s="266"/>
      <c r="R12" s="96" t="str">
        <f aca="false">F5</f>
        <v>BRANCO</v>
      </c>
      <c r="S12" s="96" t="n">
        <v>6000</v>
      </c>
      <c r="T12" s="439" t="n">
        <f aca="false">N38*0.48/1000</f>
        <v>0.912</v>
      </c>
      <c r="U12" s="96" t="n">
        <f aca="false">M12*2.88</f>
        <v>2.88</v>
      </c>
    </row>
    <row r="13" customFormat="false" ht="25.5" hidden="false" customHeight="true" outlineLevel="0" collapsed="false">
      <c r="A13" s="79" t="s">
        <v>520</v>
      </c>
      <c r="B13" s="630" t="s">
        <v>192</v>
      </c>
      <c r="C13" s="630"/>
      <c r="D13" s="630"/>
      <c r="E13" s="24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83" t="s">
        <v>619</v>
      </c>
      <c r="L13" s="281" t="n">
        <f aca="false">IF(N39&gt;6000,N39/6000,1)</f>
        <v>1</v>
      </c>
      <c r="M13" s="46" t="n">
        <f aca="false">ROUNDUP(L13,0)</f>
        <v>1</v>
      </c>
      <c r="N13" s="266" t="n">
        <f aca="false">0.534*6*K26</f>
        <v>160.2</v>
      </c>
      <c r="O13" s="266"/>
      <c r="P13" s="266" t="n">
        <f aca="false">N13*M13</f>
        <v>160.2</v>
      </c>
      <c r="Q13" s="266"/>
      <c r="R13" s="96" t="str">
        <f aca="false">F5</f>
        <v>BRANCO</v>
      </c>
      <c r="S13" s="96" t="n">
        <v>6000</v>
      </c>
      <c r="T13" s="439" t="n">
        <f aca="false">N39*0.534/1000</f>
        <v>2.0292</v>
      </c>
      <c r="U13" s="96" t="n">
        <f aca="false">M13*3.204</f>
        <v>3.204</v>
      </c>
    </row>
    <row r="14" customFormat="false" ht="25.5" hidden="false" customHeight="true" outlineLevel="0" collapsed="false">
      <c r="A14" s="79" t="s">
        <v>496</v>
      </c>
      <c r="B14" s="630" t="s">
        <v>700</v>
      </c>
      <c r="C14" s="630"/>
      <c r="D14" s="630"/>
      <c r="E14" s="24" t="n">
        <f aca="false">D7*2</f>
        <v>2</v>
      </c>
      <c r="F14" s="24" t="n">
        <f aca="false">C7-50</f>
        <v>950</v>
      </c>
      <c r="G14" s="24"/>
      <c r="H14" s="83" t="s">
        <v>18</v>
      </c>
      <c r="I14" s="83"/>
      <c r="J14" s="83" t="s">
        <v>42</v>
      </c>
      <c r="K14" s="83" t="s">
        <v>621</v>
      </c>
      <c r="L14" s="281" t="n">
        <f aca="false">IF(N40&gt;6000,N40/6000,1)</f>
        <v>1</v>
      </c>
      <c r="M14" s="153" t="n">
        <f aca="false">ROUNDUP(L14,0)</f>
        <v>1</v>
      </c>
      <c r="N14" s="266" t="n">
        <f aca="false">0.575*6*K26</f>
        <v>172.5</v>
      </c>
      <c r="O14" s="266"/>
      <c r="P14" s="25" t="n">
        <f aca="false">N14*M14</f>
        <v>172.5</v>
      </c>
      <c r="Q14" s="25"/>
      <c r="R14" s="96" t="str">
        <f aca="false">F5</f>
        <v>BRANCO</v>
      </c>
      <c r="S14" s="96" t="n">
        <v>6000</v>
      </c>
      <c r="T14" s="439" t="n">
        <f aca="false">N40*0.575/1000</f>
        <v>1.0925</v>
      </c>
      <c r="U14" s="96" t="n">
        <f aca="false">M14*3.45</f>
        <v>3.45</v>
      </c>
    </row>
    <row r="15" customFormat="false" ht="25.5" hidden="false" customHeight="true" outlineLevel="0" collapsed="false">
      <c r="A15" s="79" t="s">
        <v>201</v>
      </c>
      <c r="B15" s="630" t="s">
        <v>487</v>
      </c>
      <c r="C15" s="630"/>
      <c r="D15" s="630"/>
      <c r="E15" s="46" t="n">
        <f aca="false">D7*4</f>
        <v>4</v>
      </c>
      <c r="F15" s="24" t="n">
        <f aca="false">(B7-239.9)/4</f>
        <v>440.025</v>
      </c>
      <c r="G15" s="24"/>
      <c r="H15" s="83" t="s">
        <v>18</v>
      </c>
      <c r="I15" s="83"/>
      <c r="J15" s="83" t="s">
        <v>42</v>
      </c>
      <c r="K15" s="83" t="s">
        <v>623</v>
      </c>
      <c r="L15" s="281" t="n">
        <f aca="false">IF(N41&gt;6000,N41/6000,1)</f>
        <v>1</v>
      </c>
      <c r="M15" s="153" t="n">
        <f aca="false">ROUNDUP(L15,0)</f>
        <v>1</v>
      </c>
      <c r="N15" s="266" t="n">
        <f aca="false">0.52*6*K26</f>
        <v>156</v>
      </c>
      <c r="O15" s="266"/>
      <c r="P15" s="25" t="n">
        <f aca="false">N15*M15</f>
        <v>156</v>
      </c>
      <c r="Q15" s="25"/>
      <c r="R15" s="96" t="str">
        <f aca="false">F5</f>
        <v>BRANCO</v>
      </c>
      <c r="S15" s="96" t="n">
        <v>6000</v>
      </c>
      <c r="T15" s="439" t="n">
        <f aca="false">N41*0.52/1000</f>
        <v>0.988</v>
      </c>
      <c r="U15" s="96" t="n">
        <f aca="false">M15*3.12</f>
        <v>3.12</v>
      </c>
    </row>
    <row r="16" customFormat="false" ht="25.5" hidden="false" customHeight="true" outlineLevel="0" collapsed="false">
      <c r="A16" s="79" t="s">
        <v>615</v>
      </c>
      <c r="B16" s="630" t="s">
        <v>701</v>
      </c>
      <c r="C16" s="630"/>
      <c r="D16" s="630"/>
      <c r="E16" s="24" t="n">
        <f aca="false">D7*8</f>
        <v>8</v>
      </c>
      <c r="F16" s="24" t="n">
        <f aca="false">(B7-211)/4</f>
        <v>447.25</v>
      </c>
      <c r="G16" s="24"/>
      <c r="H16" s="83" t="s">
        <v>18</v>
      </c>
      <c r="I16" s="83"/>
      <c r="J16" s="83" t="s">
        <v>42</v>
      </c>
      <c r="K16" s="83" t="s">
        <v>188</v>
      </c>
      <c r="L16" s="281" t="n">
        <f aca="false">IF(N42&gt;6000,N42/6000,1)</f>
        <v>1</v>
      </c>
      <c r="M16" s="153" t="n">
        <f aca="false">ROUNDUP(L16,0)</f>
        <v>1</v>
      </c>
      <c r="N16" s="266" t="n">
        <f aca="false">0.111*6*K26</f>
        <v>33.3</v>
      </c>
      <c r="O16" s="266"/>
      <c r="P16" s="25" t="n">
        <f aca="false">N16*M16</f>
        <v>33.3</v>
      </c>
      <c r="Q16" s="25"/>
      <c r="R16" s="96" t="str">
        <f aca="false">F5</f>
        <v>BRANCO</v>
      </c>
      <c r="S16" s="96" t="n">
        <v>6000</v>
      </c>
      <c r="T16" s="439" t="n">
        <f aca="false">N42*0.111/1000</f>
        <v>0.5718831</v>
      </c>
      <c r="U16" s="96" t="n">
        <f aca="false">M16*0.666</f>
        <v>0.666</v>
      </c>
    </row>
    <row r="17" customFormat="false" ht="25.5" hidden="false" customHeight="true" outlineLevel="0" collapsed="false">
      <c r="A17" s="79" t="s">
        <v>616</v>
      </c>
      <c r="B17" s="630" t="s">
        <v>272</v>
      </c>
      <c r="C17" s="630"/>
      <c r="D17" s="630"/>
      <c r="E17" s="24" t="n">
        <f aca="false">((C7-140)/60*D7)*2</f>
        <v>28.6666666666667</v>
      </c>
      <c r="F17" s="24" t="n">
        <f aca="false">(B7-212)/4</f>
        <v>447</v>
      </c>
      <c r="G17" s="24"/>
      <c r="H17" s="83" t="s">
        <v>17</v>
      </c>
      <c r="I17" s="83"/>
      <c r="J17" s="83" t="s">
        <v>42</v>
      </c>
      <c r="K17" s="83" t="s">
        <v>580</v>
      </c>
      <c r="L17" s="281" t="n">
        <f aca="false">IF(N44&gt;6000,N44/6000,1)</f>
        <v>1</v>
      </c>
      <c r="M17" s="153" t="n">
        <f aca="false">ROUNDUP(L17,0)</f>
        <v>1</v>
      </c>
      <c r="N17" s="266" t="n">
        <f aca="false">0.265*6*K26</f>
        <v>79.5</v>
      </c>
      <c r="O17" s="266"/>
      <c r="P17" s="25" t="n">
        <f aca="false">N17*M17</f>
        <v>79.5</v>
      </c>
      <c r="Q17" s="25"/>
      <c r="R17" s="96" t="str">
        <f aca="false">F5</f>
        <v>BRANCO</v>
      </c>
      <c r="S17" s="96" t="n">
        <v>6000</v>
      </c>
      <c r="T17" s="439" t="n">
        <f aca="false">N44*0.265/1000</f>
        <v>0.13356</v>
      </c>
      <c r="U17" s="96" t="n">
        <f aca="false">M17*1.59</f>
        <v>1.59</v>
      </c>
    </row>
    <row r="18" customFormat="false" ht="25.5" hidden="false" customHeight="true" outlineLevel="0" collapsed="false">
      <c r="A18" s="79" t="s">
        <v>617</v>
      </c>
      <c r="B18" s="630" t="s">
        <v>624</v>
      </c>
      <c r="C18" s="630"/>
      <c r="D18" s="630"/>
      <c r="E18" s="24" t="n">
        <f aca="false">E17</f>
        <v>28.6666666666667</v>
      </c>
      <c r="F18" s="24" t="n">
        <f aca="false">(B7-212)/4</f>
        <v>447</v>
      </c>
      <c r="G18" s="24"/>
      <c r="H18" s="83" t="s">
        <v>17</v>
      </c>
      <c r="I18" s="83"/>
      <c r="J18" s="83" t="s">
        <v>42</v>
      </c>
      <c r="K18" s="363"/>
      <c r="L18" s="281"/>
      <c r="M18" s="442"/>
      <c r="N18" s="268"/>
      <c r="O18" s="280"/>
      <c r="P18" s="120"/>
      <c r="Q18" s="120"/>
      <c r="R18" s="96"/>
      <c r="S18" s="96"/>
      <c r="T18" s="439"/>
      <c r="U18" s="96"/>
    </row>
    <row r="19" customFormat="false" ht="22.5" hidden="false" customHeight="true" outlineLevel="0" collapsed="false">
      <c r="A19" s="79" t="s">
        <v>193</v>
      </c>
      <c r="B19" s="630" t="s">
        <v>435</v>
      </c>
      <c r="C19" s="630"/>
      <c r="D19" s="630"/>
      <c r="E19" s="24" t="n">
        <f aca="false">D7*2</f>
        <v>2</v>
      </c>
      <c r="F19" s="24" t="n">
        <f aca="false">C7-50</f>
        <v>950</v>
      </c>
      <c r="G19" s="24"/>
      <c r="H19" s="83" t="s">
        <v>18</v>
      </c>
      <c r="I19" s="83"/>
      <c r="J19" s="83" t="s">
        <v>42</v>
      </c>
      <c r="K19" s="96"/>
      <c r="L19" s="283"/>
      <c r="M19" s="442"/>
      <c r="N19" s="268"/>
      <c r="O19" s="280"/>
      <c r="P19" s="120"/>
      <c r="Q19" s="120"/>
      <c r="R19" s="96"/>
      <c r="S19" s="96"/>
      <c r="T19" s="439"/>
      <c r="U19" s="96"/>
    </row>
    <row r="20" customFormat="false" ht="22.5" hidden="false" customHeight="true" outlineLevel="0" collapsed="false">
      <c r="A20" s="79" t="s">
        <v>197</v>
      </c>
      <c r="B20" s="630" t="s">
        <v>435</v>
      </c>
      <c r="C20" s="630"/>
      <c r="D20" s="630"/>
      <c r="E20" s="46" t="n">
        <f aca="false">D7*2</f>
        <v>2</v>
      </c>
      <c r="F20" s="24" t="n">
        <f aca="false">C7-50</f>
        <v>950</v>
      </c>
      <c r="G20" s="24"/>
      <c r="H20" s="83" t="s">
        <v>18</v>
      </c>
      <c r="I20" s="83"/>
      <c r="J20" s="83" t="s">
        <v>42</v>
      </c>
      <c r="K20" s="96"/>
      <c r="L20" s="283"/>
      <c r="M20" s="442"/>
      <c r="N20" s="268"/>
      <c r="O20" s="280"/>
      <c r="P20" s="120"/>
      <c r="Q20" s="120"/>
      <c r="R20" s="96"/>
      <c r="S20" s="96"/>
      <c r="T20" s="439"/>
      <c r="U20" s="96"/>
    </row>
    <row r="21" customFormat="false" ht="21" hidden="false" customHeight="true" outlineLevel="0" collapsed="false">
      <c r="A21" s="79" t="s">
        <v>619</v>
      </c>
      <c r="B21" s="630" t="s">
        <v>435</v>
      </c>
      <c r="C21" s="630"/>
      <c r="D21" s="630"/>
      <c r="E21" s="46" t="n">
        <f aca="false">D7*4</f>
        <v>4</v>
      </c>
      <c r="F21" s="97" t="n">
        <f aca="false">C7-50</f>
        <v>950</v>
      </c>
      <c r="G21" s="97"/>
      <c r="H21" s="28" t="s">
        <v>18</v>
      </c>
      <c r="I21" s="28"/>
      <c r="J21" s="83" t="s">
        <v>42</v>
      </c>
      <c r="K21" s="96"/>
      <c r="L21" s="283"/>
      <c r="M21" s="442"/>
      <c r="N21" s="268"/>
      <c r="O21" s="280"/>
      <c r="P21" s="120"/>
      <c r="Q21" s="120"/>
      <c r="R21" s="96"/>
      <c r="S21" s="96"/>
      <c r="T21" s="439"/>
      <c r="U21" s="96"/>
    </row>
    <row r="22" customFormat="false" ht="26.25" hidden="false" customHeight="true" outlineLevel="0" collapsed="false">
      <c r="A22" s="79" t="s">
        <v>621</v>
      </c>
      <c r="B22" s="630" t="s">
        <v>435</v>
      </c>
      <c r="C22" s="630"/>
      <c r="D22" s="630"/>
      <c r="E22" s="46" t="n">
        <f aca="false">D7*2</f>
        <v>2</v>
      </c>
      <c r="F22" s="24" t="n">
        <f aca="false">C7-50</f>
        <v>950</v>
      </c>
      <c r="G22" s="24"/>
      <c r="H22" s="83" t="s">
        <v>18</v>
      </c>
      <c r="I22" s="83"/>
      <c r="J22" s="83" t="s">
        <v>42</v>
      </c>
      <c r="K22" s="96"/>
      <c r="L22" s="283"/>
      <c r="M22" s="442"/>
      <c r="N22" s="268"/>
      <c r="O22" s="280"/>
      <c r="P22" s="120"/>
      <c r="Q22" s="120"/>
      <c r="R22" s="96"/>
      <c r="S22" s="96"/>
      <c r="T22" s="439"/>
      <c r="U22" s="96"/>
    </row>
    <row r="23" customFormat="false" ht="26.25" hidden="false" customHeight="true" outlineLevel="0" collapsed="false">
      <c r="A23" s="79" t="s">
        <v>623</v>
      </c>
      <c r="B23" s="630" t="s">
        <v>435</v>
      </c>
      <c r="C23" s="630"/>
      <c r="D23" s="630"/>
      <c r="E23" s="46" t="n">
        <f aca="false">D7*2</f>
        <v>2</v>
      </c>
      <c r="F23" s="97" t="n">
        <f aca="false">C7-50</f>
        <v>950</v>
      </c>
      <c r="G23" s="97"/>
      <c r="H23" s="83" t="s">
        <v>18</v>
      </c>
      <c r="I23" s="83"/>
      <c r="J23" s="83" t="s">
        <v>42</v>
      </c>
      <c r="K23" s="451"/>
      <c r="L23" s="283"/>
      <c r="M23" s="442"/>
      <c r="N23" s="284"/>
      <c r="O23" s="280"/>
      <c r="P23" s="120"/>
      <c r="Q23" s="120"/>
      <c r="R23" s="96"/>
      <c r="S23" s="96"/>
      <c r="T23" s="439"/>
      <c r="U23" s="96"/>
    </row>
    <row r="24" customFormat="false" ht="26.25" hidden="false" customHeight="true" outlineLevel="0" collapsed="false">
      <c r="A24" s="79" t="s">
        <v>188</v>
      </c>
      <c r="B24" s="630" t="s">
        <v>203</v>
      </c>
      <c r="C24" s="630"/>
      <c r="D24" s="630"/>
      <c r="E24" s="46" t="n">
        <f aca="false">D7*4</f>
        <v>4</v>
      </c>
      <c r="F24" s="24" t="n">
        <f aca="false">(B7-239.9)/4</f>
        <v>440.025</v>
      </c>
      <c r="G24" s="24"/>
      <c r="H24" s="83" t="s">
        <v>17</v>
      </c>
      <c r="I24" s="83"/>
      <c r="J24" s="83" t="s">
        <v>42</v>
      </c>
      <c r="K24" s="452"/>
      <c r="L24" s="286"/>
      <c r="M24" s="445"/>
      <c r="N24" s="285"/>
      <c r="O24" s="288"/>
      <c r="P24" s="209"/>
      <c r="Q24" s="209"/>
      <c r="R24" s="290"/>
      <c r="S24" s="290"/>
      <c r="T24" s="292"/>
      <c r="U24" s="290"/>
    </row>
    <row r="25" customFormat="false" ht="26.25" hidden="false" customHeight="true" outlineLevel="0" collapsed="false">
      <c r="A25" s="79" t="s">
        <v>188</v>
      </c>
      <c r="B25" s="630" t="s">
        <v>203</v>
      </c>
      <c r="C25" s="630"/>
      <c r="D25" s="630"/>
      <c r="E25" s="46" t="n">
        <f aca="false">D7*4</f>
        <v>4</v>
      </c>
      <c r="F25" s="97" t="n">
        <f aca="false">C7-152</f>
        <v>848</v>
      </c>
      <c r="G25" s="97"/>
      <c r="H25" s="83" t="s">
        <v>18</v>
      </c>
      <c r="I25" s="83"/>
      <c r="J25" s="83" t="s">
        <v>42</v>
      </c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23.5603998</v>
      </c>
    </row>
    <row r="26" customFormat="false" ht="26.25" hidden="false" customHeight="true" outlineLevel="0" collapsed="false">
      <c r="A26" s="79" t="s">
        <v>580</v>
      </c>
      <c r="B26" s="630" t="s">
        <v>627</v>
      </c>
      <c r="C26" s="630"/>
      <c r="D26" s="630"/>
      <c r="E26" s="46" t="n">
        <f aca="false">D7*24</f>
        <v>24</v>
      </c>
      <c r="F26" s="97" t="n">
        <f aca="false">21</f>
        <v>21</v>
      </c>
      <c r="G26" s="97"/>
      <c r="H26" s="120"/>
      <c r="I26" s="120"/>
      <c r="J26" s="83" t="s">
        <v>42</v>
      </c>
      <c r="K26" s="410" t="n">
        <v>50</v>
      </c>
      <c r="L26" s="410" t="n">
        <v>100</v>
      </c>
      <c r="M26" s="302" t="n">
        <f aca="false">U25*L26</f>
        <v>2356.03998</v>
      </c>
      <c r="N26" s="302"/>
      <c r="O26" s="303" t="n">
        <v>0.1</v>
      </c>
      <c r="P26" s="85" t="n">
        <f aca="false">K30*O26+K30</f>
        <v>1295.821989</v>
      </c>
      <c r="Q26" s="85"/>
      <c r="R26" s="85"/>
      <c r="S26" s="181" t="s">
        <v>131</v>
      </c>
      <c r="T26" s="181"/>
      <c r="U26" s="294" t="n">
        <f aca="false">SUM(U3:U24)</f>
        <v>53.538</v>
      </c>
    </row>
    <row r="27" customFormat="false" ht="17.25" hidden="false" customHeight="true" outlineLevel="0" collapsed="false">
      <c r="A27" s="79"/>
      <c r="B27" s="632"/>
      <c r="C27" s="632"/>
      <c r="D27" s="632"/>
      <c r="E27" s="46"/>
      <c r="F27" s="97"/>
      <c r="G27" s="97"/>
      <c r="H27" s="28"/>
      <c r="I27" s="28"/>
      <c r="J27" s="83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29.9776002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2676.9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1178.01999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5" hidden="false" customHeight="true" outlineLevel="0" collapsed="false">
      <c r="A35" s="104" t="s">
        <v>51</v>
      </c>
      <c r="B35" s="20" t="s">
        <v>26</v>
      </c>
      <c r="C35" s="20"/>
      <c r="D35" s="20"/>
      <c r="E35" s="20"/>
      <c r="F35" s="20"/>
      <c r="G35" s="20"/>
      <c r="H35" s="106" t="s">
        <v>5</v>
      </c>
      <c r="I35" s="20" t="s">
        <v>207</v>
      </c>
      <c r="J35" s="20"/>
    </row>
    <row r="36" customFormat="false" ht="27" hidden="false" customHeight="true" outlineLevel="0" collapsed="false">
      <c r="A36" s="313" t="s">
        <v>499</v>
      </c>
      <c r="B36" s="314" t="s">
        <v>500</v>
      </c>
      <c r="C36" s="314"/>
      <c r="D36" s="314"/>
      <c r="E36" s="314"/>
      <c r="F36" s="314"/>
      <c r="G36" s="314"/>
      <c r="H36" s="397" t="s">
        <v>64</v>
      </c>
      <c r="I36" s="72" t="n">
        <f aca="false">D7*2</f>
        <v>2</v>
      </c>
      <c r="J36" s="72"/>
      <c r="K36" s="387" t="s">
        <v>493</v>
      </c>
      <c r="L36" s="133" t="n">
        <f aca="false">F11*E11</f>
        <v>1974</v>
      </c>
      <c r="M36" s="387" t="s">
        <v>617</v>
      </c>
      <c r="N36" s="133" t="n">
        <f aca="false">F18*E18</f>
        <v>12814</v>
      </c>
    </row>
    <row r="37" customFormat="false" ht="27" hidden="false" customHeight="true" outlineLevel="0" collapsed="false">
      <c r="A37" s="319" t="s">
        <v>581</v>
      </c>
      <c r="B37" s="320" t="s">
        <v>582</v>
      </c>
      <c r="C37" s="320"/>
      <c r="D37" s="320"/>
      <c r="E37" s="320"/>
      <c r="F37" s="320"/>
      <c r="G37" s="320"/>
      <c r="H37" s="96" t="s">
        <v>64</v>
      </c>
      <c r="I37" s="83" t="n">
        <f aca="false">D7*4</f>
        <v>4</v>
      </c>
      <c r="J37" s="83"/>
      <c r="K37" s="387" t="s">
        <v>494</v>
      </c>
      <c r="L37" s="133" t="n">
        <f aca="false">F12*E12</f>
        <v>1974</v>
      </c>
      <c r="M37" s="387" t="s">
        <v>193</v>
      </c>
      <c r="N37" s="133" t="n">
        <f aca="false">F19*E19</f>
        <v>1900</v>
      </c>
    </row>
    <row r="38" customFormat="false" ht="23.25" hidden="false" customHeight="true" outlineLevel="0" collapsed="false">
      <c r="A38" s="319" t="s">
        <v>515</v>
      </c>
      <c r="B38" s="320" t="s">
        <v>583</v>
      </c>
      <c r="C38" s="320"/>
      <c r="D38" s="320"/>
      <c r="E38" s="320"/>
      <c r="F38" s="320"/>
      <c r="G38" s="320"/>
      <c r="H38" s="96" t="s">
        <v>46</v>
      </c>
      <c r="I38" s="83" t="n">
        <f aca="false">C7*4*D7</f>
        <v>4000</v>
      </c>
      <c r="J38" s="83"/>
      <c r="K38" s="387" t="s">
        <v>501</v>
      </c>
      <c r="L38" s="133" t="n">
        <f aca="false">F13*E13</f>
        <v>2000</v>
      </c>
      <c r="M38" s="387" t="s">
        <v>197</v>
      </c>
      <c r="N38" s="133" t="n">
        <f aca="false">F20*E20</f>
        <v>1900</v>
      </c>
    </row>
    <row r="39" customFormat="false" ht="23.25" hidden="false" customHeight="true" outlineLevel="0" collapsed="false">
      <c r="A39" s="319" t="s">
        <v>517</v>
      </c>
      <c r="B39" s="320" t="s">
        <v>584</v>
      </c>
      <c r="C39" s="320"/>
      <c r="D39" s="320"/>
      <c r="E39" s="320"/>
      <c r="F39" s="320"/>
      <c r="G39" s="320"/>
      <c r="H39" s="96" t="s">
        <v>46</v>
      </c>
      <c r="I39" s="83" t="n">
        <f aca="false">B7*6*D7</f>
        <v>12000</v>
      </c>
      <c r="J39" s="83"/>
      <c r="K39" s="387" t="s">
        <v>520</v>
      </c>
      <c r="L39" s="133" t="n">
        <f aca="false">F14*E14</f>
        <v>1900</v>
      </c>
      <c r="M39" s="387" t="s">
        <v>619</v>
      </c>
      <c r="N39" s="133" t="n">
        <f aca="false">F21*E21</f>
        <v>3800</v>
      </c>
    </row>
    <row r="40" customFormat="false" ht="23.25" hidden="false" customHeight="true" outlineLevel="0" collapsed="false">
      <c r="A40" s="319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83" t="n">
        <f aca="false">C7*8*D7</f>
        <v>8000</v>
      </c>
      <c r="J40" s="83"/>
      <c r="K40" s="387" t="s">
        <v>201</v>
      </c>
      <c r="L40" s="133" t="n">
        <f aca="false">F15*E15</f>
        <v>1760.1</v>
      </c>
      <c r="M40" s="387" t="s">
        <v>621</v>
      </c>
      <c r="N40" s="133" t="n">
        <f aca="false">F22*E22</f>
        <v>1900</v>
      </c>
    </row>
    <row r="41" customFormat="false" ht="23.25" hidden="false" customHeight="true" outlineLevel="0" collapsed="false">
      <c r="A41" s="319" t="s">
        <v>527</v>
      </c>
      <c r="B41" s="320" t="s">
        <v>585</v>
      </c>
      <c r="C41" s="320"/>
      <c r="D41" s="320"/>
      <c r="E41" s="320"/>
      <c r="F41" s="320"/>
      <c r="G41" s="320"/>
      <c r="H41" s="96" t="s">
        <v>46</v>
      </c>
      <c r="I41" s="83" t="n">
        <f aca="false">B7+(C7*2)*D7</f>
        <v>4000</v>
      </c>
      <c r="J41" s="83"/>
      <c r="K41" s="387" t="s">
        <v>615</v>
      </c>
      <c r="L41" s="133" t="n">
        <f aca="false">F16*E16</f>
        <v>3578</v>
      </c>
      <c r="M41" s="387" t="s">
        <v>623</v>
      </c>
      <c r="N41" s="133" t="n">
        <f aca="false">F23*E23</f>
        <v>1900</v>
      </c>
    </row>
    <row r="42" customFormat="false" ht="23.25" hidden="false" customHeight="true" outlineLevel="0" collapsed="false">
      <c r="A42" s="319" t="s">
        <v>504</v>
      </c>
      <c r="B42" s="320" t="s">
        <v>226</v>
      </c>
      <c r="C42" s="320"/>
      <c r="D42" s="320"/>
      <c r="E42" s="320"/>
      <c r="F42" s="320"/>
      <c r="G42" s="320"/>
      <c r="H42" s="96" t="s">
        <v>64</v>
      </c>
      <c r="I42" s="83" t="n">
        <f aca="false">D7*2</f>
        <v>2</v>
      </c>
      <c r="J42" s="83"/>
      <c r="K42" s="387" t="s">
        <v>616</v>
      </c>
      <c r="L42" s="133" t="n">
        <f aca="false">F17*E17</f>
        <v>12814</v>
      </c>
      <c r="M42" s="387" t="s">
        <v>188</v>
      </c>
      <c r="N42" s="133" t="n">
        <f aca="false">F24*E24+E25*F25</f>
        <v>5152.1</v>
      </c>
    </row>
    <row r="43" customFormat="false" ht="23.25" hidden="false" customHeight="true" outlineLevel="0" collapsed="false">
      <c r="A43" s="319" t="s">
        <v>505</v>
      </c>
      <c r="B43" s="320" t="s">
        <v>506</v>
      </c>
      <c r="C43" s="320"/>
      <c r="D43" s="320"/>
      <c r="E43" s="320"/>
      <c r="F43" s="320"/>
      <c r="G43" s="320"/>
      <c r="H43" s="96" t="s">
        <v>64</v>
      </c>
      <c r="I43" s="428" t="n">
        <f aca="false">D7*24</f>
        <v>24</v>
      </c>
      <c r="J43" s="428"/>
      <c r="K43" s="109"/>
      <c r="L43" s="109"/>
      <c r="M43" s="387"/>
      <c r="N43" s="109"/>
    </row>
    <row r="44" customFormat="false" ht="23.25" hidden="false" customHeight="true" outlineLevel="0" collapsed="false">
      <c r="A44" s="319" t="s">
        <v>507</v>
      </c>
      <c r="B44" s="320" t="s">
        <v>230</v>
      </c>
      <c r="C44" s="320"/>
      <c r="D44" s="320"/>
      <c r="E44" s="320"/>
      <c r="F44" s="320"/>
      <c r="G44" s="320"/>
      <c r="H44" s="96" t="s">
        <v>64</v>
      </c>
      <c r="I44" s="428" t="n">
        <f aca="false">D7*2</f>
        <v>2</v>
      </c>
      <c r="J44" s="428"/>
      <c r="K44" s="109"/>
      <c r="L44" s="109"/>
      <c r="M44" s="387" t="s">
        <v>580</v>
      </c>
      <c r="N44" s="133" t="n">
        <f aca="false">F26*E26</f>
        <v>504</v>
      </c>
    </row>
    <row r="45" customFormat="false" ht="23.25" hidden="false" customHeight="true" outlineLevel="0" collapsed="false">
      <c r="A45" s="319" t="s">
        <v>508</v>
      </c>
      <c r="B45" s="320" t="s">
        <v>509</v>
      </c>
      <c r="C45" s="320"/>
      <c r="D45" s="320"/>
      <c r="E45" s="320"/>
      <c r="F45" s="320"/>
      <c r="G45" s="320"/>
      <c r="H45" s="96" t="s">
        <v>64</v>
      </c>
      <c r="I45" s="428" t="n">
        <f aca="false">D7*8</f>
        <v>8</v>
      </c>
      <c r="J45" s="428"/>
      <c r="K45" s="109"/>
      <c r="L45" s="109"/>
      <c r="M45" s="109"/>
      <c r="N45" s="109"/>
    </row>
    <row r="46" customFormat="false" ht="23.25" hidden="false" customHeight="true" outlineLevel="0" collapsed="false">
      <c r="A46" s="319" t="s">
        <v>510</v>
      </c>
      <c r="B46" s="480" t="s">
        <v>511</v>
      </c>
      <c r="C46" s="480"/>
      <c r="D46" s="480"/>
      <c r="E46" s="480"/>
      <c r="F46" s="480"/>
      <c r="G46" s="480"/>
      <c r="H46" s="96" t="s">
        <v>64</v>
      </c>
      <c r="I46" s="428" t="n">
        <f aca="false">D7*36</f>
        <v>36</v>
      </c>
      <c r="J46" s="428"/>
    </row>
    <row r="47" customFormat="false" ht="23.25" hidden="false" customHeight="true" outlineLevel="0" collapsed="false">
      <c r="A47" s="319" t="s">
        <v>549</v>
      </c>
      <c r="B47" s="480" t="s">
        <v>236</v>
      </c>
      <c r="C47" s="480"/>
      <c r="D47" s="480"/>
      <c r="E47" s="480"/>
      <c r="F47" s="480"/>
      <c r="G47" s="480"/>
      <c r="H47" s="96" t="s">
        <v>64</v>
      </c>
      <c r="I47" s="83" t="n">
        <f aca="false">D7*12</f>
        <v>12</v>
      </c>
      <c r="J47" s="83"/>
    </row>
    <row r="48" customFormat="false" ht="23.25" hidden="false" customHeight="true" outlineLevel="0" collapsed="false">
      <c r="A48" s="128" t="s">
        <v>702</v>
      </c>
      <c r="B48" s="480" t="s">
        <v>703</v>
      </c>
      <c r="C48" s="480"/>
      <c r="D48" s="480"/>
      <c r="E48" s="480"/>
      <c r="F48" s="480"/>
      <c r="G48" s="480"/>
      <c r="H48" s="96" t="s">
        <v>64</v>
      </c>
      <c r="I48" s="434" t="n">
        <f aca="false">D7*2</f>
        <v>2</v>
      </c>
      <c r="J48" s="434"/>
    </row>
    <row r="49" customFormat="false" ht="23.25" hidden="false" customHeight="true" outlineLevel="0" collapsed="false">
      <c r="A49" s="506" t="s">
        <v>704</v>
      </c>
      <c r="B49" s="483" t="s">
        <v>705</v>
      </c>
      <c r="C49" s="483"/>
      <c r="D49" s="483"/>
      <c r="E49" s="483"/>
      <c r="F49" s="483"/>
      <c r="G49" s="483"/>
      <c r="H49" s="290" t="s">
        <v>64</v>
      </c>
      <c r="I49" s="103" t="n">
        <f aca="false">D7*2</f>
        <v>2</v>
      </c>
      <c r="J49" s="103"/>
    </row>
    <row r="50" customFormat="false" ht="23.25" hidden="false" customHeight="true" outlineLevel="0" collapsed="false">
      <c r="A50" s="296"/>
      <c r="B50" s="296"/>
      <c r="C50" s="296"/>
      <c r="D50" s="296"/>
      <c r="E50" s="296"/>
      <c r="F50" s="296"/>
      <c r="G50" s="296"/>
      <c r="H50" s="296"/>
      <c r="I50" s="296"/>
      <c r="J50" s="296"/>
    </row>
    <row r="51" customFormat="false" ht="21" hidden="false" customHeight="true" outlineLevel="0" collapsed="false"/>
    <row r="52" customFormat="false" ht="23.25" hidden="false" customHeight="true" outlineLevel="0" collapsed="false">
      <c r="K52" s="109"/>
      <c r="L52" s="109"/>
    </row>
    <row r="53" customFormat="false" ht="23.25" hidden="false" customHeight="true" outlineLevel="0" collapsed="false"/>
    <row r="54" customFormat="false" ht="19.5" hidden="false" customHeight="true" outlineLevel="0" collapsed="false"/>
    <row r="55" customFormat="false" ht="21" hidden="false" customHeight="true" outlineLevel="0" collapsed="false"/>
    <row r="64" customFormat="false" ht="15" hidden="false" customHeight="false" outlineLevel="0" collapsed="false">
      <c r="C64" s="1" t="s">
        <v>23</v>
      </c>
    </row>
  </sheetData>
  <mergeCells count="15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B27:D27"/>
    <mergeCell ref="F27:G27"/>
    <mergeCell ref="H27:I27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98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tr">
        <f aca="false">A11</f>
        <v>2X1/2</v>
      </c>
      <c r="L3" s="14"/>
      <c r="M3" s="15" t="n">
        <f aca="false">ROUNDUP(P30,0)</f>
        <v>1</v>
      </c>
      <c r="N3" s="16" t="n">
        <v>120</v>
      </c>
      <c r="O3" s="16"/>
      <c r="P3" s="16" t="n">
        <f aca="false">N3*M3</f>
        <v>120</v>
      </c>
      <c r="Q3" s="16"/>
      <c r="R3" s="17" t="str">
        <f aca="false">F5</f>
        <v>BRANCO</v>
      </c>
      <c r="S3" s="18" t="n">
        <v>6000</v>
      </c>
      <c r="T3" s="19" t="n">
        <f aca="false">F11*E11+E12*F12+O21*P21</f>
        <v>3200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A13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F5</f>
        <v>BRANCO</v>
      </c>
      <c r="S4" s="27" t="n">
        <v>6000</v>
      </c>
      <c r="T4" s="28" t="n">
        <f aca="false">E13*F13+E14*F14</f>
        <v>4742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20" t="s">
        <v>67</v>
      </c>
      <c r="E5" s="20"/>
      <c r="F5" s="143" t="s">
        <v>15</v>
      </c>
      <c r="G5" s="143"/>
      <c r="H5" s="144"/>
      <c r="I5" s="144"/>
      <c r="J5" s="144"/>
      <c r="K5" s="22" t="str">
        <f aca="false">A15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F5</f>
        <v>BRANCO</v>
      </c>
      <c r="S5" s="27" t="n">
        <v>6000</v>
      </c>
      <c r="T5" s="28" t="n">
        <f aca="false">E15*F15</f>
        <v>509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20" t="s">
        <v>16</v>
      </c>
      <c r="E6" s="20"/>
      <c r="F6" s="35" t="s">
        <v>17</v>
      </c>
      <c r="G6" s="219" t="s">
        <v>18</v>
      </c>
      <c r="H6" s="144"/>
      <c r="I6" s="144"/>
      <c r="J6" s="144"/>
      <c r="K6" s="41" t="s">
        <v>68</v>
      </c>
      <c r="L6" s="23"/>
      <c r="M6" s="24" t="n">
        <f aca="false">ROUNDUP(P33,0)</f>
        <v>1</v>
      </c>
      <c r="N6" s="25" t="n">
        <v>120</v>
      </c>
      <c r="O6" s="25"/>
      <c r="P6" s="25" t="n">
        <f aca="false">N6*M6</f>
        <v>120</v>
      </c>
      <c r="Q6" s="25"/>
      <c r="R6" s="26" t="str">
        <f aca="false">F5</f>
        <v>BRANCO</v>
      </c>
      <c r="S6" s="27" t="n">
        <v>6000</v>
      </c>
      <c r="T6" s="28" t="n">
        <f aca="false">E16*F16</f>
        <v>188</v>
      </c>
      <c r="U6" s="28"/>
    </row>
    <row r="7" customFormat="false" ht="27" hidden="false" customHeight="true" outlineLevel="0" collapsed="false">
      <c r="A7" s="42" t="n">
        <v>1</v>
      </c>
      <c r="B7" s="42" t="n">
        <v>800</v>
      </c>
      <c r="C7" s="42" t="n">
        <v>800</v>
      </c>
      <c r="D7" s="147" t="s">
        <v>69</v>
      </c>
      <c r="E7" s="147"/>
      <c r="F7" s="37" t="n">
        <f aca="false">F13-4</f>
        <v>391.5</v>
      </c>
      <c r="G7" s="220" t="n">
        <f aca="false">F14-4</f>
        <v>786</v>
      </c>
      <c r="H7" s="144"/>
      <c r="I7" s="144"/>
      <c r="J7" s="144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48"/>
      <c r="U7" s="49"/>
    </row>
    <row r="8" customFormat="false" ht="24" hidden="false" customHeight="true" outlineLevel="0" collapsed="false">
      <c r="A8" s="116" t="s">
        <v>23</v>
      </c>
      <c r="B8" s="116"/>
      <c r="C8" s="150"/>
      <c r="D8" s="150"/>
      <c r="E8" s="151"/>
      <c r="F8" s="39" t="n">
        <f aca="false">A7*2</f>
        <v>2</v>
      </c>
      <c r="G8" s="39"/>
      <c r="H8" s="144"/>
      <c r="I8" s="144"/>
      <c r="J8" s="144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48"/>
      <c r="U8" s="49"/>
    </row>
    <row r="9" customFormat="false" ht="26.25" hidden="false" customHeight="true" outlineLevel="0" collapsed="false">
      <c r="A9" s="116"/>
      <c r="B9" s="116"/>
      <c r="C9" s="150"/>
      <c r="D9" s="150"/>
      <c r="E9" s="151"/>
      <c r="F9" s="153"/>
      <c r="G9" s="154"/>
      <c r="H9" s="144"/>
      <c r="I9" s="144"/>
      <c r="J9" s="144"/>
      <c r="K9" s="52"/>
      <c r="L9" s="45"/>
      <c r="M9" s="46"/>
      <c r="N9" s="25"/>
      <c r="O9" s="25"/>
      <c r="P9" s="25"/>
      <c r="Q9" s="25"/>
      <c r="R9" s="47"/>
      <c r="S9" s="27"/>
      <c r="T9" s="48"/>
      <c r="U9" s="4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65"/>
      <c r="U10" s="66"/>
    </row>
    <row r="11" customFormat="false" ht="25.5" hidden="false" customHeight="true" outlineLevel="0" collapsed="false">
      <c r="A11" s="67" t="s">
        <v>31</v>
      </c>
      <c r="B11" s="68" t="s">
        <v>32</v>
      </c>
      <c r="C11" s="68"/>
      <c r="D11" s="68"/>
      <c r="E11" s="69" t="n">
        <f aca="false">A7*2</f>
        <v>2</v>
      </c>
      <c r="F11" s="156" t="n">
        <f aca="false">B7</f>
        <v>800</v>
      </c>
      <c r="G11" s="156"/>
      <c r="H11" s="72" t="s">
        <v>17</v>
      </c>
      <c r="I11" s="72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80" t="s">
        <v>39</v>
      </c>
      <c r="C12" s="80"/>
      <c r="D12" s="80"/>
      <c r="E12" s="46" t="n">
        <f aca="false">A7*2</f>
        <v>2</v>
      </c>
      <c r="F12" s="157" t="n">
        <f aca="false">C7</f>
        <v>800</v>
      </c>
      <c r="G12" s="157"/>
      <c r="H12" s="83" t="s">
        <v>18</v>
      </c>
      <c r="I12" s="83"/>
      <c r="J12" s="83" t="s">
        <v>33</v>
      </c>
      <c r="K12" s="84" t="n">
        <f aca="false">P3+P4+P5+P6+P7+P8+P9+P10</f>
        <v>472</v>
      </c>
      <c r="L12" s="84"/>
      <c r="M12" s="84" t="n">
        <f aca="false">I35</f>
        <v>36</v>
      </c>
      <c r="N12" s="84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808</v>
      </c>
      <c r="U12" s="84"/>
    </row>
    <row r="13" customFormat="false" ht="25.5" hidden="false" customHeight="true" outlineLevel="0" collapsed="false">
      <c r="A13" s="79" t="s">
        <v>43</v>
      </c>
      <c r="B13" s="80" t="s">
        <v>44</v>
      </c>
      <c r="C13" s="80"/>
      <c r="D13" s="80"/>
      <c r="E13" s="46" t="n">
        <f aca="false">A7*4</f>
        <v>4</v>
      </c>
      <c r="F13" s="158" t="n">
        <f aca="false">(B7-9)/2</f>
        <v>395.5</v>
      </c>
      <c r="G13" s="158"/>
      <c r="H13" s="83" t="s">
        <v>17</v>
      </c>
      <c r="I13" s="83"/>
      <c r="J13" s="83" t="s">
        <v>33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80" t="s">
        <v>45</v>
      </c>
      <c r="C14" s="80"/>
      <c r="D14" s="80"/>
      <c r="E14" s="46" t="n">
        <f aca="false">A7*4</f>
        <v>4</v>
      </c>
      <c r="F14" s="158" t="n">
        <f aca="false">C7-10</f>
        <v>790</v>
      </c>
      <c r="G14" s="158"/>
      <c r="H14" s="83" t="s">
        <v>18</v>
      </c>
      <c r="I14" s="83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46</v>
      </c>
      <c r="B15" s="80" t="s">
        <v>47</v>
      </c>
      <c r="C15" s="80"/>
      <c r="D15" s="80"/>
      <c r="E15" s="46" t="n">
        <f aca="false">A7*2</f>
        <v>2</v>
      </c>
      <c r="F15" s="158" t="n">
        <f aca="false">F13-141</f>
        <v>254.5</v>
      </c>
      <c r="G15" s="158"/>
      <c r="H15" s="83" t="s">
        <v>17</v>
      </c>
      <c r="I15" s="83"/>
      <c r="J15" s="83" t="s">
        <v>42</v>
      </c>
    </row>
    <row r="16" customFormat="false" ht="25.5" hidden="false" customHeight="true" outlineLevel="0" collapsed="false">
      <c r="A16" s="79" t="s">
        <v>68</v>
      </c>
      <c r="B16" s="80" t="s">
        <v>70</v>
      </c>
      <c r="C16" s="80"/>
      <c r="D16" s="80"/>
      <c r="E16" s="46" t="n">
        <f aca="false">A7*4</f>
        <v>4</v>
      </c>
      <c r="F16" s="158" t="n">
        <f aca="false">A7*47</f>
        <v>47</v>
      </c>
      <c r="G16" s="158"/>
      <c r="H16" s="83" t="s">
        <v>71</v>
      </c>
      <c r="I16" s="83"/>
      <c r="J16" s="83" t="s">
        <v>42</v>
      </c>
      <c r="K16" s="93"/>
      <c r="L16" s="93"/>
      <c r="M16" s="93"/>
    </row>
    <row r="17" customFormat="false" ht="25.5" hidden="false" customHeight="true" outlineLevel="0" collapsed="false">
      <c r="A17" s="47"/>
      <c r="B17" s="52"/>
      <c r="D17" s="23"/>
      <c r="E17" s="47"/>
      <c r="H17" s="52"/>
      <c r="I17" s="23"/>
      <c r="J17" s="47"/>
      <c r="M17" s="94"/>
      <c r="N17" s="95"/>
      <c r="O17" s="95"/>
    </row>
    <row r="18" customFormat="false" ht="25.5" hidden="false" customHeight="true" outlineLevel="0" collapsed="false">
      <c r="A18" s="79"/>
      <c r="B18" s="80"/>
      <c r="C18" s="80"/>
      <c r="D18" s="80"/>
      <c r="E18" s="47"/>
      <c r="H18" s="83"/>
      <c r="I18" s="83"/>
      <c r="J18" s="83"/>
      <c r="N18" s="98"/>
      <c r="O18" s="98"/>
    </row>
    <row r="19" customFormat="false" ht="22.5" hidden="false" customHeight="true" outlineLevel="0" collapsed="false">
      <c r="A19" s="79"/>
      <c r="B19" s="80"/>
      <c r="C19" s="80"/>
      <c r="D19" s="80"/>
      <c r="E19" s="46"/>
      <c r="F19" s="158"/>
      <c r="G19" s="158"/>
      <c r="H19" s="83"/>
      <c r="I19" s="83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159"/>
      <c r="G20" s="159"/>
      <c r="H20" s="103"/>
      <c r="I20" s="103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160" t="s">
        <v>38</v>
      </c>
      <c r="K21" s="161"/>
      <c r="L21" s="162"/>
      <c r="M21" s="162"/>
      <c r="N21" s="162"/>
      <c r="O21" s="153"/>
      <c r="P21" s="157"/>
      <c r="Q21" s="157"/>
      <c r="R21" s="163"/>
      <c r="S21" s="163"/>
      <c r="T21" s="164"/>
      <c r="U21" s="109"/>
    </row>
    <row r="22" customFormat="false" ht="17.25" hidden="false" customHeight="true" outlineLevel="0" collapsed="false">
      <c r="A22" s="67" t="n">
        <v>1234567</v>
      </c>
      <c r="B22" s="110" t="s">
        <v>60</v>
      </c>
      <c r="C22" s="111"/>
      <c r="D22" s="111"/>
      <c r="E22" s="112"/>
      <c r="F22" s="19" t="s">
        <v>59</v>
      </c>
      <c r="G22" s="19"/>
      <c r="H22" s="221" t="n">
        <f aca="false">A7*16</f>
        <v>16</v>
      </c>
      <c r="I22" s="213" t="n">
        <v>0.1</v>
      </c>
      <c r="J22" s="214" t="n">
        <f aca="false">H22*I22</f>
        <v>1.6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79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28" t="n">
        <f aca="false">A7*2</f>
        <v>2</v>
      </c>
      <c r="I23" s="122" t="n">
        <v>8</v>
      </c>
      <c r="J23" s="215" t="n">
        <f aca="false">H23*I23</f>
        <v>16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79" t="s">
        <v>61</v>
      </c>
      <c r="B24" s="127" t="s">
        <v>62</v>
      </c>
      <c r="C24" s="127"/>
      <c r="D24" s="127"/>
      <c r="E24" s="119"/>
      <c r="F24" s="120" t="s">
        <v>55</v>
      </c>
      <c r="G24" s="120"/>
      <c r="H24" s="28" t="n">
        <f aca="false">A7*1</f>
        <v>1</v>
      </c>
      <c r="I24" s="122" t="n">
        <v>18</v>
      </c>
      <c r="J24" s="215" t="n">
        <f aca="false">H24*I24</f>
        <v>18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79" t="s">
        <v>55</v>
      </c>
      <c r="B25" s="128" t="s">
        <v>63</v>
      </c>
      <c r="C25" s="128"/>
      <c r="D25" s="128"/>
      <c r="E25" s="128"/>
      <c r="F25" s="120" t="s">
        <v>64</v>
      </c>
      <c r="G25" s="120"/>
      <c r="H25" s="28" t="n">
        <f aca="false">A7*8</f>
        <v>8</v>
      </c>
      <c r="I25" s="122" t="n">
        <v>0.05</v>
      </c>
      <c r="J25" s="215" t="n">
        <f aca="false">H25*I25</f>
        <v>0.4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47"/>
      <c r="B26" s="52"/>
      <c r="E26" s="23"/>
      <c r="F26" s="52"/>
      <c r="G26" s="23"/>
      <c r="H26" s="47"/>
      <c r="I26" s="47"/>
      <c r="J26" s="23"/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47"/>
      <c r="B27" s="52"/>
      <c r="E27" s="23"/>
      <c r="F27" s="52"/>
      <c r="G27" s="23"/>
      <c r="H27" s="47"/>
      <c r="I27" s="47"/>
      <c r="J27" s="23"/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79"/>
      <c r="B28" s="117"/>
      <c r="C28" s="118"/>
      <c r="D28" s="118"/>
      <c r="E28" s="119"/>
      <c r="F28" s="52"/>
      <c r="G28" s="23"/>
      <c r="H28" s="47"/>
      <c r="I28" s="122"/>
      <c r="J28" s="215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79"/>
      <c r="B29" s="117"/>
      <c r="C29" s="118"/>
      <c r="D29" s="118"/>
      <c r="E29" s="119"/>
      <c r="F29" s="52"/>
      <c r="G29" s="23"/>
      <c r="H29" s="47"/>
      <c r="I29" s="122"/>
      <c r="J29" s="215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79"/>
      <c r="B30" s="131"/>
      <c r="C30" s="132"/>
      <c r="D30" s="132"/>
      <c r="E30" s="119"/>
      <c r="F30" s="52"/>
      <c r="G30" s="23"/>
      <c r="H30" s="47"/>
      <c r="I30" s="122"/>
      <c r="J30" s="215"/>
      <c r="K30" s="93"/>
      <c r="L30" s="93"/>
      <c r="M30" s="93"/>
      <c r="P30" s="133" t="n">
        <f aca="false">IF(T3&gt;6000,T3/6000,1)</f>
        <v>1</v>
      </c>
      <c r="S30" s="93"/>
      <c r="T30" s="93"/>
      <c r="U30" s="93"/>
    </row>
    <row r="31" customFormat="false" ht="17.25" hidden="false" customHeight="true" outlineLevel="0" collapsed="false">
      <c r="A31" s="79"/>
      <c r="B31" s="131"/>
      <c r="C31" s="132"/>
      <c r="D31" s="132"/>
      <c r="E31" s="119"/>
      <c r="F31" s="52"/>
      <c r="G31" s="23"/>
      <c r="H31" s="47"/>
      <c r="I31" s="122"/>
      <c r="J31" s="215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79"/>
      <c r="B32" s="131"/>
      <c r="C32" s="132"/>
      <c r="D32" s="132"/>
      <c r="E32" s="119"/>
      <c r="F32" s="52"/>
      <c r="G32" s="23"/>
      <c r="H32" s="47"/>
      <c r="I32" s="122"/>
      <c r="J32" s="215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79"/>
      <c r="B33" s="131"/>
      <c r="C33" s="132"/>
      <c r="D33" s="132"/>
      <c r="E33" s="119"/>
      <c r="F33" s="52"/>
      <c r="G33" s="23"/>
      <c r="H33" s="47"/>
      <c r="I33" s="217"/>
      <c r="J33" s="218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79"/>
      <c r="B34" s="131"/>
      <c r="C34" s="132"/>
      <c r="D34" s="132"/>
      <c r="E34" s="119"/>
      <c r="F34" s="52"/>
      <c r="G34" s="23"/>
      <c r="H34" s="47"/>
      <c r="I34" s="172" t="s">
        <v>38</v>
      </c>
      <c r="J34" s="172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73"/>
      <c r="B35" s="136"/>
      <c r="C35" s="137"/>
      <c r="D35" s="137"/>
      <c r="E35" s="138"/>
      <c r="F35" s="139"/>
      <c r="G35" s="140"/>
      <c r="H35" s="64"/>
      <c r="I35" s="174" t="n">
        <f aca="false">SUM(J22:J33)</f>
        <v>36</v>
      </c>
      <c r="J35" s="174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102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D5:E5"/>
    <mergeCell ref="F5:G5"/>
    <mergeCell ref="H5:J9"/>
    <mergeCell ref="N5:O5"/>
    <mergeCell ref="P5:Q5"/>
    <mergeCell ref="T5:U5"/>
    <mergeCell ref="D6:E6"/>
    <mergeCell ref="N6:O6"/>
    <mergeCell ref="P6:Q6"/>
    <mergeCell ref="T6:U6"/>
    <mergeCell ref="D7:E7"/>
    <mergeCell ref="N7:O7"/>
    <mergeCell ref="P7:Q7"/>
    <mergeCell ref="A8:B8"/>
    <mergeCell ref="C8:D8"/>
    <mergeCell ref="F8:G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B16:D16"/>
    <mergeCell ref="F16:G16"/>
    <mergeCell ref="H16:I16"/>
    <mergeCell ref="N17:O17"/>
    <mergeCell ref="B18:D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L21:N21"/>
    <mergeCell ref="P21:Q21"/>
    <mergeCell ref="R21:S21"/>
    <mergeCell ref="F22:G22"/>
    <mergeCell ref="F23:G23"/>
    <mergeCell ref="B24:D24"/>
    <mergeCell ref="F24:G24"/>
    <mergeCell ref="B25:E25"/>
    <mergeCell ref="F25:G25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706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72" t="s">
        <v>493</v>
      </c>
      <c r="L3" s="257" t="n">
        <f aca="false">IF(L36&gt;6000,L36/6000,1)</f>
        <v>1</v>
      </c>
      <c r="M3" s="15" t="n">
        <f aca="false">ROUNDUP(L3,0)</f>
        <v>1</v>
      </c>
      <c r="N3" s="259" t="n">
        <f aca="false">1.022*6*K26</f>
        <v>306.6</v>
      </c>
      <c r="O3" s="259"/>
      <c r="P3" s="259" t="n">
        <f aca="false">N3*M3</f>
        <v>306.6</v>
      </c>
      <c r="Q3" s="259"/>
      <c r="R3" s="397" t="str">
        <f aca="false">F5</f>
        <v>BRANCO</v>
      </c>
      <c r="S3" s="397" t="n">
        <v>6000</v>
      </c>
      <c r="T3" s="440" t="n">
        <f aca="false">L36*1.022/1000</f>
        <v>0.995428</v>
      </c>
      <c r="U3" s="440" t="n">
        <f aca="false">M3*6.132</f>
        <v>6.132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83" t="s">
        <v>494</v>
      </c>
      <c r="L4" s="265" t="n">
        <f aca="false">IF(L37&gt;6000,L37/6000,1)</f>
        <v>1</v>
      </c>
      <c r="M4" s="24" t="n">
        <f aca="false">ROUNDUP(L4,0)</f>
        <v>1</v>
      </c>
      <c r="N4" s="266" t="n">
        <f aca="false">0.981*6*K26</f>
        <v>294.3</v>
      </c>
      <c r="O4" s="266"/>
      <c r="P4" s="266" t="n">
        <f aca="false">N4*M4</f>
        <v>294.3</v>
      </c>
      <c r="Q4" s="266"/>
      <c r="R4" s="96" t="str">
        <f aca="false">F5</f>
        <v>BRANCO</v>
      </c>
      <c r="S4" s="96" t="n">
        <v>6000</v>
      </c>
      <c r="T4" s="439" t="n">
        <f aca="false">L37*0.981/1000</f>
        <v>0.955494</v>
      </c>
      <c r="U4" s="439" t="n">
        <f aca="false">M4*5.886</f>
        <v>5.886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83" t="s">
        <v>501</v>
      </c>
      <c r="L5" s="265" t="n">
        <f aca="false">IF(L38&gt;6000,L38/6000,1)</f>
        <v>1</v>
      </c>
      <c r="M5" s="24" t="n">
        <f aca="false">ROUNDUP(L5,0)</f>
        <v>1</v>
      </c>
      <c r="N5" s="266" t="n">
        <f aca="false">0.772*6*K26</f>
        <v>231.6</v>
      </c>
      <c r="O5" s="266"/>
      <c r="P5" s="266" t="n">
        <f aca="false">N5*M5</f>
        <v>231.6</v>
      </c>
      <c r="Q5" s="266"/>
      <c r="R5" s="96" t="str">
        <f aca="false">F5</f>
        <v>BRANCO</v>
      </c>
      <c r="S5" s="96" t="n">
        <v>6000</v>
      </c>
      <c r="T5" s="439" t="n">
        <f aca="false">L38*0.772/1000</f>
        <v>0.772</v>
      </c>
      <c r="U5" s="439" t="n">
        <f aca="false">M5*4.632</f>
        <v>4.632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83" t="s">
        <v>520</v>
      </c>
      <c r="L6" s="627" t="n">
        <f aca="false">IF(L39&gt;6000,L39/6000,1)</f>
        <v>1</v>
      </c>
      <c r="M6" s="24" t="n">
        <f aca="false">ROUNDUP(L6,0)</f>
        <v>1</v>
      </c>
      <c r="N6" s="266" t="n">
        <f aca="false">0.677*6*K26</f>
        <v>203.1</v>
      </c>
      <c r="O6" s="266"/>
      <c r="P6" s="266" t="n">
        <f aca="false">N6*M6</f>
        <v>203.1</v>
      </c>
      <c r="Q6" s="266"/>
      <c r="R6" s="96" t="str">
        <f aca="false">F5</f>
        <v>BRANCO</v>
      </c>
      <c r="S6" s="96" t="n">
        <v>4600</v>
      </c>
      <c r="T6" s="439" t="n">
        <f aca="false">L39*0.677/1000</f>
        <v>0.677</v>
      </c>
      <c r="U6" s="439" t="n">
        <f aca="false">M6*4.062</f>
        <v>4.062</v>
      </c>
    </row>
    <row r="7" customFormat="false" ht="27" hidden="false" customHeight="true" outlineLevel="0" collapsed="false">
      <c r="A7" s="271" t="n">
        <v>500</v>
      </c>
      <c r="B7" s="272" t="n">
        <v>1000</v>
      </c>
      <c r="C7" s="272" t="n">
        <v>1000</v>
      </c>
      <c r="D7" s="272" t="n">
        <v>1</v>
      </c>
      <c r="E7" s="276" t="n">
        <f aca="false">(B7*C7)/10^6</f>
        <v>1</v>
      </c>
      <c r="F7" s="276"/>
      <c r="G7" s="270"/>
      <c r="H7" s="270"/>
      <c r="I7" s="270"/>
      <c r="J7" s="270"/>
      <c r="K7" s="83" t="s">
        <v>201</v>
      </c>
      <c r="L7" s="627" t="n">
        <f aca="false">IF(L40&gt;6000,L40/6000,1)</f>
        <v>1</v>
      </c>
      <c r="M7" s="24" t="n">
        <f aca="false">ROUNDUP(L7,0)</f>
        <v>1</v>
      </c>
      <c r="N7" s="266" t="n">
        <f aca="false">0.507*6*K26</f>
        <v>152.1</v>
      </c>
      <c r="O7" s="266"/>
      <c r="P7" s="266" t="n">
        <f aca="false">N7*M7</f>
        <v>152.1</v>
      </c>
      <c r="Q7" s="266"/>
      <c r="R7" s="96" t="str">
        <f aca="false">F5</f>
        <v>BRANCO</v>
      </c>
      <c r="S7" s="96" t="n">
        <v>4600</v>
      </c>
      <c r="T7" s="439" t="n">
        <f aca="false">L40*0.507/1000</f>
        <v>0.440583</v>
      </c>
      <c r="U7" s="439" t="n">
        <f aca="false">M7*3.042</f>
        <v>3.042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500</v>
      </c>
      <c r="D8" s="274"/>
      <c r="E8" s="20" t="s">
        <v>16</v>
      </c>
      <c r="F8" s="39" t="n">
        <f aca="false">D7*1</f>
        <v>1</v>
      </c>
      <c r="G8" s="270"/>
      <c r="H8" s="270"/>
      <c r="I8" s="270"/>
      <c r="J8" s="270"/>
      <c r="K8" s="83" t="s">
        <v>615</v>
      </c>
      <c r="L8" s="627" t="n">
        <f aca="false">IF(L41&gt;6000,L41/6000,1)</f>
        <v>1</v>
      </c>
      <c r="M8" s="24" t="n">
        <f aca="false">ROUNDUP(L8,0)</f>
        <v>1</v>
      </c>
      <c r="N8" s="266" t="n">
        <f aca="false">0.512*6*K26</f>
        <v>153.6</v>
      </c>
      <c r="O8" s="266"/>
      <c r="P8" s="266" t="n">
        <f aca="false">N8*M8</f>
        <v>153.6</v>
      </c>
      <c r="Q8" s="266"/>
      <c r="R8" s="96" t="str">
        <f aca="false">F5</f>
        <v>BRANCO</v>
      </c>
      <c r="S8" s="96" t="n">
        <v>4600</v>
      </c>
      <c r="T8" s="439" t="n">
        <f aca="false">L41*0.512/1000</f>
        <v>0.904192</v>
      </c>
      <c r="U8" s="439" t="n">
        <f aca="false">M8*3.072</f>
        <v>3.072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500</v>
      </c>
      <c r="D9" s="275"/>
      <c r="E9" s="389" t="n">
        <f aca="false">(B7-143)/2</f>
        <v>428.5</v>
      </c>
      <c r="F9" s="390" t="n">
        <f aca="false">C7-134</f>
        <v>866</v>
      </c>
      <c r="G9" s="270"/>
      <c r="H9" s="270"/>
      <c r="I9" s="270"/>
      <c r="J9" s="270"/>
      <c r="K9" s="83" t="s">
        <v>616</v>
      </c>
      <c r="L9" s="627" t="n">
        <f aca="false">IF(L42&gt;6000,L42/6000,1)</f>
        <v>1.12827777777778</v>
      </c>
      <c r="M9" s="24" t="n">
        <f aca="false">ROUNDUP(L9,0)</f>
        <v>2</v>
      </c>
      <c r="N9" s="266" t="n">
        <f aca="false">0.326*6*K26</f>
        <v>97.8</v>
      </c>
      <c r="O9" s="266"/>
      <c r="P9" s="266" t="n">
        <f aca="false">N9*M9</f>
        <v>195.6</v>
      </c>
      <c r="Q9" s="266"/>
      <c r="R9" s="96" t="str">
        <f aca="false">R8</f>
        <v>BRANCO</v>
      </c>
      <c r="S9" s="96" t="n">
        <v>6000</v>
      </c>
      <c r="T9" s="439" t="n">
        <f aca="false">L42*0.326/1000</f>
        <v>2.20691133333333</v>
      </c>
      <c r="U9" s="439" t="n">
        <f aca="false">M9*1.956</f>
        <v>3.912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83" t="s">
        <v>617</v>
      </c>
      <c r="L10" s="627" t="n">
        <f aca="false">IF(N36&gt;6000,N36/6000,1)</f>
        <v>1.12316666666667</v>
      </c>
      <c r="M10" s="24" t="n">
        <f aca="false">ROUNDUP(L10,0)</f>
        <v>2</v>
      </c>
      <c r="N10" s="277" t="n">
        <f aca="false">0.326*6*K26</f>
        <v>97.8</v>
      </c>
      <c r="O10" s="277"/>
      <c r="P10" s="277" t="n">
        <f aca="false">N10*M10</f>
        <v>195.6</v>
      </c>
      <c r="Q10" s="277"/>
      <c r="R10" s="96" t="str">
        <f aca="false">F5</f>
        <v>BRANCO</v>
      </c>
      <c r="S10" s="96" t="n">
        <v>6000</v>
      </c>
      <c r="T10" s="439" t="n">
        <f aca="false">N36*0.326/1000</f>
        <v>2.196914</v>
      </c>
      <c r="U10" s="439" t="n">
        <f aca="false">M10*1.956</f>
        <v>3.912</v>
      </c>
    </row>
    <row r="11" customFormat="false" ht="25.5" hidden="false" customHeight="true" outlineLevel="0" collapsed="false">
      <c r="A11" s="67" t="s">
        <v>493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83" t="s">
        <v>193</v>
      </c>
      <c r="L11" s="629" t="n">
        <f aca="false">IF(N37&gt;6000,N37/6000,1)</f>
        <v>1</v>
      </c>
      <c r="M11" s="24" t="n">
        <f aca="false">ROUNDUP(L11,0)</f>
        <v>1</v>
      </c>
      <c r="N11" s="266" t="n">
        <f aca="false">0.52*6*K26</f>
        <v>156</v>
      </c>
      <c r="O11" s="266"/>
      <c r="P11" s="266" t="n">
        <f aca="false">N11*M11</f>
        <v>156</v>
      </c>
      <c r="Q11" s="266"/>
      <c r="R11" s="96" t="str">
        <f aca="false">F5</f>
        <v>BRANCO</v>
      </c>
      <c r="S11" s="96" t="n">
        <v>6000</v>
      </c>
      <c r="T11" s="439" t="n">
        <f aca="false">N37*0.52/1000</f>
        <v>0.494</v>
      </c>
      <c r="U11" s="439" t="n">
        <f aca="false">M11*3.12</f>
        <v>3.12</v>
      </c>
    </row>
    <row r="12" customFormat="false" ht="25.5" hidden="false" customHeight="true" outlineLevel="0" collapsed="false">
      <c r="A12" s="79" t="s">
        <v>494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83" t="s">
        <v>197</v>
      </c>
      <c r="L12" s="631" t="n">
        <f aca="false">IF(N38&gt;6000,N38/6000,1)</f>
        <v>1</v>
      </c>
      <c r="M12" s="24" t="n">
        <f aca="false">ROUNDUP(L12,0)</f>
        <v>1</v>
      </c>
      <c r="N12" s="266" t="n">
        <f aca="false">0.48*6*K26</f>
        <v>144</v>
      </c>
      <c r="O12" s="266"/>
      <c r="P12" s="266" t="n">
        <f aca="false">N12*M12</f>
        <v>144</v>
      </c>
      <c r="Q12" s="266"/>
      <c r="R12" s="96" t="str">
        <f aca="false">F5</f>
        <v>BRANCO</v>
      </c>
      <c r="S12" s="96" t="n">
        <v>6000</v>
      </c>
      <c r="T12" s="439" t="n">
        <f aca="false">N38*0.48/1000</f>
        <v>0.456</v>
      </c>
      <c r="U12" s="96" t="n">
        <f aca="false">M12*2.88</f>
        <v>2.88</v>
      </c>
    </row>
    <row r="13" customFormat="false" ht="25.5" hidden="false" customHeight="true" outlineLevel="0" collapsed="false">
      <c r="A13" s="79" t="s">
        <v>501</v>
      </c>
      <c r="B13" s="279" t="s">
        <v>192</v>
      </c>
      <c r="C13" s="279"/>
      <c r="D13" s="279"/>
      <c r="E13" s="24" t="n">
        <f aca="false">D7*1</f>
        <v>1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83" t="s">
        <v>619</v>
      </c>
      <c r="L13" s="281" t="n">
        <f aca="false">IF(N39&gt;6000,N39/6000,1)</f>
        <v>1</v>
      </c>
      <c r="M13" s="46" t="n">
        <f aca="false">ROUNDUP(L13,0)</f>
        <v>1</v>
      </c>
      <c r="N13" s="266" t="n">
        <f aca="false">0.534*6*K26</f>
        <v>160.2</v>
      </c>
      <c r="O13" s="266"/>
      <c r="P13" s="266" t="n">
        <f aca="false">N13*M13</f>
        <v>160.2</v>
      </c>
      <c r="Q13" s="266"/>
      <c r="R13" s="96" t="str">
        <f aca="false">F5</f>
        <v>BRANCO</v>
      </c>
      <c r="S13" s="96" t="n">
        <v>6000</v>
      </c>
      <c r="T13" s="439" t="n">
        <f aca="false">N39*0.534/1000</f>
        <v>1.0146</v>
      </c>
      <c r="U13" s="96" t="n">
        <f aca="false">M13*3.204</f>
        <v>3.204</v>
      </c>
    </row>
    <row r="14" customFormat="false" ht="25.5" hidden="false" customHeight="true" outlineLevel="0" collapsed="false">
      <c r="A14" s="79" t="s">
        <v>520</v>
      </c>
      <c r="B14" s="279" t="s">
        <v>192</v>
      </c>
      <c r="C14" s="279"/>
      <c r="D14" s="279"/>
      <c r="E14" s="24" t="n">
        <f aca="false">D7*1</f>
        <v>1</v>
      </c>
      <c r="F14" s="24" t="n">
        <f aca="false">C7</f>
        <v>1000</v>
      </c>
      <c r="G14" s="24"/>
      <c r="H14" s="83" t="s">
        <v>18</v>
      </c>
      <c r="I14" s="83"/>
      <c r="J14" s="83" t="s">
        <v>42</v>
      </c>
      <c r="K14" s="83" t="s">
        <v>621</v>
      </c>
      <c r="L14" s="281" t="n">
        <f aca="false">IF(N40&gt;6000,N40/6000,1)</f>
        <v>1</v>
      </c>
      <c r="M14" s="153" t="n">
        <f aca="false">ROUNDUP(L14,0)</f>
        <v>1</v>
      </c>
      <c r="N14" s="266" t="n">
        <f aca="false">0.575*6*K26</f>
        <v>172.5</v>
      </c>
      <c r="O14" s="266"/>
      <c r="P14" s="25" t="n">
        <f aca="false">N14*M14</f>
        <v>172.5</v>
      </c>
      <c r="Q14" s="25"/>
      <c r="R14" s="96" t="str">
        <f aca="false">F5</f>
        <v>BRANCO</v>
      </c>
      <c r="S14" s="96" t="n">
        <v>6000</v>
      </c>
      <c r="T14" s="439" t="n">
        <f aca="false">N40*0.575/1000</f>
        <v>0.54625</v>
      </c>
      <c r="U14" s="96" t="n">
        <f aca="false">M14*3.45</f>
        <v>3.45</v>
      </c>
    </row>
    <row r="15" customFormat="false" ht="25.5" hidden="false" customHeight="true" outlineLevel="0" collapsed="false">
      <c r="A15" s="79" t="s">
        <v>201</v>
      </c>
      <c r="B15" s="279" t="s">
        <v>487</v>
      </c>
      <c r="C15" s="279"/>
      <c r="D15" s="279"/>
      <c r="E15" s="46" t="n">
        <f aca="false">D7*2</f>
        <v>2</v>
      </c>
      <c r="F15" s="24" t="n">
        <f aca="false">(B7-131)/2</f>
        <v>434.5</v>
      </c>
      <c r="G15" s="24"/>
      <c r="H15" s="83" t="s">
        <v>18</v>
      </c>
      <c r="I15" s="83"/>
      <c r="J15" s="83" t="s">
        <v>42</v>
      </c>
      <c r="K15" s="83" t="s">
        <v>623</v>
      </c>
      <c r="L15" s="281" t="n">
        <f aca="false">IF(N41&gt;6000,N41/6000,1)</f>
        <v>1</v>
      </c>
      <c r="M15" s="153" t="n">
        <f aca="false">ROUNDUP(L15,0)</f>
        <v>1</v>
      </c>
      <c r="N15" s="266" t="n">
        <f aca="false">0.52*6*K26</f>
        <v>156</v>
      </c>
      <c r="O15" s="266"/>
      <c r="P15" s="25" t="n">
        <f aca="false">N15*M15</f>
        <v>156</v>
      </c>
      <c r="Q15" s="25"/>
      <c r="R15" s="96" t="str">
        <f aca="false">F5</f>
        <v>BRANCO</v>
      </c>
      <c r="S15" s="96" t="n">
        <v>6000</v>
      </c>
      <c r="T15" s="439" t="n">
        <f aca="false">N41*0.52/1000</f>
        <v>0.494</v>
      </c>
      <c r="U15" s="96" t="n">
        <f aca="false">M15*3.12</f>
        <v>3.12</v>
      </c>
    </row>
    <row r="16" customFormat="false" ht="25.5" hidden="false" customHeight="true" outlineLevel="0" collapsed="false">
      <c r="A16" s="79" t="s">
        <v>615</v>
      </c>
      <c r="B16" s="279" t="s">
        <v>701</v>
      </c>
      <c r="C16" s="279"/>
      <c r="D16" s="279"/>
      <c r="E16" s="24" t="n">
        <f aca="false">D7*4</f>
        <v>4</v>
      </c>
      <c r="F16" s="24" t="n">
        <f aca="false">(B7-117)/2</f>
        <v>441.5</v>
      </c>
      <c r="G16" s="24"/>
      <c r="H16" s="83" t="s">
        <v>18</v>
      </c>
      <c r="I16" s="83"/>
      <c r="J16" s="83" t="s">
        <v>42</v>
      </c>
      <c r="K16" s="83" t="s">
        <v>188</v>
      </c>
      <c r="L16" s="281" t="n">
        <f aca="false">IF(N42&gt;6000,N42/6000,1)</f>
        <v>1</v>
      </c>
      <c r="M16" s="153" t="n">
        <f aca="false">ROUNDUP(L16,0)</f>
        <v>1</v>
      </c>
      <c r="N16" s="266" t="n">
        <f aca="false">0.111*6*K26</f>
        <v>33.3</v>
      </c>
      <c r="O16" s="266"/>
      <c r="P16" s="25" t="n">
        <f aca="false">N16*M16</f>
        <v>33.3</v>
      </c>
      <c r="Q16" s="25"/>
      <c r="R16" s="96" t="str">
        <f aca="false">F5</f>
        <v>BRANCO</v>
      </c>
      <c r="S16" s="96" t="n">
        <v>6000</v>
      </c>
      <c r="T16" s="439" t="n">
        <f aca="false">N42*0.111/1000</f>
        <v>0.284493</v>
      </c>
      <c r="U16" s="96" t="n">
        <f aca="false">M16*0.666</f>
        <v>0.666</v>
      </c>
    </row>
    <row r="17" customFormat="false" ht="25.5" hidden="false" customHeight="true" outlineLevel="0" collapsed="false">
      <c r="A17" s="79" t="s">
        <v>616</v>
      </c>
      <c r="B17" s="279" t="s">
        <v>272</v>
      </c>
      <c r="C17" s="279"/>
      <c r="D17" s="279"/>
      <c r="E17" s="24" t="n">
        <f aca="false">(C7-140)/60*D7+1</f>
        <v>15.3333333333333</v>
      </c>
      <c r="F17" s="24" t="n">
        <f aca="false">(B7-117)/2</f>
        <v>441.5</v>
      </c>
      <c r="G17" s="24"/>
      <c r="H17" s="83" t="s">
        <v>17</v>
      </c>
      <c r="I17" s="83"/>
      <c r="J17" s="83" t="s">
        <v>42</v>
      </c>
      <c r="K17" s="83" t="s">
        <v>580</v>
      </c>
      <c r="L17" s="281" t="n">
        <f aca="false">IF(N44&gt;6000,N44/6000,1)</f>
        <v>1</v>
      </c>
      <c r="M17" s="153" t="n">
        <f aca="false">ROUNDUP(L17,0)</f>
        <v>1</v>
      </c>
      <c r="N17" s="266" t="n">
        <f aca="false">0.265*6*K26</f>
        <v>79.5</v>
      </c>
      <c r="O17" s="266"/>
      <c r="P17" s="25" t="n">
        <f aca="false">N17*M17</f>
        <v>79.5</v>
      </c>
      <c r="Q17" s="25"/>
      <c r="R17" s="96" t="str">
        <f aca="false">F5</f>
        <v>BRANCO</v>
      </c>
      <c r="S17" s="96" t="n">
        <v>6000</v>
      </c>
      <c r="T17" s="439" t="n">
        <f aca="false">N44*0.265/1000</f>
        <v>0.06678</v>
      </c>
      <c r="U17" s="96" t="n">
        <f aca="false">M17*1.59</f>
        <v>1.59</v>
      </c>
    </row>
    <row r="18" customFormat="false" ht="25.5" hidden="false" customHeight="true" outlineLevel="0" collapsed="false">
      <c r="A18" s="79" t="s">
        <v>617</v>
      </c>
      <c r="B18" s="279" t="s">
        <v>624</v>
      </c>
      <c r="C18" s="279"/>
      <c r="D18" s="279"/>
      <c r="E18" s="24" t="n">
        <f aca="false">E17</f>
        <v>15.3333333333333</v>
      </c>
      <c r="F18" s="24" t="n">
        <f aca="false">(B7-121)/2</f>
        <v>439.5</v>
      </c>
      <c r="G18" s="24"/>
      <c r="H18" s="83" t="s">
        <v>17</v>
      </c>
      <c r="I18" s="83"/>
      <c r="J18" s="83" t="s">
        <v>42</v>
      </c>
      <c r="K18" s="363"/>
      <c r="L18" s="281"/>
      <c r="M18" s="442"/>
      <c r="N18" s="268"/>
      <c r="O18" s="280"/>
      <c r="P18" s="120"/>
      <c r="Q18" s="120"/>
      <c r="R18" s="96"/>
      <c r="S18" s="96"/>
      <c r="T18" s="439"/>
      <c r="U18" s="96"/>
    </row>
    <row r="19" customFormat="false" ht="22.5" hidden="false" customHeight="true" outlineLevel="0" collapsed="false">
      <c r="A19" s="79" t="s">
        <v>193</v>
      </c>
      <c r="B19" s="279" t="s">
        <v>435</v>
      </c>
      <c r="C19" s="279"/>
      <c r="D19" s="279"/>
      <c r="E19" s="24" t="n">
        <f aca="false">D7*1</f>
        <v>1</v>
      </c>
      <c r="F19" s="24" t="n">
        <f aca="false">C7-50</f>
        <v>950</v>
      </c>
      <c r="G19" s="24"/>
      <c r="H19" s="83" t="s">
        <v>18</v>
      </c>
      <c r="I19" s="83"/>
      <c r="J19" s="83" t="s">
        <v>42</v>
      </c>
      <c r="K19" s="96"/>
      <c r="L19" s="283"/>
      <c r="M19" s="442"/>
      <c r="N19" s="268"/>
      <c r="O19" s="280"/>
      <c r="P19" s="120"/>
      <c r="Q19" s="120"/>
      <c r="R19" s="96"/>
      <c r="S19" s="96"/>
      <c r="T19" s="439"/>
      <c r="U19" s="96"/>
    </row>
    <row r="20" customFormat="false" ht="22.5" hidden="false" customHeight="true" outlineLevel="0" collapsed="false">
      <c r="A20" s="79" t="s">
        <v>197</v>
      </c>
      <c r="B20" s="279" t="s">
        <v>435</v>
      </c>
      <c r="C20" s="279"/>
      <c r="D20" s="279"/>
      <c r="E20" s="46" t="n">
        <f aca="false">D7*1</f>
        <v>1</v>
      </c>
      <c r="F20" s="24" t="n">
        <f aca="false">C7-50</f>
        <v>950</v>
      </c>
      <c r="G20" s="24"/>
      <c r="H20" s="83" t="s">
        <v>18</v>
      </c>
      <c r="I20" s="83"/>
      <c r="J20" s="83" t="s">
        <v>42</v>
      </c>
      <c r="K20" s="96"/>
      <c r="L20" s="283"/>
      <c r="M20" s="442"/>
      <c r="N20" s="268"/>
      <c r="O20" s="280"/>
      <c r="P20" s="120"/>
      <c r="Q20" s="120"/>
      <c r="R20" s="96"/>
      <c r="S20" s="96"/>
      <c r="T20" s="439"/>
      <c r="U20" s="96"/>
    </row>
    <row r="21" customFormat="false" ht="21" hidden="false" customHeight="true" outlineLevel="0" collapsed="false">
      <c r="A21" s="79" t="s">
        <v>619</v>
      </c>
      <c r="B21" s="80" t="s">
        <v>435</v>
      </c>
      <c r="C21" s="80"/>
      <c r="D21" s="80"/>
      <c r="E21" s="46" t="n">
        <f aca="false">D7*2</f>
        <v>2</v>
      </c>
      <c r="F21" s="97" t="n">
        <f aca="false">C7-50</f>
        <v>950</v>
      </c>
      <c r="G21" s="97"/>
      <c r="H21" s="28" t="s">
        <v>18</v>
      </c>
      <c r="I21" s="28"/>
      <c r="J21" s="83" t="s">
        <v>42</v>
      </c>
      <c r="K21" s="96"/>
      <c r="L21" s="283"/>
      <c r="M21" s="442"/>
      <c r="N21" s="268"/>
      <c r="O21" s="280"/>
      <c r="P21" s="120"/>
      <c r="Q21" s="120"/>
      <c r="R21" s="96"/>
      <c r="S21" s="96"/>
      <c r="T21" s="439"/>
      <c r="U21" s="96"/>
    </row>
    <row r="22" customFormat="false" ht="26.25" hidden="false" customHeight="true" outlineLevel="0" collapsed="false">
      <c r="A22" s="79" t="s">
        <v>621</v>
      </c>
      <c r="B22" s="80" t="s">
        <v>435</v>
      </c>
      <c r="C22" s="80"/>
      <c r="D22" s="80"/>
      <c r="E22" s="46" t="n">
        <f aca="false">D7*1</f>
        <v>1</v>
      </c>
      <c r="F22" s="24" t="n">
        <f aca="false">C7-50</f>
        <v>950</v>
      </c>
      <c r="G22" s="24"/>
      <c r="H22" s="83" t="s">
        <v>18</v>
      </c>
      <c r="I22" s="83"/>
      <c r="J22" s="83" t="s">
        <v>42</v>
      </c>
      <c r="K22" s="96"/>
      <c r="L22" s="283"/>
      <c r="M22" s="442"/>
      <c r="N22" s="268"/>
      <c r="O22" s="280"/>
      <c r="P22" s="120"/>
      <c r="Q22" s="120"/>
      <c r="R22" s="96"/>
      <c r="S22" s="96"/>
      <c r="T22" s="439"/>
      <c r="U22" s="96"/>
    </row>
    <row r="23" customFormat="false" ht="26.25" hidden="false" customHeight="true" outlineLevel="0" collapsed="false">
      <c r="A23" s="79" t="s">
        <v>623</v>
      </c>
      <c r="B23" s="80" t="s">
        <v>435</v>
      </c>
      <c r="C23" s="80"/>
      <c r="D23" s="80"/>
      <c r="E23" s="46" t="n">
        <f aca="false">D7*1</f>
        <v>1</v>
      </c>
      <c r="F23" s="97" t="n">
        <f aca="false">C7-50</f>
        <v>950</v>
      </c>
      <c r="G23" s="97"/>
      <c r="H23" s="83" t="s">
        <v>18</v>
      </c>
      <c r="I23" s="83"/>
      <c r="J23" s="83" t="s">
        <v>42</v>
      </c>
      <c r="K23" s="451"/>
      <c r="L23" s="283"/>
      <c r="M23" s="442"/>
      <c r="N23" s="284"/>
      <c r="O23" s="280"/>
      <c r="P23" s="120"/>
      <c r="Q23" s="120"/>
      <c r="R23" s="96"/>
      <c r="S23" s="96"/>
      <c r="T23" s="439"/>
      <c r="U23" s="96"/>
    </row>
    <row r="24" customFormat="false" ht="26.25" hidden="false" customHeight="true" outlineLevel="0" collapsed="false">
      <c r="A24" s="79" t="s">
        <v>188</v>
      </c>
      <c r="B24" s="80" t="s">
        <v>203</v>
      </c>
      <c r="C24" s="80"/>
      <c r="D24" s="80"/>
      <c r="E24" s="46" t="n">
        <f aca="false">D7*2</f>
        <v>2</v>
      </c>
      <c r="F24" s="24" t="n">
        <f aca="false">(B7-133)/2</f>
        <v>433.5</v>
      </c>
      <c r="G24" s="24"/>
      <c r="H24" s="83" t="s">
        <v>17</v>
      </c>
      <c r="I24" s="83"/>
      <c r="J24" s="83" t="s">
        <v>42</v>
      </c>
      <c r="K24" s="452"/>
      <c r="L24" s="286"/>
      <c r="M24" s="445"/>
      <c r="N24" s="285"/>
      <c r="O24" s="288"/>
      <c r="P24" s="209"/>
      <c r="Q24" s="209"/>
      <c r="R24" s="290"/>
      <c r="S24" s="290"/>
      <c r="T24" s="292"/>
      <c r="U24" s="290"/>
    </row>
    <row r="25" customFormat="false" ht="26.25" hidden="false" customHeight="true" outlineLevel="0" collapsed="false">
      <c r="A25" s="79" t="s">
        <v>188</v>
      </c>
      <c r="B25" s="80" t="s">
        <v>203</v>
      </c>
      <c r="C25" s="80"/>
      <c r="D25" s="80"/>
      <c r="E25" s="46" t="n">
        <f aca="false">D7*2</f>
        <v>2</v>
      </c>
      <c r="F25" s="97" t="n">
        <f aca="false">C7-152</f>
        <v>848</v>
      </c>
      <c r="G25" s="97"/>
      <c r="H25" s="83" t="s">
        <v>18</v>
      </c>
      <c r="I25" s="83"/>
      <c r="J25" s="83" t="s">
        <v>42</v>
      </c>
      <c r="K25" s="297" t="s">
        <v>133</v>
      </c>
      <c r="L25" s="298" t="s">
        <v>134</v>
      </c>
      <c r="M25" s="299" t="s">
        <v>135</v>
      </c>
      <c r="N25" s="299"/>
      <c r="O25" s="4" t="s">
        <v>136</v>
      </c>
      <c r="P25" s="4"/>
      <c r="Q25" s="4"/>
      <c r="R25" s="4"/>
      <c r="S25" s="422" t="s">
        <v>130</v>
      </c>
      <c r="T25" s="422"/>
      <c r="U25" s="292" t="n">
        <f aca="false">SUM(T3:T24)</f>
        <v>12.5046453333333</v>
      </c>
    </row>
    <row r="26" customFormat="false" ht="26.25" hidden="false" customHeight="true" outlineLevel="0" collapsed="false">
      <c r="A26" s="79" t="s">
        <v>580</v>
      </c>
      <c r="B26" s="293" t="s">
        <v>627</v>
      </c>
      <c r="C26" s="293"/>
      <c r="D26" s="293"/>
      <c r="E26" s="46" t="n">
        <f aca="false">D7*12</f>
        <v>12</v>
      </c>
      <c r="F26" s="97" t="n">
        <f aca="false">21</f>
        <v>21</v>
      </c>
      <c r="G26" s="97"/>
      <c r="H26" s="120"/>
      <c r="I26" s="120"/>
      <c r="J26" s="83" t="s">
        <v>42</v>
      </c>
      <c r="K26" s="410" t="n">
        <v>50</v>
      </c>
      <c r="L26" s="410" t="n">
        <v>100</v>
      </c>
      <c r="M26" s="302" t="n">
        <f aca="false">U25*L26</f>
        <v>1250.46453333333</v>
      </c>
      <c r="N26" s="302"/>
      <c r="O26" s="303" t="n">
        <v>0.1</v>
      </c>
      <c r="P26" s="85" t="n">
        <f aca="false">K30*O26+K30</f>
        <v>687.755493333333</v>
      </c>
      <c r="Q26" s="85"/>
      <c r="R26" s="85"/>
      <c r="S26" s="181" t="s">
        <v>131</v>
      </c>
      <c r="T26" s="181"/>
      <c r="U26" s="294" t="n">
        <f aca="false">SUM(U3:U24)</f>
        <v>52.68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K27" s="73" t="s">
        <v>195</v>
      </c>
      <c r="L27" s="73"/>
      <c r="M27" s="423"/>
      <c r="N27" s="424"/>
      <c r="O27" s="296"/>
      <c r="P27" s="296"/>
      <c r="Q27" s="425"/>
      <c r="R27" s="425"/>
      <c r="S27" s="73" t="s">
        <v>132</v>
      </c>
      <c r="T27" s="73"/>
      <c r="U27" s="292" t="n">
        <f aca="false">U26-U25</f>
        <v>40.1753546666667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K28" s="84" t="n">
        <f aca="false">U26*K26</f>
        <v>2634</v>
      </c>
      <c r="L28" s="84"/>
      <c r="O28" s="296"/>
      <c r="Q28" s="296"/>
      <c r="R28" s="296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  <c r="K29" s="73" t="s">
        <v>199</v>
      </c>
      <c r="L29" s="73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  <c r="K30" s="84" t="n">
        <f aca="false">U25*K26</f>
        <v>625.232266666667</v>
      </c>
      <c r="L30" s="84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109"/>
      <c r="L33" s="109"/>
      <c r="M33" s="109"/>
      <c r="N33" s="109"/>
    </row>
    <row r="34" customFormat="false" ht="22.5" hidden="false" customHeight="true" outlineLevel="0" collapsed="false">
      <c r="A34" s="4" t="s">
        <v>35</v>
      </c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5" hidden="false" customHeight="true" outlineLevel="0" collapsed="false">
      <c r="A35" s="104" t="s">
        <v>51</v>
      </c>
      <c r="B35" s="20" t="s">
        <v>26</v>
      </c>
      <c r="C35" s="20"/>
      <c r="D35" s="20"/>
      <c r="E35" s="20"/>
      <c r="F35" s="20"/>
      <c r="G35" s="20"/>
      <c r="H35" s="106" t="s">
        <v>5</v>
      </c>
      <c r="I35" s="20" t="s">
        <v>207</v>
      </c>
      <c r="J35" s="20"/>
    </row>
    <row r="36" customFormat="false" ht="27" hidden="false" customHeight="true" outlineLevel="0" collapsed="false">
      <c r="A36" s="313" t="s">
        <v>499</v>
      </c>
      <c r="B36" s="314" t="s">
        <v>500</v>
      </c>
      <c r="C36" s="314"/>
      <c r="D36" s="314"/>
      <c r="E36" s="314"/>
      <c r="F36" s="314"/>
      <c r="G36" s="314"/>
      <c r="H36" s="397" t="s">
        <v>64</v>
      </c>
      <c r="I36" s="72" t="n">
        <f aca="false">D7*3</f>
        <v>3</v>
      </c>
      <c r="J36" s="72"/>
      <c r="K36" s="387" t="s">
        <v>493</v>
      </c>
      <c r="L36" s="133" t="n">
        <f aca="false">F11*E11</f>
        <v>974</v>
      </c>
      <c r="M36" s="387" t="s">
        <v>617</v>
      </c>
      <c r="N36" s="133" t="n">
        <f aca="false">F18*E18</f>
        <v>6739</v>
      </c>
    </row>
    <row r="37" customFormat="false" ht="27" hidden="false" customHeight="true" outlineLevel="0" collapsed="false">
      <c r="A37" s="319" t="s">
        <v>581</v>
      </c>
      <c r="B37" s="320" t="s">
        <v>582</v>
      </c>
      <c r="C37" s="320"/>
      <c r="D37" s="320"/>
      <c r="E37" s="320"/>
      <c r="F37" s="320"/>
      <c r="G37" s="320"/>
      <c r="H37" s="96" t="s">
        <v>64</v>
      </c>
      <c r="I37" s="83" t="n">
        <f aca="false">D7*3</f>
        <v>3</v>
      </c>
      <c r="J37" s="83"/>
      <c r="K37" s="387" t="s">
        <v>494</v>
      </c>
      <c r="L37" s="133" t="n">
        <f aca="false">F12*E12</f>
        <v>974</v>
      </c>
      <c r="M37" s="387" t="s">
        <v>193</v>
      </c>
      <c r="N37" s="133" t="n">
        <f aca="false">F19*E19</f>
        <v>950</v>
      </c>
    </row>
    <row r="38" customFormat="false" ht="23.25" hidden="false" customHeight="true" outlineLevel="0" collapsed="false">
      <c r="A38" s="319" t="s">
        <v>515</v>
      </c>
      <c r="B38" s="320" t="s">
        <v>583</v>
      </c>
      <c r="C38" s="320"/>
      <c r="D38" s="320"/>
      <c r="E38" s="320"/>
      <c r="F38" s="320"/>
      <c r="G38" s="320"/>
      <c r="H38" s="96" t="s">
        <v>46</v>
      </c>
      <c r="I38" s="83" t="n">
        <f aca="false">C7*2*D7</f>
        <v>2000</v>
      </c>
      <c r="J38" s="83"/>
      <c r="K38" s="387" t="s">
        <v>501</v>
      </c>
      <c r="L38" s="133" t="n">
        <f aca="false">F13*E13</f>
        <v>1000</v>
      </c>
      <c r="M38" s="387" t="s">
        <v>197</v>
      </c>
      <c r="N38" s="133" t="n">
        <f aca="false">F20*E20</f>
        <v>950</v>
      </c>
    </row>
    <row r="39" customFormat="false" ht="23.25" hidden="false" customHeight="true" outlineLevel="0" collapsed="false">
      <c r="A39" s="319" t="s">
        <v>517</v>
      </c>
      <c r="B39" s="320" t="s">
        <v>584</v>
      </c>
      <c r="C39" s="320"/>
      <c r="D39" s="320"/>
      <c r="E39" s="320"/>
      <c r="F39" s="320"/>
      <c r="G39" s="320"/>
      <c r="H39" s="96" t="s">
        <v>46</v>
      </c>
      <c r="I39" s="83" t="n">
        <f aca="false">B7*6*D7</f>
        <v>6000</v>
      </c>
      <c r="J39" s="83"/>
      <c r="K39" s="387" t="s">
        <v>520</v>
      </c>
      <c r="L39" s="133" t="n">
        <f aca="false">F14*E14</f>
        <v>1000</v>
      </c>
      <c r="M39" s="387" t="s">
        <v>619</v>
      </c>
      <c r="N39" s="133" t="n">
        <f aca="false">F21*E21</f>
        <v>1900</v>
      </c>
    </row>
    <row r="40" customFormat="false" ht="23.25" hidden="false" customHeight="true" outlineLevel="0" collapsed="false">
      <c r="A40" s="319" t="s">
        <v>525</v>
      </c>
      <c r="B40" s="320" t="s">
        <v>526</v>
      </c>
      <c r="C40" s="320"/>
      <c r="D40" s="320"/>
      <c r="E40" s="320"/>
      <c r="F40" s="320"/>
      <c r="G40" s="320"/>
      <c r="H40" s="96" t="s">
        <v>46</v>
      </c>
      <c r="I40" s="83" t="n">
        <f aca="false">C7*6*D7</f>
        <v>6000</v>
      </c>
      <c r="J40" s="83"/>
      <c r="K40" s="387" t="s">
        <v>201</v>
      </c>
      <c r="L40" s="133" t="n">
        <f aca="false">F15*E15</f>
        <v>869</v>
      </c>
      <c r="M40" s="387" t="s">
        <v>621</v>
      </c>
      <c r="N40" s="133" t="n">
        <f aca="false">F22*E22</f>
        <v>950</v>
      </c>
    </row>
    <row r="41" customFormat="false" ht="23.25" hidden="false" customHeight="true" outlineLevel="0" collapsed="false">
      <c r="A41" s="319" t="s">
        <v>527</v>
      </c>
      <c r="B41" s="320" t="s">
        <v>585</v>
      </c>
      <c r="C41" s="320"/>
      <c r="D41" s="320"/>
      <c r="E41" s="320"/>
      <c r="F41" s="320"/>
      <c r="G41" s="320"/>
      <c r="H41" s="96" t="s">
        <v>46</v>
      </c>
      <c r="I41" s="83" t="n">
        <f aca="false">B7+(C7*2)*D7</f>
        <v>3000</v>
      </c>
      <c r="J41" s="83"/>
      <c r="K41" s="387" t="s">
        <v>615</v>
      </c>
      <c r="L41" s="133" t="n">
        <f aca="false">F16*E16</f>
        <v>1766</v>
      </c>
      <c r="M41" s="387" t="s">
        <v>623</v>
      </c>
      <c r="N41" s="133" t="n">
        <f aca="false">F23*E23</f>
        <v>950</v>
      </c>
    </row>
    <row r="42" customFormat="false" ht="23.25" hidden="false" customHeight="true" outlineLevel="0" collapsed="false">
      <c r="A42" s="319" t="s">
        <v>504</v>
      </c>
      <c r="B42" s="320" t="s">
        <v>226</v>
      </c>
      <c r="C42" s="320"/>
      <c r="D42" s="320"/>
      <c r="E42" s="320"/>
      <c r="F42" s="320"/>
      <c r="G42" s="320"/>
      <c r="H42" s="96" t="s">
        <v>64</v>
      </c>
      <c r="I42" s="83" t="n">
        <f aca="false">D7*1</f>
        <v>1</v>
      </c>
      <c r="J42" s="83"/>
      <c r="K42" s="387" t="s">
        <v>616</v>
      </c>
      <c r="L42" s="133" t="n">
        <f aca="false">F17*E17</f>
        <v>6769.66666666667</v>
      </c>
      <c r="M42" s="387" t="s">
        <v>188</v>
      </c>
      <c r="N42" s="133" t="n">
        <f aca="false">F24*E24+E25*F25</f>
        <v>2563</v>
      </c>
    </row>
    <row r="43" customFormat="false" ht="23.25" hidden="false" customHeight="true" outlineLevel="0" collapsed="false">
      <c r="A43" s="319" t="s">
        <v>505</v>
      </c>
      <c r="B43" s="320" t="s">
        <v>506</v>
      </c>
      <c r="C43" s="320"/>
      <c r="D43" s="320"/>
      <c r="E43" s="320"/>
      <c r="F43" s="320"/>
      <c r="G43" s="320"/>
      <c r="H43" s="96" t="s">
        <v>64</v>
      </c>
      <c r="I43" s="428" t="n">
        <f aca="false">D7*12</f>
        <v>12</v>
      </c>
      <c r="J43" s="428"/>
      <c r="K43" s="109"/>
      <c r="L43" s="109"/>
      <c r="M43" s="387"/>
      <c r="N43" s="109"/>
    </row>
    <row r="44" customFormat="false" ht="23.25" hidden="false" customHeight="true" outlineLevel="0" collapsed="false">
      <c r="A44" s="319" t="s">
        <v>507</v>
      </c>
      <c r="B44" s="320" t="s">
        <v>230</v>
      </c>
      <c r="C44" s="320"/>
      <c r="D44" s="320"/>
      <c r="E44" s="320"/>
      <c r="F44" s="320"/>
      <c r="G44" s="320"/>
      <c r="H44" s="96" t="s">
        <v>64</v>
      </c>
      <c r="I44" s="428" t="n">
        <f aca="false">D7*1</f>
        <v>1</v>
      </c>
      <c r="J44" s="428"/>
      <c r="K44" s="109"/>
      <c r="L44" s="109"/>
      <c r="M44" s="387" t="s">
        <v>580</v>
      </c>
      <c r="N44" s="133" t="n">
        <f aca="false">F26*E26</f>
        <v>252</v>
      </c>
    </row>
    <row r="45" customFormat="false" ht="23.25" hidden="false" customHeight="true" outlineLevel="0" collapsed="false">
      <c r="A45" s="319" t="s">
        <v>508</v>
      </c>
      <c r="B45" s="320" t="s">
        <v>509</v>
      </c>
      <c r="C45" s="320"/>
      <c r="D45" s="320"/>
      <c r="E45" s="320"/>
      <c r="F45" s="320"/>
      <c r="G45" s="320"/>
      <c r="H45" s="96" t="s">
        <v>64</v>
      </c>
      <c r="I45" s="428" t="n">
        <f aca="false">D7*6</f>
        <v>6</v>
      </c>
      <c r="J45" s="428"/>
      <c r="K45" s="109"/>
      <c r="L45" s="109"/>
      <c r="M45" s="109"/>
      <c r="N45" s="109"/>
    </row>
    <row r="46" customFormat="false" ht="23.25" hidden="false" customHeight="true" outlineLevel="0" collapsed="false">
      <c r="A46" s="319" t="s">
        <v>510</v>
      </c>
      <c r="B46" s="480" t="s">
        <v>511</v>
      </c>
      <c r="C46" s="480"/>
      <c r="D46" s="480"/>
      <c r="E46" s="480"/>
      <c r="F46" s="480"/>
      <c r="G46" s="480"/>
      <c r="H46" s="96" t="s">
        <v>64</v>
      </c>
      <c r="I46" s="428" t="n">
        <f aca="false">D7*24</f>
        <v>24</v>
      </c>
      <c r="J46" s="428"/>
    </row>
    <row r="47" customFormat="false" ht="23.25" hidden="false" customHeight="true" outlineLevel="0" collapsed="false">
      <c r="A47" s="319" t="s">
        <v>549</v>
      </c>
      <c r="B47" s="480" t="s">
        <v>236</v>
      </c>
      <c r="C47" s="480"/>
      <c r="D47" s="480"/>
      <c r="E47" s="480"/>
      <c r="F47" s="480"/>
      <c r="G47" s="480"/>
      <c r="H47" s="96" t="s">
        <v>64</v>
      </c>
      <c r="I47" s="83" t="n">
        <f aca="false">D7*6</f>
        <v>6</v>
      </c>
      <c r="J47" s="83"/>
    </row>
    <row r="48" customFormat="false" ht="23.25" hidden="false" customHeight="true" outlineLevel="0" collapsed="false">
      <c r="A48" s="47"/>
      <c r="B48" s="120"/>
      <c r="C48" s="120"/>
      <c r="D48" s="120"/>
      <c r="E48" s="120"/>
      <c r="F48" s="120"/>
      <c r="G48" s="120"/>
      <c r="H48" s="26"/>
      <c r="I48" s="120"/>
      <c r="J48" s="120"/>
    </row>
    <row r="49" customFormat="false" ht="23.25" hidden="false" customHeight="true" outlineLevel="0" collapsed="false">
      <c r="A49" s="506"/>
      <c r="B49" s="483"/>
      <c r="C49" s="483"/>
      <c r="D49" s="483"/>
      <c r="E49" s="483"/>
      <c r="F49" s="483"/>
      <c r="G49" s="483"/>
      <c r="H49" s="290"/>
      <c r="I49" s="103"/>
      <c r="J49" s="103"/>
    </row>
    <row r="50" customFormat="false" ht="23.25" hidden="false" customHeight="true" outlineLevel="0" collapsed="false">
      <c r="A50" s="296"/>
      <c r="B50" s="296"/>
      <c r="C50" s="296"/>
      <c r="D50" s="296"/>
      <c r="E50" s="296"/>
      <c r="F50" s="296"/>
      <c r="G50" s="296"/>
      <c r="H50" s="296"/>
      <c r="I50" s="296"/>
      <c r="J50" s="296"/>
    </row>
    <row r="51" customFormat="false" ht="21" hidden="false" customHeight="true" outlineLevel="0" collapsed="false"/>
    <row r="52" customFormat="false" ht="23.25" hidden="false" customHeight="true" outlineLevel="0" collapsed="false">
      <c r="K52" s="109"/>
      <c r="L52" s="109"/>
    </row>
    <row r="53" customFormat="false" ht="23.25" hidden="false" customHeight="true" outlineLevel="0" collapsed="false"/>
    <row r="54" customFormat="false" ht="19.5" hidden="false" customHeight="true" outlineLevel="0" collapsed="false"/>
    <row r="55" customFormat="false" ht="21" hidden="false" customHeight="true" outlineLevel="0" collapsed="false"/>
    <row r="64" customFormat="false" ht="15" hidden="false" customHeight="false" outlineLevel="0" collapsed="false">
      <c r="C64" s="1" t="s">
        <v>23</v>
      </c>
    </row>
  </sheetData>
  <mergeCells count="15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M25:N25"/>
    <mergeCell ref="O25:R25"/>
    <mergeCell ref="S25:T25"/>
    <mergeCell ref="B26:D26"/>
    <mergeCell ref="F26:G26"/>
    <mergeCell ref="H26:I26"/>
    <mergeCell ref="M26:N26"/>
    <mergeCell ref="P26:R26"/>
    <mergeCell ref="S26:T26"/>
    <mergeCell ref="K27:L27"/>
    <mergeCell ref="Q27:R27"/>
    <mergeCell ref="S27:T27"/>
    <mergeCell ref="K28:L28"/>
    <mergeCell ref="K29:L29"/>
    <mergeCell ref="K30:L30"/>
    <mergeCell ref="A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B44:G44"/>
    <mergeCell ref="I44:J44"/>
    <mergeCell ref="B45:G45"/>
    <mergeCell ref="I45:J45"/>
    <mergeCell ref="B46:G46"/>
    <mergeCell ref="I46:J46"/>
    <mergeCell ref="B47:G47"/>
    <mergeCell ref="I47:J47"/>
    <mergeCell ref="B48:G48"/>
    <mergeCell ref="I48:J48"/>
    <mergeCell ref="B49:G49"/>
    <mergeCell ref="I49:J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707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1.006*6*K17</f>
        <v>301.8</v>
      </c>
      <c r="O6" s="266"/>
      <c r="P6" s="266" t="n">
        <f aca="false">N6*M6</f>
        <v>301.8</v>
      </c>
      <c r="Q6" s="266"/>
      <c r="R6" s="96" t="str">
        <f aca="false">F5</f>
        <v>BRANCO</v>
      </c>
      <c r="S6" s="96" t="n">
        <v>4600</v>
      </c>
      <c r="T6" s="439" t="n">
        <f aca="false">K26*1.006/1000</f>
        <v>4.14472</v>
      </c>
      <c r="U6" s="439" t="n">
        <f aca="false">M6*4.627</f>
        <v>4.627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C7-173</f>
        <v>1927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0.812958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400"/>
      <c r="M10" s="24"/>
      <c r="N10" s="277"/>
      <c r="O10" s="277"/>
      <c r="P10" s="277"/>
      <c r="Q10" s="277"/>
      <c r="R10" s="96"/>
      <c r="S10" s="96"/>
      <c r="T10" s="439"/>
      <c r="U10" s="439"/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1.54666666666667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1.03008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 t="s">
        <v>201</v>
      </c>
      <c r="L13" s="515" t="n">
        <f aca="false">IF(K29&gt;6000,K29/6000,1)</f>
        <v>1</v>
      </c>
      <c r="M13" s="153" t="n">
        <f aca="false">ROUNDUP(L13,0)</f>
        <v>1</v>
      </c>
      <c r="N13" s="266" t="n">
        <f aca="false">0.507*6*K17</f>
        <v>152.1</v>
      </c>
      <c r="O13" s="266"/>
      <c r="P13" s="266" t="n">
        <f aca="false">N13*M13</f>
        <v>152.1</v>
      </c>
      <c r="Q13" s="266"/>
      <c r="R13" s="96" t="str">
        <f aca="false">F5</f>
        <v>BRANCO</v>
      </c>
      <c r="S13" s="96" t="n">
        <v>6000</v>
      </c>
      <c r="T13" s="439" t="n">
        <f aca="false">K29*0.507/1000</f>
        <v>0.416754</v>
      </c>
      <c r="U13" s="96" t="n">
        <f aca="false">M13*3.042</f>
        <v>3.042</v>
      </c>
    </row>
    <row r="14" customFormat="false" ht="25.5" hidden="false" customHeight="true" outlineLevel="0" collapsed="false">
      <c r="A14" s="79" t="s">
        <v>707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T3+T4+T5+T6+T7+T8+T9+T10+T11+T12+T13</f>
        <v>13.288392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D7*2</f>
        <v>2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1328.8392</v>
      </c>
      <c r="N17" s="490"/>
      <c r="O17" s="303" t="n">
        <v>0.1</v>
      </c>
      <c r="P17" s="491" t="n">
        <f aca="false">K21*O17+K21</f>
        <v>730.86156</v>
      </c>
      <c r="Q17" s="491"/>
      <c r="R17" s="491"/>
      <c r="S17" s="181" t="s">
        <v>131</v>
      </c>
      <c r="T17" s="181"/>
      <c r="U17" s="294" t="n">
        <f aca="false">U3+U4+U5+U6+U7+U8+U9+U10+U11+U12+U13</f>
        <v>35.067</v>
      </c>
    </row>
    <row r="18" customFormat="false" ht="25.5" hidden="false" customHeight="true" outlineLevel="0" collapsed="false">
      <c r="A18" s="79"/>
      <c r="B18" s="279"/>
      <c r="C18" s="279"/>
      <c r="D18" s="279"/>
      <c r="E18" s="46"/>
      <c r="F18" s="24"/>
      <c r="G18" s="24"/>
      <c r="H18" s="83"/>
      <c r="I18" s="83"/>
      <c r="J18" s="83"/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21.778608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D7*4</f>
        <v>4</v>
      </c>
      <c r="F19" s="24" t="n">
        <f aca="false">F17</f>
        <v>411</v>
      </c>
      <c r="G19" s="24"/>
      <c r="H19" s="83" t="s">
        <v>17</v>
      </c>
      <c r="I19" s="83"/>
      <c r="J19" s="83" t="s">
        <v>42</v>
      </c>
      <c r="K19" s="84" t="n">
        <f aca="false">U17*K17</f>
        <v>1753.35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D7*4</f>
        <v>4</v>
      </c>
      <c r="F20" s="205" t="n">
        <f aca="false">C7-191</f>
        <v>1909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664.4196</v>
      </c>
      <c r="L21" s="84"/>
    </row>
    <row r="22" customFormat="false" ht="17.25" hidden="false" customHeight="true" outlineLevel="0" collapsed="false">
      <c r="A22" s="338" t="s">
        <v>201</v>
      </c>
      <c r="B22" s="80" t="s">
        <v>604</v>
      </c>
      <c r="C22" s="80"/>
      <c r="D22" s="80"/>
      <c r="E22" s="46" t="n">
        <f aca="false">D7*2</f>
        <v>2</v>
      </c>
      <c r="F22" s="24" t="n">
        <f aca="false">F17</f>
        <v>411</v>
      </c>
      <c r="G22" s="24"/>
      <c r="H22" s="83" t="s">
        <v>17</v>
      </c>
      <c r="I22" s="83"/>
      <c r="J22" s="83" t="s">
        <v>42</v>
      </c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822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9280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  <c r="K33" s="109"/>
      <c r="L33" s="109"/>
      <c r="M33" s="109"/>
      <c r="N33" s="109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D7*20</f>
        <v>20</v>
      </c>
      <c r="J55" s="478"/>
    </row>
    <row r="64" customFormat="false" ht="15" hidden="false" customHeight="false" outlineLevel="0" collapsed="false">
      <c r="C64" s="1" t="s">
        <v>23</v>
      </c>
    </row>
  </sheetData>
  <mergeCells count="14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707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1.006*6*K17</f>
        <v>301.8</v>
      </c>
      <c r="O6" s="266"/>
      <c r="P6" s="266" t="n">
        <f aca="false">N6*M6</f>
        <v>301.8</v>
      </c>
      <c r="Q6" s="266"/>
      <c r="R6" s="96" t="str">
        <f aca="false">F5</f>
        <v>BRANCO</v>
      </c>
      <c r="S6" s="96" t="n">
        <v>4600</v>
      </c>
      <c r="T6" s="439" t="n">
        <f aca="false">K26*1.006/1000</f>
        <v>4.14472</v>
      </c>
      <c r="U6" s="439" t="n">
        <f aca="false">M6*4.627</f>
        <v>4.627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C7-222</f>
        <v>1878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1.625916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400"/>
      <c r="M10" s="24"/>
      <c r="N10" s="277"/>
      <c r="O10" s="277"/>
      <c r="P10" s="277"/>
      <c r="Q10" s="277"/>
      <c r="R10" s="96"/>
      <c r="S10" s="96"/>
      <c r="T10" s="439"/>
      <c r="U10" s="439"/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1.514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1.008324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52"/>
      <c r="L13" s="23"/>
      <c r="M13" s="47"/>
      <c r="N13" s="52"/>
      <c r="O13" s="23"/>
      <c r="P13" s="52"/>
      <c r="Q13" s="23"/>
      <c r="R13" s="47"/>
      <c r="S13" s="96"/>
      <c r="T13" s="47"/>
      <c r="U13" s="96"/>
    </row>
    <row r="14" customFormat="false" ht="25.5" hidden="false" customHeight="true" outlineLevel="0" collapsed="false">
      <c r="A14" s="79" t="s">
        <v>707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4" t="n">
        <f aca="false">T3+T4+T5+T6+T7+T8+T9+T10+T11+T12</f>
        <v>13.66284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1366.284</v>
      </c>
      <c r="N17" s="490"/>
      <c r="O17" s="303" t="n">
        <v>0.1</v>
      </c>
      <c r="P17" s="491" t="n">
        <f aca="false">K21*O17+K21</f>
        <v>751.4562</v>
      </c>
      <c r="Q17" s="491"/>
      <c r="R17" s="491"/>
      <c r="S17" s="181" t="s">
        <v>131</v>
      </c>
      <c r="T17" s="181"/>
      <c r="U17" s="294" t="n">
        <f aca="false">U3+U4+U5+U6+U7+U8+U9+U10+U11+U12</f>
        <v>32.025</v>
      </c>
    </row>
    <row r="18" customFormat="false" ht="25.5" hidden="false" customHeight="true" outlineLevel="0" collapsed="false">
      <c r="A18" s="79" t="s">
        <v>188</v>
      </c>
      <c r="B18" s="279" t="s">
        <v>203</v>
      </c>
      <c r="C18" s="279"/>
      <c r="D18" s="279"/>
      <c r="E18" s="24" t="n">
        <f aca="false">D7*4</f>
        <v>4</v>
      </c>
      <c r="F18" s="24" t="n">
        <f aca="false">F17</f>
        <v>411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18.36216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06" t="n">
        <f aca="false">D7*4</f>
        <v>4</v>
      </c>
      <c r="F19" s="205" t="n">
        <f aca="false">C7-240</f>
        <v>1860</v>
      </c>
      <c r="G19" s="205"/>
      <c r="H19" s="83" t="s">
        <v>18</v>
      </c>
      <c r="I19" s="83"/>
      <c r="J19" s="83" t="s">
        <v>42</v>
      </c>
      <c r="K19" s="84" t="n">
        <f aca="false">U17*K17</f>
        <v>1601.25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602</v>
      </c>
      <c r="B20" s="80" t="s">
        <v>377</v>
      </c>
      <c r="C20" s="80"/>
      <c r="D20" s="80"/>
      <c r="E20" s="46" t="n">
        <f aca="false">D7*1</f>
        <v>1</v>
      </c>
      <c r="F20" s="97" t="n">
        <f aca="false">B7+40</f>
        <v>1040</v>
      </c>
      <c r="G20" s="97"/>
      <c r="H20" s="28" t="s">
        <v>17</v>
      </c>
      <c r="I20" s="28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47"/>
      <c r="B21" s="52"/>
      <c r="D21" s="23"/>
      <c r="E21" s="47"/>
      <c r="F21" s="52"/>
      <c r="G21" s="23"/>
      <c r="H21" s="52"/>
      <c r="I21" s="23"/>
      <c r="J21" s="47"/>
      <c r="K21" s="84" t="n">
        <f aca="false">U16*K17</f>
        <v>683.142</v>
      </c>
      <c r="L21" s="84"/>
    </row>
    <row r="22" customFormat="false" ht="17.25" hidden="false" customHeight="true" outlineLevel="0" collapsed="false">
      <c r="A22" s="47"/>
      <c r="B22" s="52"/>
      <c r="D22" s="23"/>
      <c r="E22" s="47"/>
      <c r="F22" s="52"/>
      <c r="G22" s="23"/>
      <c r="H22" s="52"/>
      <c r="I22" s="23"/>
      <c r="J22" s="47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1644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F18*E18+E19*F19</f>
        <v>9084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F20*E20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D7*14</f>
        <v>14</v>
      </c>
      <c r="J55" s="478"/>
    </row>
  </sheetData>
  <mergeCells count="137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K21:L21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707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1.006*6*K17</f>
        <v>301.8</v>
      </c>
      <c r="O6" s="266"/>
      <c r="P6" s="266" t="n">
        <f aca="false">N6*M6</f>
        <v>301.8</v>
      </c>
      <c r="Q6" s="266"/>
      <c r="R6" s="96" t="str">
        <f aca="false">F5</f>
        <v>BRANCO</v>
      </c>
      <c r="S6" s="96" t="n">
        <v>4600</v>
      </c>
      <c r="T6" s="439" t="n">
        <f aca="false">K26*1.006/1000</f>
        <v>4.14472</v>
      </c>
      <c r="U6" s="439" t="n">
        <f aca="false">M6*4.627</f>
        <v>4.627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(C7-261)/2</f>
        <v>919.5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1.625916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626</v>
      </c>
      <c r="L10" s="400" t="n">
        <f aca="false">L9</f>
        <v>1</v>
      </c>
      <c r="M10" s="24" t="n">
        <f aca="false">ROUNDUP(L10,0)</f>
        <v>1</v>
      </c>
      <c r="N10" s="277" t="n">
        <f aca="false">0.55*6*K17</f>
        <v>165</v>
      </c>
      <c r="O10" s="277"/>
      <c r="P10" s="277" t="n">
        <f aca="false">N10*M10</f>
        <v>165</v>
      </c>
      <c r="Q10" s="277"/>
      <c r="R10" s="96" t="str">
        <f aca="false">F5</f>
        <v>BRANCO</v>
      </c>
      <c r="S10" s="96" t="n">
        <v>6000</v>
      </c>
      <c r="T10" s="439" t="n">
        <f aca="false">K29*0.55/1000</f>
        <v>0.9042</v>
      </c>
      <c r="U10" s="439" t="n">
        <f aca="false">M10*3.3</f>
        <v>3.3</v>
      </c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1.75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1.1655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52"/>
      <c r="L13" s="23"/>
      <c r="M13" s="47"/>
      <c r="N13" s="52"/>
      <c r="O13" s="23"/>
      <c r="P13" s="52"/>
      <c r="Q13" s="23"/>
      <c r="R13" s="47"/>
      <c r="S13" s="96"/>
      <c r="T13" s="47"/>
      <c r="U13" s="96"/>
    </row>
    <row r="14" customFormat="false" ht="25.5" hidden="false" customHeight="true" outlineLevel="0" collapsed="false">
      <c r="A14" s="79" t="s">
        <v>707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</f>
        <v>14.724216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1472.4216</v>
      </c>
      <c r="N17" s="490"/>
      <c r="O17" s="303" t="n">
        <v>0.1</v>
      </c>
      <c r="P17" s="491" t="n">
        <f aca="false">K21*O17+K21</f>
        <v>809.83188</v>
      </c>
      <c r="Q17" s="491"/>
      <c r="R17" s="491"/>
      <c r="S17" s="181" t="s">
        <v>131</v>
      </c>
      <c r="T17" s="181"/>
      <c r="U17" s="294" t="n">
        <f aca="false">U3+U4+U5+U6+U7+U8+U9+U10+U11+U12</f>
        <v>35.325</v>
      </c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2</v>
      </c>
      <c r="F18" s="24" t="n">
        <f aca="false">F17</f>
        <v>411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20.600784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411</v>
      </c>
      <c r="G19" s="24"/>
      <c r="H19" s="83" t="s">
        <v>17</v>
      </c>
      <c r="I19" s="83"/>
      <c r="J19" s="83" t="s">
        <v>42</v>
      </c>
      <c r="K19" s="84" t="n">
        <f aca="false">U17*K17</f>
        <v>1766.25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(C7-297)/2</f>
        <v>901.5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736.2108</v>
      </c>
      <c r="L21" s="84"/>
    </row>
    <row r="22" customFormat="false" ht="17.25" hidden="false" customHeight="true" outlineLevel="0" collapsed="false">
      <c r="A22" s="47"/>
      <c r="B22" s="52"/>
      <c r="D22" s="23"/>
      <c r="E22" s="47"/>
      <c r="F22" s="52"/>
      <c r="G22" s="23"/>
      <c r="H22" s="52"/>
      <c r="I22" s="23"/>
      <c r="J22" s="47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1644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10500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D7*22</f>
        <v>22</v>
      </c>
      <c r="J55" s="478"/>
    </row>
  </sheetData>
  <mergeCells count="14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707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1.006*6*K17</f>
        <v>301.8</v>
      </c>
      <c r="O6" s="266"/>
      <c r="P6" s="266" t="n">
        <f aca="false">N6*M6</f>
        <v>301.8</v>
      </c>
      <c r="Q6" s="266"/>
      <c r="R6" s="96" t="str">
        <f aca="false">F5</f>
        <v>BRANCO</v>
      </c>
      <c r="S6" s="96" t="n">
        <v>4600</v>
      </c>
      <c r="T6" s="439" t="n">
        <f aca="false">K26*1.006/1000</f>
        <v>4.14472</v>
      </c>
      <c r="U6" s="439" t="n">
        <f aca="false">M6*4.627</f>
        <v>4.627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(C7-212)/2</f>
        <v>944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0.812958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626</v>
      </c>
      <c r="L10" s="400" t="n">
        <f aca="false">L9</f>
        <v>1</v>
      </c>
      <c r="M10" s="24" t="n">
        <f aca="false">ROUNDUP(L10,0)</f>
        <v>1</v>
      </c>
      <c r="N10" s="277" t="n">
        <f aca="false">0.55*6*K17</f>
        <v>165</v>
      </c>
      <c r="O10" s="277"/>
      <c r="P10" s="277" t="n">
        <f aca="false">N10*M10</f>
        <v>165</v>
      </c>
      <c r="Q10" s="277"/>
      <c r="R10" s="96" t="str">
        <f aca="false">F5</f>
        <v>BRANCO</v>
      </c>
      <c r="S10" s="96" t="n">
        <v>6000</v>
      </c>
      <c r="T10" s="439" t="n">
        <f aca="false">K29*0.55/1000</f>
        <v>0.4521</v>
      </c>
      <c r="U10" s="439" t="n">
        <f aca="false">M10*3.3</f>
        <v>3.3</v>
      </c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1.78266666666667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1.187256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 t="s">
        <v>201</v>
      </c>
      <c r="L13" s="515" t="n">
        <f aca="false">IF(K29&gt;6000,K29/6000,1)</f>
        <v>1</v>
      </c>
      <c r="M13" s="153" t="n">
        <f aca="false">ROUNDUP(L13,0)</f>
        <v>1</v>
      </c>
      <c r="N13" s="266" t="n">
        <f aca="false">0.507*6*K17</f>
        <v>152.1</v>
      </c>
      <c r="O13" s="266"/>
      <c r="P13" s="266" t="n">
        <f aca="false">N13*M13</f>
        <v>152.1</v>
      </c>
      <c r="Q13" s="266"/>
      <c r="R13" s="96" t="str">
        <f aca="false">F5</f>
        <v>BRANCO</v>
      </c>
      <c r="S13" s="96" t="n">
        <v>6000</v>
      </c>
      <c r="T13" s="439" t="n">
        <f aca="false">K29*0.507/1000</f>
        <v>0.416754</v>
      </c>
      <c r="U13" s="96" t="n">
        <f aca="false">M13*3.042</f>
        <v>3.042</v>
      </c>
    </row>
    <row r="14" customFormat="false" ht="25.5" hidden="false" customHeight="true" outlineLevel="0" collapsed="false">
      <c r="A14" s="79" t="s">
        <v>707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T3+T4+T5+T6+T7+T8+T9+T10+T11+T12+T13</f>
        <v>13.897668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D7*2</f>
        <v>2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1389.7668</v>
      </c>
      <c r="N17" s="490"/>
      <c r="O17" s="303" t="n">
        <v>0.1</v>
      </c>
      <c r="P17" s="491" t="n">
        <f aca="false">K21*O17+K21</f>
        <v>764.37174</v>
      </c>
      <c r="Q17" s="491"/>
      <c r="R17" s="491"/>
      <c r="S17" s="181" t="s">
        <v>131</v>
      </c>
      <c r="T17" s="181"/>
      <c r="U17" s="294" t="n">
        <f aca="false">U3+U4+U5+U6+U7+U8+U9+U10+U11+U12+U13</f>
        <v>38.367</v>
      </c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2</v>
      </c>
      <c r="F18" s="24" t="n">
        <f aca="false">F17</f>
        <v>411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24.469332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411</v>
      </c>
      <c r="G19" s="24"/>
      <c r="H19" s="83" t="s">
        <v>17</v>
      </c>
      <c r="I19" s="83"/>
      <c r="J19" s="83" t="s">
        <v>42</v>
      </c>
      <c r="K19" s="84" t="n">
        <f aca="false">U17*K17</f>
        <v>1918.35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(C7-248)/2</f>
        <v>926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694.8834</v>
      </c>
      <c r="L21" s="84"/>
    </row>
    <row r="22" customFormat="false" ht="17.25" hidden="false" customHeight="true" outlineLevel="0" collapsed="false">
      <c r="A22" s="338" t="s">
        <v>201</v>
      </c>
      <c r="B22" s="80" t="s">
        <v>604</v>
      </c>
      <c r="C22" s="80"/>
      <c r="D22" s="80"/>
      <c r="E22" s="46" t="n">
        <f aca="false">D7*2</f>
        <v>2</v>
      </c>
      <c r="F22" s="24" t="n">
        <f aca="false">F17</f>
        <v>411</v>
      </c>
      <c r="G22" s="24"/>
      <c r="H22" s="83" t="s">
        <v>17</v>
      </c>
      <c r="I22" s="83"/>
      <c r="J22" s="83" t="s">
        <v>42</v>
      </c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822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10696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  <c r="K33" s="109"/>
      <c r="L33" s="109"/>
      <c r="M33" s="109"/>
      <c r="N33" s="109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D7*20</f>
        <v>20</v>
      </c>
      <c r="J55" s="478"/>
    </row>
    <row r="64" customFormat="false" ht="15" hidden="false" customHeight="false" outlineLevel="0" collapsed="false">
      <c r="C64" s="1" t="s">
        <v>23</v>
      </c>
    </row>
  </sheetData>
  <mergeCells count="14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598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0.688*6*K17</f>
        <v>206.4</v>
      </c>
      <c r="O6" s="266"/>
      <c r="P6" s="266" t="n">
        <f aca="false">N6*M6</f>
        <v>206.4</v>
      </c>
      <c r="Q6" s="266"/>
      <c r="R6" s="96" t="str">
        <f aca="false">F5</f>
        <v>BRANCO</v>
      </c>
      <c r="S6" s="96" t="n">
        <v>4600</v>
      </c>
      <c r="T6" s="439" t="n">
        <f aca="false">K26*0.688/1000</f>
        <v>2.83456</v>
      </c>
      <c r="U6" s="439" t="n">
        <f aca="false">M6*3.164</f>
        <v>3.164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(C7-212)/2</f>
        <v>944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0.812958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626</v>
      </c>
      <c r="L10" s="400" t="n">
        <f aca="false">L9</f>
        <v>1</v>
      </c>
      <c r="M10" s="24" t="n">
        <f aca="false">ROUNDUP(L10,0)</f>
        <v>1</v>
      </c>
      <c r="N10" s="277" t="n">
        <f aca="false">0.55*6*K17</f>
        <v>165</v>
      </c>
      <c r="O10" s="277"/>
      <c r="P10" s="277" t="n">
        <f aca="false">N10*M10</f>
        <v>165</v>
      </c>
      <c r="Q10" s="277"/>
      <c r="R10" s="96" t="str">
        <f aca="false">F5</f>
        <v>BRANCO</v>
      </c>
      <c r="S10" s="96" t="n">
        <v>6000</v>
      </c>
      <c r="T10" s="439" t="n">
        <f aca="false">K29*0.55/1000</f>
        <v>0.4521</v>
      </c>
      <c r="U10" s="439" t="n">
        <f aca="false">M10*3.3</f>
        <v>3.3</v>
      </c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1.78266666666667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1.187256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116" t="s">
        <v>201</v>
      </c>
      <c r="L13" s="515" t="n">
        <f aca="false">IF(K29&gt;6000,K29/6000,1)</f>
        <v>1</v>
      </c>
      <c r="M13" s="153" t="n">
        <f aca="false">ROUNDUP(L13,0)</f>
        <v>1</v>
      </c>
      <c r="N13" s="266" t="n">
        <f aca="false">0.507*6*K17</f>
        <v>152.1</v>
      </c>
      <c r="O13" s="266"/>
      <c r="P13" s="266" t="n">
        <f aca="false">N13*M13</f>
        <v>152.1</v>
      </c>
      <c r="Q13" s="266"/>
      <c r="R13" s="96" t="str">
        <f aca="false">F5</f>
        <v>BRANCO</v>
      </c>
      <c r="S13" s="96" t="n">
        <v>6000</v>
      </c>
      <c r="T13" s="439" t="n">
        <f aca="false">K29*0.507/1000</f>
        <v>0.416754</v>
      </c>
      <c r="U13" s="96" t="n">
        <f aca="false">M13*3.042</f>
        <v>3.042</v>
      </c>
    </row>
    <row r="14" customFormat="false" ht="25.5" hidden="false" customHeight="true" outlineLevel="0" collapsed="false">
      <c r="A14" s="79" t="s">
        <v>598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T3+T4+T5+T6+T7+T8+T9+T10+T11+T12+T13</f>
        <v>12.587508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D7*2</f>
        <v>2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1258.7508</v>
      </c>
      <c r="N17" s="490"/>
      <c r="O17" s="303" t="n">
        <v>0.1</v>
      </c>
      <c r="P17" s="491" t="n">
        <f aca="false">K21*O17+K21</f>
        <v>692.31294</v>
      </c>
      <c r="Q17" s="491"/>
      <c r="R17" s="491"/>
      <c r="S17" s="181" t="s">
        <v>131</v>
      </c>
      <c r="T17" s="181"/>
      <c r="U17" s="294" t="n">
        <f aca="false">U3+U4+U5+U6+U7+U8+U9+U10+U11+U12+U13</f>
        <v>36.904</v>
      </c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2</v>
      </c>
      <c r="F18" s="24" t="n">
        <f aca="false">F17</f>
        <v>411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24.316492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411</v>
      </c>
      <c r="G19" s="24"/>
      <c r="H19" s="83" t="s">
        <v>17</v>
      </c>
      <c r="I19" s="83"/>
      <c r="J19" s="83" t="s">
        <v>42</v>
      </c>
      <c r="K19" s="84" t="n">
        <f aca="false">U17*K17</f>
        <v>1845.2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(C7-248)/2</f>
        <v>926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629.3754</v>
      </c>
      <c r="L21" s="84"/>
    </row>
    <row r="22" customFormat="false" ht="17.25" hidden="false" customHeight="true" outlineLevel="0" collapsed="false">
      <c r="A22" s="338" t="s">
        <v>201</v>
      </c>
      <c r="B22" s="80" t="s">
        <v>604</v>
      </c>
      <c r="C22" s="80"/>
      <c r="D22" s="80"/>
      <c r="E22" s="46" t="n">
        <f aca="false">D7*2</f>
        <v>2</v>
      </c>
      <c r="F22" s="24" t="n">
        <f aca="false">F17</f>
        <v>411</v>
      </c>
      <c r="G22" s="24"/>
      <c r="H22" s="83" t="s">
        <v>17</v>
      </c>
      <c r="I22" s="83"/>
      <c r="J22" s="83" t="s">
        <v>42</v>
      </c>
      <c r="K22" s="109"/>
      <c r="L22" s="109"/>
      <c r="M22" s="109"/>
      <c r="N22" s="109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822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10696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109"/>
      <c r="L32" s="109"/>
      <c r="M32" s="109"/>
      <c r="N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  <c r="K33" s="109"/>
      <c r="L33" s="109"/>
      <c r="M33" s="109"/>
      <c r="N33" s="109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  <c r="K34" s="109"/>
      <c r="L34" s="109"/>
      <c r="M34" s="109"/>
      <c r="N34" s="109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  <c r="K35" s="109"/>
      <c r="L35" s="109"/>
      <c r="M35" s="109"/>
      <c r="N35" s="109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D7*20</f>
        <v>20</v>
      </c>
      <c r="J55" s="478"/>
    </row>
  </sheetData>
  <mergeCells count="14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598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0.688*6*K17</f>
        <v>206.4</v>
      </c>
      <c r="O6" s="266"/>
      <c r="P6" s="266" t="n">
        <f aca="false">N6*M6</f>
        <v>206.4</v>
      </c>
      <c r="Q6" s="266"/>
      <c r="R6" s="96" t="str">
        <f aca="false">F5</f>
        <v>BRANCO</v>
      </c>
      <c r="S6" s="96" t="n">
        <v>4600</v>
      </c>
      <c r="T6" s="439" t="n">
        <f aca="false">K26*0.688/1000</f>
        <v>2.83456</v>
      </c>
      <c r="U6" s="439" t="n">
        <f aca="false">M6*3.164</f>
        <v>3.164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599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0.743*4.6*K17</f>
        <v>170.89</v>
      </c>
      <c r="O7" s="266"/>
      <c r="P7" s="266" t="n">
        <f aca="false">N7*M7</f>
        <v>170.89</v>
      </c>
      <c r="Q7" s="266"/>
      <c r="R7" s="96" t="str">
        <f aca="false">F5</f>
        <v>BRANCO</v>
      </c>
      <c r="S7" s="96" t="n">
        <v>4600</v>
      </c>
      <c r="T7" s="439" t="n">
        <f aca="false">K27*0.743/1000</f>
        <v>1.53058</v>
      </c>
      <c r="U7" s="439" t="n">
        <f aca="false">M7*3.417</f>
        <v>3.417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600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0.712*4.6*K17</f>
        <v>163.76</v>
      </c>
      <c r="O8" s="266"/>
      <c r="P8" s="266" t="n">
        <f aca="false">N8*M8</f>
        <v>163.76</v>
      </c>
      <c r="Q8" s="266"/>
      <c r="R8" s="96" t="str">
        <f aca="false">F5</f>
        <v>BRANCO</v>
      </c>
      <c r="S8" s="96" t="n">
        <v>4600</v>
      </c>
      <c r="T8" s="439" t="n">
        <f aca="false">K28*0.712/1000</f>
        <v>1.46672</v>
      </c>
      <c r="U8" s="439" t="n">
        <f aca="false">M8*3.275</f>
        <v>3.275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(B7-190)/2</f>
        <v>405</v>
      </c>
      <c r="F9" s="390" t="n">
        <f aca="false">(C7-261)/2</f>
        <v>919.5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1.625916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626</v>
      </c>
      <c r="L10" s="400" t="n">
        <f aca="false">L9</f>
        <v>1</v>
      </c>
      <c r="M10" s="24" t="n">
        <f aca="false">ROUNDUP(L10,0)</f>
        <v>1</v>
      </c>
      <c r="N10" s="277" t="n">
        <f aca="false">0.55*6*K17</f>
        <v>165</v>
      </c>
      <c r="O10" s="277"/>
      <c r="P10" s="277" t="n">
        <f aca="false">N10*M10</f>
        <v>165</v>
      </c>
      <c r="Q10" s="277"/>
      <c r="R10" s="96" t="str">
        <f aca="false">F5</f>
        <v>BRANCO</v>
      </c>
      <c r="S10" s="96" t="n">
        <v>6000</v>
      </c>
      <c r="T10" s="439" t="n">
        <f aca="false">K29*0.55/1000</f>
        <v>0.9042</v>
      </c>
      <c r="U10" s="439" t="n">
        <f aca="false">M10*3.3</f>
        <v>3.3</v>
      </c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1.75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1.1655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52"/>
      <c r="L13" s="23"/>
      <c r="M13" s="47"/>
      <c r="N13" s="52"/>
      <c r="O13" s="23"/>
      <c r="P13" s="52"/>
      <c r="Q13" s="23"/>
      <c r="R13" s="47"/>
      <c r="S13" s="96"/>
      <c r="T13" s="47"/>
      <c r="U13" s="96"/>
    </row>
    <row r="14" customFormat="false" ht="25.5" hidden="false" customHeight="true" outlineLevel="0" collapsed="false">
      <c r="A14" s="79" t="s">
        <v>598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599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600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</f>
        <v>13.414056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(B7-178)/2</f>
        <v>411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1341.4056</v>
      </c>
      <c r="N17" s="490"/>
      <c r="O17" s="303" t="n">
        <v>0.1</v>
      </c>
      <c r="P17" s="491" t="n">
        <f aca="false">K21*O17+K21</f>
        <v>737.77308</v>
      </c>
      <c r="Q17" s="491"/>
      <c r="R17" s="491"/>
      <c r="S17" s="181" t="s">
        <v>131</v>
      </c>
      <c r="T17" s="181"/>
      <c r="U17" s="294" t="n">
        <f aca="false">U3+U4+U5+U6+U7+U8+U9+U10+U11+U12</f>
        <v>33.862</v>
      </c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2</v>
      </c>
      <c r="F18" s="24" t="n">
        <f aca="false">F17</f>
        <v>411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20.447944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411</v>
      </c>
      <c r="G19" s="24"/>
      <c r="H19" s="83" t="s">
        <v>17</v>
      </c>
      <c r="I19" s="83"/>
      <c r="J19" s="83" t="s">
        <v>42</v>
      </c>
      <c r="K19" s="84" t="n">
        <f aca="false">U17*K17</f>
        <v>1693.1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05" t="n">
        <f aca="false">(C7-297)/2</f>
        <v>901.5</v>
      </c>
      <c r="G20" s="205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670.7028</v>
      </c>
      <c r="L21" s="84"/>
    </row>
    <row r="22" customFormat="false" ht="17.25" hidden="false" customHeight="true" outlineLevel="0" collapsed="false">
      <c r="A22" s="47"/>
      <c r="B22" s="52"/>
      <c r="D22" s="23"/>
      <c r="E22" s="47"/>
      <c r="F22" s="52"/>
      <c r="G22" s="23"/>
      <c r="H22" s="52"/>
      <c r="I22" s="23"/>
      <c r="J22" s="47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1644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10500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605</v>
      </c>
      <c r="B40" s="418" t="s">
        <v>606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/>
      <c r="B41" s="419"/>
      <c r="C41" s="419"/>
      <c r="D41" s="419"/>
      <c r="E41" s="419"/>
      <c r="F41" s="419"/>
      <c r="G41" s="120"/>
      <c r="H41" s="120"/>
      <c r="I41" s="28"/>
      <c r="J41" s="28"/>
    </row>
    <row r="42" customFormat="false" ht="23.25" hidden="false" customHeight="true" outlineLevel="0" collapsed="false">
      <c r="A42" s="493"/>
      <c r="B42" s="419"/>
      <c r="C42" s="419"/>
      <c r="D42" s="419"/>
      <c r="E42" s="419"/>
      <c r="F42" s="419"/>
      <c r="G42" s="120"/>
      <c r="H42" s="120"/>
      <c r="I42" s="28"/>
      <c r="J42" s="28"/>
    </row>
    <row r="43" customFormat="false" ht="23.25" hidden="false" customHeight="true" outlineLevel="0" collapsed="false">
      <c r="A43" s="493" t="s">
        <v>608</v>
      </c>
      <c r="B43" s="419" t="s">
        <v>609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583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526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584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D7*22</f>
        <v>22</v>
      </c>
      <c r="J55" s="478"/>
    </row>
  </sheetData>
  <mergeCells count="14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594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IF(K25&gt;6000,K25/6000,1)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193</v>
      </c>
      <c r="L6" s="400" t="n">
        <f aca="false">IF(K26&gt;6000,K26/6000,1)</f>
        <v>1</v>
      </c>
      <c r="M6" s="24" t="n">
        <f aca="false">ROUNDUP(L6,0)</f>
        <v>1</v>
      </c>
      <c r="N6" s="266" t="n">
        <f aca="false">0.52*6*K17</f>
        <v>156</v>
      </c>
      <c r="O6" s="266"/>
      <c r="P6" s="266" t="n">
        <f aca="false">N6*M6</f>
        <v>156</v>
      </c>
      <c r="Q6" s="266"/>
      <c r="R6" s="96" t="str">
        <f aca="false">F5</f>
        <v>BRANCO</v>
      </c>
      <c r="S6" s="96" t="n">
        <v>6000</v>
      </c>
      <c r="T6" s="439" t="n">
        <f aca="false">K26*0.52/1000</f>
        <v>2.1424</v>
      </c>
      <c r="U6" s="439" t="n">
        <f aca="false">M6*3.12</f>
        <v>3.12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618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1.041*4.6*K17</f>
        <v>239.43</v>
      </c>
      <c r="O7" s="266"/>
      <c r="P7" s="266" t="n">
        <f aca="false">N7*M7</f>
        <v>239.43</v>
      </c>
      <c r="Q7" s="266"/>
      <c r="R7" s="96" t="str">
        <f aca="false">F5</f>
        <v>BRANCO</v>
      </c>
      <c r="S7" s="96" t="n">
        <v>4600</v>
      </c>
      <c r="T7" s="439" t="n">
        <f aca="false">K27*1.041/1000</f>
        <v>2.14446</v>
      </c>
      <c r="U7" s="439" t="n">
        <f aca="false">M7*4.788</f>
        <v>4.788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708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1.052*4.6*K17</f>
        <v>241.96</v>
      </c>
      <c r="O8" s="266"/>
      <c r="P8" s="266" t="n">
        <f aca="false">N8*M8</f>
        <v>241.96</v>
      </c>
      <c r="Q8" s="266"/>
      <c r="R8" s="96" t="str">
        <f aca="false">F5</f>
        <v>BRANCO</v>
      </c>
      <c r="S8" s="96" t="n">
        <v>4600</v>
      </c>
      <c r="T8" s="439" t="n">
        <f aca="false">K28*1.052/1000</f>
        <v>2.16712</v>
      </c>
      <c r="U8" s="439" t="n">
        <f aca="false">M8*4.839</f>
        <v>4.839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(B7-143)/2</f>
        <v>428.5</v>
      </c>
      <c r="F9" s="390" t="n">
        <f aca="false">(C7-261)/2</f>
        <v>919.5</v>
      </c>
      <c r="G9" s="270"/>
      <c r="H9" s="270"/>
      <c r="I9" s="270"/>
      <c r="J9" s="270"/>
      <c r="K9" s="116" t="s">
        <v>543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0.989*6*K17</f>
        <v>296.7</v>
      </c>
      <c r="O9" s="266"/>
      <c r="P9" s="266" t="n">
        <f aca="false">N9*M9</f>
        <v>296.7</v>
      </c>
      <c r="Q9" s="266"/>
      <c r="R9" s="96" t="str">
        <f aca="false">R8</f>
        <v>BRANCO</v>
      </c>
      <c r="S9" s="96" t="n">
        <v>6000</v>
      </c>
      <c r="T9" s="439" t="n">
        <f aca="false">K29*0.989/1000</f>
        <v>1.7184864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626</v>
      </c>
      <c r="L10" s="400" t="n">
        <f aca="false">L9</f>
        <v>1</v>
      </c>
      <c r="M10" s="24" t="n">
        <f aca="false">ROUNDUP(L10,0)</f>
        <v>1</v>
      </c>
      <c r="N10" s="277" t="n">
        <f aca="false">0.55*6*K17</f>
        <v>165</v>
      </c>
      <c r="O10" s="277"/>
      <c r="P10" s="277" t="n">
        <f aca="false">N10*M10</f>
        <v>165</v>
      </c>
      <c r="Q10" s="277"/>
      <c r="R10" s="96" t="str">
        <f aca="false">F5</f>
        <v>BRANCO</v>
      </c>
      <c r="S10" s="96" t="n">
        <v>6000</v>
      </c>
      <c r="T10" s="439" t="n">
        <f aca="false">K29*0.55/1000</f>
        <v>0.95568</v>
      </c>
      <c r="U10" s="439" t="n">
        <f aca="false">M10*3.3</f>
        <v>3.3</v>
      </c>
    </row>
    <row r="11" customFormat="false" ht="25.5" hidden="false" customHeight="true" outlineLevel="0" collapsed="false">
      <c r="A11" s="67" t="s">
        <v>186</v>
      </c>
      <c r="B11" s="278" t="s">
        <v>187</v>
      </c>
      <c r="C11" s="278"/>
      <c r="D11" s="278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72" t="s">
        <v>42</v>
      </c>
      <c r="K11" s="116" t="s">
        <v>188</v>
      </c>
      <c r="L11" s="513" t="n">
        <f aca="false">IF(K30&gt;6000,K30/6000,1)</f>
        <v>1.7812</v>
      </c>
      <c r="M11" s="24" t="n">
        <f aca="false">ROUNDUP(L11,0)</f>
        <v>2</v>
      </c>
      <c r="N11" s="266" t="n">
        <f aca="false">0.111*6*K17</f>
        <v>33.3</v>
      </c>
      <c r="O11" s="266"/>
      <c r="P11" s="266" t="n">
        <f aca="false">N11*M11</f>
        <v>66.6</v>
      </c>
      <c r="Q11" s="266"/>
      <c r="R11" s="96" t="str">
        <f aca="false">F5</f>
        <v>BRANCO</v>
      </c>
      <c r="S11" s="96" t="n">
        <v>6000</v>
      </c>
      <c r="T11" s="439" t="n">
        <f aca="false">K30*0.111/1000</f>
        <v>1.1862792</v>
      </c>
      <c r="U11" s="439" t="n">
        <f aca="false">M11*0.666</f>
        <v>1.332</v>
      </c>
    </row>
    <row r="12" customFormat="false" ht="25.5" hidden="false" customHeight="true" outlineLevel="0" collapsed="false">
      <c r="A12" s="79" t="s">
        <v>534</v>
      </c>
      <c r="B12" s="279" t="s">
        <v>190</v>
      </c>
      <c r="C12" s="279"/>
      <c r="D12" s="279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83" t="s">
        <v>42</v>
      </c>
      <c r="K12" s="116" t="s">
        <v>602</v>
      </c>
      <c r="L12" s="514" t="n">
        <f aca="false">IF(K31&gt;6000,K31/6000,1)</f>
        <v>1</v>
      </c>
      <c r="M12" s="24" t="n">
        <f aca="false">ROUNDUP(L12,0)</f>
        <v>1</v>
      </c>
      <c r="N12" s="266" t="n">
        <f aca="false">0.267*6*K17</f>
        <v>80.1</v>
      </c>
      <c r="O12" s="266"/>
      <c r="P12" s="266" t="n">
        <f aca="false">N12*M12</f>
        <v>80.1</v>
      </c>
      <c r="Q12" s="266"/>
      <c r="R12" s="96" t="str">
        <f aca="false">F5</f>
        <v>BRANCO</v>
      </c>
      <c r="S12" s="96" t="n">
        <v>6000</v>
      </c>
      <c r="T12" s="439" t="n">
        <f aca="false">K31*0.267/1000</f>
        <v>0.27768</v>
      </c>
      <c r="U12" s="96" t="n">
        <f aca="false">M12*1.602</f>
        <v>1.602</v>
      </c>
    </row>
    <row r="13" customFormat="false" ht="25.5" hidden="false" customHeight="true" outlineLevel="0" collapsed="false">
      <c r="A13" s="79" t="s">
        <v>191</v>
      </c>
      <c r="B13" s="279" t="s">
        <v>192</v>
      </c>
      <c r="C13" s="279"/>
      <c r="D13" s="279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83" t="s">
        <v>42</v>
      </c>
      <c r="K13" s="52"/>
      <c r="L13" s="23"/>
      <c r="M13" s="47"/>
      <c r="N13" s="52"/>
      <c r="O13" s="23"/>
      <c r="P13" s="52"/>
      <c r="Q13" s="23"/>
      <c r="R13" s="47"/>
      <c r="S13" s="96"/>
      <c r="T13" s="47"/>
      <c r="U13" s="96"/>
    </row>
    <row r="14" customFormat="false" ht="25.5" hidden="false" customHeight="true" outlineLevel="0" collapsed="false">
      <c r="A14" s="79" t="s">
        <v>193</v>
      </c>
      <c r="B14" s="279" t="s">
        <v>194</v>
      </c>
      <c r="C14" s="279"/>
      <c r="D14" s="279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83" t="s">
        <v>42</v>
      </c>
      <c r="K14" s="52"/>
      <c r="L14" s="23"/>
      <c r="M14" s="47"/>
      <c r="N14" s="52"/>
      <c r="O14" s="23"/>
      <c r="P14" s="52"/>
      <c r="Q14" s="23"/>
      <c r="R14" s="47"/>
      <c r="S14" s="96"/>
      <c r="T14" s="47"/>
      <c r="U14" s="96"/>
    </row>
    <row r="15" customFormat="false" ht="25.5" hidden="false" customHeight="true" outlineLevel="0" collapsed="false">
      <c r="A15" s="79" t="s">
        <v>618</v>
      </c>
      <c r="B15" s="279" t="s">
        <v>603</v>
      </c>
      <c r="C15" s="279"/>
      <c r="D15" s="279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83" t="s">
        <v>42</v>
      </c>
      <c r="K15" s="139"/>
      <c r="L15" s="140"/>
      <c r="M15" s="64"/>
      <c r="N15" s="139"/>
      <c r="O15" s="140"/>
      <c r="P15" s="139"/>
      <c r="Q15" s="140"/>
      <c r="R15" s="64"/>
      <c r="S15" s="290"/>
      <c r="T15" s="64"/>
      <c r="U15" s="290"/>
    </row>
    <row r="16" customFormat="false" ht="25.5" hidden="false" customHeight="true" outlineLevel="0" collapsed="false">
      <c r="A16" s="79" t="s">
        <v>708</v>
      </c>
      <c r="B16" s="279" t="s">
        <v>603</v>
      </c>
      <c r="C16" s="279"/>
      <c r="D16" s="279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83" t="s">
        <v>42</v>
      </c>
      <c r="K16" s="297" t="s">
        <v>133</v>
      </c>
      <c r="L16" s="298" t="s">
        <v>134</v>
      </c>
      <c r="M16" s="299" t="s">
        <v>135</v>
      </c>
      <c r="N16" s="299"/>
      <c r="O16" s="4" t="s">
        <v>136</v>
      </c>
      <c r="P16" s="4"/>
      <c r="Q16" s="4"/>
      <c r="R16" s="4"/>
      <c r="S16" s="422" t="s">
        <v>130</v>
      </c>
      <c r="T16" s="422"/>
      <c r="U16" s="292" t="n">
        <f aca="false">T3+T4+T5+T6+T7+T8+T9+T10+T11+T12</f>
        <v>14.2010056</v>
      </c>
    </row>
    <row r="17" customFormat="false" ht="25.5" hidden="false" customHeight="true" outlineLevel="0" collapsed="false">
      <c r="A17" s="79" t="s">
        <v>543</v>
      </c>
      <c r="B17" s="279" t="s">
        <v>487</v>
      </c>
      <c r="C17" s="279"/>
      <c r="D17" s="279"/>
      <c r="E17" s="24" t="n">
        <f aca="false">D7*4</f>
        <v>4</v>
      </c>
      <c r="F17" s="24" t="n">
        <f aca="false">(B7-131.2)/2</f>
        <v>434.4</v>
      </c>
      <c r="G17" s="24"/>
      <c r="H17" s="83" t="s">
        <v>17</v>
      </c>
      <c r="I17" s="83"/>
      <c r="J17" s="83" t="s">
        <v>42</v>
      </c>
      <c r="K17" s="410" t="n">
        <v>50</v>
      </c>
      <c r="L17" s="410" t="n">
        <v>100</v>
      </c>
      <c r="M17" s="490" t="n">
        <f aca="false">U16*L17</f>
        <v>1420.10056</v>
      </c>
      <c r="N17" s="490"/>
      <c r="O17" s="303" t="n">
        <v>0</v>
      </c>
      <c r="P17" s="491" t="n">
        <f aca="false">K21*O17+K21</f>
        <v>710.05028</v>
      </c>
      <c r="Q17" s="491"/>
      <c r="R17" s="491"/>
      <c r="S17" s="181" t="s">
        <v>131</v>
      </c>
      <c r="T17" s="181"/>
      <c r="U17" s="294" t="n">
        <f aca="false">U3+U4+U5+U6+U7+U8+U9+U10+U11+U12</f>
        <v>36.753</v>
      </c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2</v>
      </c>
      <c r="F18" s="24" t="n">
        <f aca="false">F17</f>
        <v>434.4</v>
      </c>
      <c r="G18" s="24"/>
      <c r="H18" s="83" t="s">
        <v>17</v>
      </c>
      <c r="I18" s="83"/>
      <c r="J18" s="83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22.5519944</v>
      </c>
    </row>
    <row r="19" customFormat="false" ht="22.5" hidden="false" customHeight="true" outlineLevel="0" collapsed="false">
      <c r="A19" s="79" t="s">
        <v>188</v>
      </c>
      <c r="B19" s="279" t="s">
        <v>203</v>
      </c>
      <c r="C19" s="279"/>
      <c r="D19" s="279"/>
      <c r="E19" s="24" t="n">
        <f aca="false">D7*8</f>
        <v>8</v>
      </c>
      <c r="F19" s="24" t="n">
        <f aca="false">F17</f>
        <v>434.4</v>
      </c>
      <c r="G19" s="24"/>
      <c r="H19" s="83" t="s">
        <v>17</v>
      </c>
      <c r="I19" s="83"/>
      <c r="J19" s="83" t="s">
        <v>42</v>
      </c>
      <c r="K19" s="84" t="n">
        <f aca="false">U17*K17</f>
        <v>1837.65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79" t="s">
        <v>203</v>
      </c>
      <c r="C20" s="279"/>
      <c r="D20" s="279"/>
      <c r="E20" s="206" t="n">
        <f aca="false">D7*8</f>
        <v>8</v>
      </c>
      <c r="F20" s="24" t="n">
        <f aca="false">(C7-297)/2</f>
        <v>901.5</v>
      </c>
      <c r="G20" s="24"/>
      <c r="H20" s="83" t="s">
        <v>18</v>
      </c>
      <c r="I20" s="83"/>
      <c r="J20" s="83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602</v>
      </c>
      <c r="B21" s="80" t="s">
        <v>377</v>
      </c>
      <c r="C21" s="80"/>
      <c r="D21" s="80"/>
      <c r="E21" s="46" t="n">
        <f aca="false">D7*1</f>
        <v>1</v>
      </c>
      <c r="F21" s="97" t="n">
        <f aca="false">B7+40</f>
        <v>1040</v>
      </c>
      <c r="G21" s="97"/>
      <c r="H21" s="28" t="s">
        <v>17</v>
      </c>
      <c r="I21" s="28"/>
      <c r="J21" s="83" t="s">
        <v>42</v>
      </c>
      <c r="K21" s="84" t="n">
        <f aca="false">U16*K17</f>
        <v>710.05028</v>
      </c>
      <c r="L21" s="84"/>
    </row>
    <row r="22" customFormat="false" ht="17.25" hidden="false" customHeight="true" outlineLevel="0" collapsed="false">
      <c r="A22" s="47"/>
      <c r="B22" s="52"/>
      <c r="D22" s="23"/>
      <c r="E22" s="47"/>
      <c r="F22" s="52"/>
      <c r="G22" s="23"/>
      <c r="H22" s="52"/>
      <c r="I22" s="23"/>
      <c r="J22" s="47"/>
      <c r="K22" s="109"/>
      <c r="L22" s="109"/>
      <c r="M22" s="109"/>
      <c r="N22" s="109"/>
      <c r="O22" s="109"/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47"/>
      <c r="K23" s="109" t="n">
        <f aca="false">F11*E11</f>
        <v>974</v>
      </c>
      <c r="L23" s="109" t="n">
        <v>1</v>
      </c>
      <c r="M23" s="109"/>
      <c r="N23" s="109"/>
      <c r="O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47"/>
      <c r="K24" s="109" t="n">
        <f aca="false">F12*E12</f>
        <v>974</v>
      </c>
      <c r="L24" s="109" t="n">
        <v>228</v>
      </c>
      <c r="M24" s="109"/>
      <c r="N24" s="109"/>
      <c r="O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47"/>
      <c r="K25" s="109" t="n">
        <f aca="false">F13*E13</f>
        <v>4200</v>
      </c>
      <c r="L25" s="109" t="n">
        <v>3</v>
      </c>
      <c r="M25" s="109"/>
      <c r="N25" s="109"/>
      <c r="O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47"/>
      <c r="K26" s="109" t="n">
        <f aca="false">F14*E14</f>
        <v>4120</v>
      </c>
      <c r="L26" s="109" t="n">
        <v>39</v>
      </c>
      <c r="M26" s="109"/>
      <c r="N26" s="109"/>
      <c r="O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47"/>
      <c r="K27" s="109" t="n">
        <f aca="false">F15*E15</f>
        <v>2060</v>
      </c>
      <c r="L27" s="109" t="n">
        <v>47</v>
      </c>
      <c r="M27" s="109"/>
      <c r="N27" s="109"/>
      <c r="O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47"/>
      <c r="K28" s="109" t="n">
        <f aca="false">F16*E16</f>
        <v>2060</v>
      </c>
      <c r="L28" s="109" t="n">
        <v>49</v>
      </c>
      <c r="M28" s="109"/>
      <c r="N28" s="109"/>
      <c r="O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47"/>
      <c r="K29" s="133" t="n">
        <f aca="false">F17*E17</f>
        <v>1737.6</v>
      </c>
      <c r="L29" s="468" t="s">
        <v>635</v>
      </c>
      <c r="M29" s="109"/>
      <c r="N29" s="109"/>
      <c r="O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47"/>
      <c r="K30" s="133" t="n">
        <f aca="false">F19*E19+E20*F20</f>
        <v>10687.2</v>
      </c>
      <c r="L30" s="109" t="n">
        <v>102</v>
      </c>
      <c r="M30" s="109"/>
      <c r="N30" s="109"/>
      <c r="O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47"/>
      <c r="K31" s="109" t="n">
        <f aca="false">F21*E21</f>
        <v>1040</v>
      </c>
      <c r="L31" s="109"/>
      <c r="M31" s="109"/>
      <c r="N31" s="109"/>
      <c r="O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47"/>
      <c r="K32" s="109"/>
      <c r="L32" s="109"/>
      <c r="M32" s="109"/>
      <c r="N32" s="109"/>
      <c r="O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47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47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47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169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8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453</v>
      </c>
      <c r="B40" s="418" t="s">
        <v>709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 t="s">
        <v>710</v>
      </c>
      <c r="B41" s="419" t="s">
        <v>524</v>
      </c>
      <c r="C41" s="419"/>
      <c r="D41" s="419"/>
      <c r="E41" s="419"/>
      <c r="F41" s="419"/>
      <c r="G41" s="120" t="s">
        <v>64</v>
      </c>
      <c r="H41" s="120"/>
      <c r="I41" s="28" t="n">
        <f aca="false">I40</f>
        <v>2</v>
      </c>
      <c r="J41" s="28"/>
    </row>
    <row r="42" customFormat="false" ht="23.25" hidden="false" customHeight="true" outlineLevel="0" collapsed="false">
      <c r="A42" s="493" t="s">
        <v>499</v>
      </c>
      <c r="B42" s="419" t="s">
        <v>500</v>
      </c>
      <c r="C42" s="419"/>
      <c r="D42" s="419"/>
      <c r="E42" s="419"/>
      <c r="F42" s="419"/>
      <c r="G42" s="120" t="s">
        <v>64</v>
      </c>
      <c r="H42" s="120"/>
      <c r="I42" s="28" t="n">
        <f aca="false">I41</f>
        <v>2</v>
      </c>
      <c r="J42" s="28"/>
    </row>
    <row r="43" customFormat="false" ht="23.25" hidden="false" customHeight="true" outlineLevel="0" collapsed="false">
      <c r="A43" s="493" t="s">
        <v>502</v>
      </c>
      <c r="B43" s="419" t="s">
        <v>236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518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518</v>
      </c>
      <c r="C52" s="487"/>
      <c r="D52" s="487"/>
      <c r="E52" s="487"/>
      <c r="F52" s="487"/>
      <c r="G52" s="120" t="s">
        <v>46</v>
      </c>
      <c r="H52" s="120"/>
      <c r="I52" s="500" t="n">
        <f aca="false">(C7*4)*D7</f>
        <v>8400</v>
      </c>
      <c r="J52" s="500"/>
    </row>
    <row r="53" customFormat="false" ht="23.25" hidden="false" customHeight="true" outlineLevel="0" collapsed="false">
      <c r="A53" s="493" t="s">
        <v>517</v>
      </c>
      <c r="B53" s="487" t="s">
        <v>518</v>
      </c>
      <c r="C53" s="487"/>
      <c r="D53" s="487"/>
      <c r="E53" s="487"/>
      <c r="F53" s="487"/>
      <c r="G53" s="120" t="s">
        <v>46</v>
      </c>
      <c r="H53" s="120"/>
      <c r="I53" s="500" t="n">
        <f aca="false">(B7*4)*D7</f>
        <v>4000</v>
      </c>
      <c r="J53" s="500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28" t="n">
        <f aca="false">D7*8</f>
        <v>8</v>
      </c>
      <c r="J54" s="28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478" t="n">
        <f aca="false">D7*22</f>
        <v>22</v>
      </c>
      <c r="J55" s="478"/>
    </row>
  </sheetData>
  <mergeCells count="14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M16:N16"/>
    <mergeCell ref="O16:R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711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50" t="s">
        <v>186</v>
      </c>
      <c r="L3" s="394" t="n">
        <f aca="false">IF(K23&gt;6000,K23/6000,1)</f>
        <v>1</v>
      </c>
      <c r="M3" s="15" t="n">
        <f aca="false">ROUNDUP(L3,0)</f>
        <v>1</v>
      </c>
      <c r="N3" s="259" t="n">
        <f aca="false">0.762*6*K17</f>
        <v>228.6</v>
      </c>
      <c r="O3" s="259"/>
      <c r="P3" s="259" t="n">
        <f aca="false">N3*M3</f>
        <v>228.6</v>
      </c>
      <c r="Q3" s="259"/>
      <c r="R3" s="397" t="str">
        <f aca="false">F5</f>
        <v>BRANCO</v>
      </c>
      <c r="S3" s="397" t="n">
        <v>6000</v>
      </c>
      <c r="T3" s="440" t="n">
        <f aca="false">K23*0.762/1000</f>
        <v>0.742188</v>
      </c>
      <c r="U3" s="44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116" t="s">
        <v>534</v>
      </c>
      <c r="L4" s="400" t="n">
        <f aca="false">L3</f>
        <v>1</v>
      </c>
      <c r="M4" s="24" t="n">
        <f aca="false">ROUNDUP(L4,0)</f>
        <v>1</v>
      </c>
      <c r="N4" s="266" t="n">
        <f aca="false">0.688*6*K17</f>
        <v>206.4</v>
      </c>
      <c r="O4" s="266"/>
      <c r="P4" s="266" t="n">
        <f aca="false">N4*M4</f>
        <v>206.4</v>
      </c>
      <c r="Q4" s="266"/>
      <c r="R4" s="96" t="str">
        <f aca="false">F5</f>
        <v>BRANCO</v>
      </c>
      <c r="S4" s="96" t="n">
        <v>6000</v>
      </c>
      <c r="T4" s="439" t="n">
        <f aca="false">K24*0.688/1000</f>
        <v>0.670112</v>
      </c>
      <c r="U4" s="439" t="n">
        <f aca="false">M4*4.128</f>
        <v>4.128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116" t="s">
        <v>191</v>
      </c>
      <c r="L5" s="400" t="n">
        <f aca="false">IF(K25&gt;5000,K25/5000,1)</f>
        <v>1</v>
      </c>
      <c r="M5" s="24" t="n">
        <f aca="false">ROUNDUP(L5,0)</f>
        <v>1</v>
      </c>
      <c r="N5" s="266" t="n">
        <f aca="false">0.523*6*K17</f>
        <v>156.9</v>
      </c>
      <c r="O5" s="266"/>
      <c r="P5" s="266" t="n">
        <f aca="false">N5*M5</f>
        <v>156.9</v>
      </c>
      <c r="Q5" s="266"/>
      <c r="R5" s="96" t="str">
        <f aca="false">F5</f>
        <v>BRANCO</v>
      </c>
      <c r="S5" s="96" t="n">
        <v>6000</v>
      </c>
      <c r="T5" s="439" t="n">
        <f aca="false">K25*0.523/1000</f>
        <v>2.1966</v>
      </c>
      <c r="U5" s="43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116" t="s">
        <v>193</v>
      </c>
      <c r="L6" s="400" t="n">
        <f aca="false">IF(K26&gt;4500,K26/4500,1)</f>
        <v>1</v>
      </c>
      <c r="M6" s="24" t="n">
        <f aca="false">ROUNDUP(L6,0)</f>
        <v>1</v>
      </c>
      <c r="N6" s="266" t="n">
        <f aca="false">0.52*6*K17</f>
        <v>156</v>
      </c>
      <c r="O6" s="266"/>
      <c r="P6" s="266" t="n">
        <f aca="false">N6*M6</f>
        <v>156</v>
      </c>
      <c r="Q6" s="266"/>
      <c r="R6" s="96" t="str">
        <f aca="false">F5</f>
        <v>BRANCO</v>
      </c>
      <c r="S6" s="96" t="n">
        <v>6000</v>
      </c>
      <c r="T6" s="439" t="n">
        <f aca="false">K26*0.52/1000</f>
        <v>2.1424</v>
      </c>
      <c r="U6" s="439" t="n">
        <f aca="false">M6*3.12</f>
        <v>3.12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1</v>
      </c>
      <c r="E7" s="276" t="n">
        <f aca="false">(B7*C7)/10^6</f>
        <v>2.1</v>
      </c>
      <c r="F7" s="276"/>
      <c r="G7" s="270"/>
      <c r="H7" s="270"/>
      <c r="I7" s="270"/>
      <c r="J7" s="270"/>
      <c r="K7" s="116" t="s">
        <v>618</v>
      </c>
      <c r="L7" s="400" t="n">
        <f aca="false">IF(K27&gt;4600,K27/4600,1)</f>
        <v>1</v>
      </c>
      <c r="M7" s="24" t="n">
        <f aca="false">ROUNDUP(L7,0)</f>
        <v>1</v>
      </c>
      <c r="N7" s="266" t="n">
        <f aca="false">1.041*4.6*K17</f>
        <v>239.43</v>
      </c>
      <c r="O7" s="266"/>
      <c r="P7" s="266" t="n">
        <f aca="false">N7*M7</f>
        <v>239.43</v>
      </c>
      <c r="Q7" s="266"/>
      <c r="R7" s="96" t="str">
        <f aca="false">F5</f>
        <v>BRANCO</v>
      </c>
      <c r="S7" s="96" t="n">
        <v>4600</v>
      </c>
      <c r="T7" s="439" t="n">
        <f aca="false">K27*1.041/1000</f>
        <v>2.14446</v>
      </c>
      <c r="U7" s="439" t="n">
        <f aca="false">M7*4.788</f>
        <v>4.788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116" t="s">
        <v>708</v>
      </c>
      <c r="L8" s="400" t="n">
        <f aca="false">IF(K28&gt;4600,K28/4600,1)</f>
        <v>1</v>
      </c>
      <c r="M8" s="24" t="n">
        <f aca="false">ROUNDUP(L8,0)</f>
        <v>1</v>
      </c>
      <c r="N8" s="266" t="n">
        <f aca="false">1.052*4.6*K17</f>
        <v>241.96</v>
      </c>
      <c r="O8" s="266"/>
      <c r="P8" s="266" t="n">
        <f aca="false">N8*M8</f>
        <v>241.96</v>
      </c>
      <c r="Q8" s="266"/>
      <c r="R8" s="96" t="str">
        <f aca="false">F5</f>
        <v>BRANCO</v>
      </c>
      <c r="S8" s="96" t="n">
        <v>4600</v>
      </c>
      <c r="T8" s="439" t="n">
        <f aca="false">K28*1.052/1000</f>
        <v>2.16712</v>
      </c>
      <c r="U8" s="439" t="n">
        <f aca="false">M8*4.839</f>
        <v>4.839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1470</v>
      </c>
      <c r="D9" s="275"/>
      <c r="E9" s="389" t="n">
        <f aca="false">(B7-143)/2</f>
        <v>428.5</v>
      </c>
      <c r="F9" s="401" t="n">
        <f aca="false">(C7-212)/2</f>
        <v>944</v>
      </c>
      <c r="G9" s="270"/>
      <c r="H9" s="270"/>
      <c r="I9" s="270"/>
      <c r="J9" s="270"/>
      <c r="K9" s="116" t="s">
        <v>201</v>
      </c>
      <c r="L9" s="400" t="n">
        <f aca="false">IF(K29&gt;6000,K29/6000,1)</f>
        <v>1</v>
      </c>
      <c r="M9" s="24" t="n">
        <f aca="false">ROUNDUP(L9,0)</f>
        <v>1</v>
      </c>
      <c r="N9" s="266" t="n">
        <f aca="false">0.534*6*K17</f>
        <v>160.2</v>
      </c>
      <c r="O9" s="266"/>
      <c r="P9" s="266" t="n">
        <f aca="false">N9*M9</f>
        <v>160.2</v>
      </c>
      <c r="Q9" s="266"/>
      <c r="R9" s="96" t="str">
        <f aca="false">R8</f>
        <v>BRANCO</v>
      </c>
      <c r="S9" s="96" t="n">
        <v>6000</v>
      </c>
      <c r="T9" s="439" t="n">
        <f aca="false">K29*0.507/1000</f>
        <v>0.4404816</v>
      </c>
      <c r="U9" s="439" t="n">
        <f aca="false">M9*3.042</f>
        <v>3.042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 t="s">
        <v>543</v>
      </c>
      <c r="L10" s="400" t="n">
        <f aca="false">IF(K29&gt;6000,K29/6000,1)</f>
        <v>1</v>
      </c>
      <c r="M10" s="24" t="n">
        <f aca="false">ROUNDUP(L10,0)</f>
        <v>1</v>
      </c>
      <c r="N10" s="266" t="n">
        <f aca="false">0.989*6*K17</f>
        <v>296.7</v>
      </c>
      <c r="O10" s="266"/>
      <c r="P10" s="266" t="n">
        <f aca="false">N10*M10</f>
        <v>296.7</v>
      </c>
      <c r="Q10" s="266"/>
      <c r="R10" s="96" t="str">
        <f aca="false">R8</f>
        <v>BRANCO</v>
      </c>
      <c r="S10" s="96" t="n">
        <v>6000</v>
      </c>
      <c r="T10" s="439" t="n">
        <f aca="false">K29*0.989/1000</f>
        <v>0.8592432</v>
      </c>
      <c r="U10" s="439" t="n">
        <f aca="false">M10*5.934</f>
        <v>5.934</v>
      </c>
    </row>
    <row r="11" customFormat="false" ht="25.5" hidden="false" customHeight="true" outlineLevel="0" collapsed="false">
      <c r="A11" s="67" t="s">
        <v>186</v>
      </c>
      <c r="B11" s="633" t="s">
        <v>187</v>
      </c>
      <c r="C11" s="633"/>
      <c r="D11" s="633"/>
      <c r="E11" s="15" t="n">
        <f aca="false">D7*1</f>
        <v>1</v>
      </c>
      <c r="F11" s="69" t="n">
        <f aca="false">B7-26</f>
        <v>974</v>
      </c>
      <c r="G11" s="69"/>
      <c r="H11" s="72" t="s">
        <v>17</v>
      </c>
      <c r="I11" s="72"/>
      <c r="J11" s="507" t="s">
        <v>42</v>
      </c>
      <c r="K11" s="116" t="s">
        <v>626</v>
      </c>
      <c r="L11" s="400" t="n">
        <f aca="false">L9</f>
        <v>1</v>
      </c>
      <c r="M11" s="24" t="n">
        <f aca="false">ROUNDUP(L11,0)</f>
        <v>1</v>
      </c>
      <c r="N11" s="277" t="n">
        <f aca="false">0.55*6*K17</f>
        <v>165</v>
      </c>
      <c r="O11" s="277"/>
      <c r="P11" s="277" t="n">
        <f aca="false">N11*M11</f>
        <v>165</v>
      </c>
      <c r="Q11" s="277"/>
      <c r="R11" s="96" t="str">
        <f aca="false">F5</f>
        <v>BRANCO</v>
      </c>
      <c r="S11" s="96" t="n">
        <v>6000</v>
      </c>
      <c r="T11" s="439" t="n">
        <f aca="false">K29*0.55/1000</f>
        <v>0.47784</v>
      </c>
      <c r="U11" s="439" t="n">
        <f aca="false">M11*3.3</f>
        <v>3.3</v>
      </c>
    </row>
    <row r="12" customFormat="false" ht="25.5" hidden="false" customHeight="true" outlineLevel="0" collapsed="false">
      <c r="A12" s="79" t="s">
        <v>534</v>
      </c>
      <c r="B12" s="293" t="s">
        <v>190</v>
      </c>
      <c r="C12" s="293"/>
      <c r="D12" s="293"/>
      <c r="E12" s="24" t="n">
        <f aca="false">D7*1</f>
        <v>1</v>
      </c>
      <c r="F12" s="97" t="n">
        <f aca="false">B7-26</f>
        <v>974</v>
      </c>
      <c r="G12" s="97"/>
      <c r="H12" s="83" t="s">
        <v>17</v>
      </c>
      <c r="I12" s="83"/>
      <c r="J12" s="508" t="s">
        <v>42</v>
      </c>
      <c r="K12" s="116" t="s">
        <v>188</v>
      </c>
      <c r="L12" s="513" t="n">
        <f aca="false">IF(K30&gt;5500,K30/5500,1)</f>
        <v>1.97876363636364</v>
      </c>
      <c r="M12" s="24" t="n">
        <f aca="false">ROUNDUP(L12,0)</f>
        <v>2</v>
      </c>
      <c r="N12" s="266" t="n">
        <f aca="false">0.111*6*K17</f>
        <v>33.3</v>
      </c>
      <c r="O12" s="266"/>
      <c r="P12" s="266" t="n">
        <f aca="false">N12*M12</f>
        <v>66.6</v>
      </c>
      <c r="Q12" s="266"/>
      <c r="R12" s="96" t="str">
        <f aca="false">F5</f>
        <v>BRANCO</v>
      </c>
      <c r="S12" s="96" t="n">
        <v>6000</v>
      </c>
      <c r="T12" s="439" t="n">
        <f aca="false">K30*0.111/1000</f>
        <v>1.2080352</v>
      </c>
      <c r="U12" s="439" t="n">
        <f aca="false">M12*0.666</f>
        <v>1.332</v>
      </c>
    </row>
    <row r="13" customFormat="false" ht="25.5" hidden="false" customHeight="true" outlineLevel="0" collapsed="false">
      <c r="A13" s="79" t="s">
        <v>191</v>
      </c>
      <c r="B13" s="293" t="s">
        <v>192</v>
      </c>
      <c r="C13" s="293"/>
      <c r="D13" s="293"/>
      <c r="E13" s="24" t="n">
        <f aca="false">D7*2</f>
        <v>2</v>
      </c>
      <c r="F13" s="97" t="n">
        <f aca="false">C7</f>
        <v>2100</v>
      </c>
      <c r="G13" s="97"/>
      <c r="H13" s="83" t="s">
        <v>18</v>
      </c>
      <c r="I13" s="83"/>
      <c r="J13" s="508" t="s">
        <v>42</v>
      </c>
      <c r="K13" s="116" t="s">
        <v>602</v>
      </c>
      <c r="L13" s="514" t="n">
        <f aca="false">IF(K31&gt;6000,K31/6000,1)</f>
        <v>1</v>
      </c>
      <c r="M13" s="154" t="n">
        <f aca="false">ROUNDUP(L13,0)</f>
        <v>1</v>
      </c>
      <c r="N13" s="266" t="n">
        <f aca="false">0.267*6*K17</f>
        <v>80.1</v>
      </c>
      <c r="O13" s="266"/>
      <c r="P13" s="266" t="n">
        <f aca="false">N13*M13</f>
        <v>80.1</v>
      </c>
      <c r="Q13" s="266"/>
      <c r="R13" s="96" t="str">
        <f aca="false">F5</f>
        <v>BRANCO</v>
      </c>
      <c r="S13" s="96" t="n">
        <v>6000</v>
      </c>
      <c r="T13" s="439" t="n">
        <f aca="false">K31*0.267/1000</f>
        <v>0.27768</v>
      </c>
      <c r="U13" s="96" t="n">
        <f aca="false">M13*1.602</f>
        <v>1.602</v>
      </c>
    </row>
    <row r="14" customFormat="false" ht="25.5" hidden="false" customHeight="true" outlineLevel="0" collapsed="false">
      <c r="A14" s="79" t="s">
        <v>193</v>
      </c>
      <c r="B14" s="293" t="s">
        <v>194</v>
      </c>
      <c r="C14" s="293"/>
      <c r="D14" s="293"/>
      <c r="E14" s="24" t="n">
        <f aca="false">D7*2</f>
        <v>2</v>
      </c>
      <c r="F14" s="24" t="n">
        <f aca="false">C7-40</f>
        <v>2060</v>
      </c>
      <c r="G14" s="24"/>
      <c r="H14" s="83" t="s">
        <v>18</v>
      </c>
      <c r="I14" s="83"/>
      <c r="J14" s="508" t="s">
        <v>42</v>
      </c>
      <c r="K14" s="52"/>
      <c r="L14" s="23"/>
      <c r="M14" s="47"/>
      <c r="N14" s="52"/>
      <c r="O14" s="23"/>
      <c r="P14" s="52"/>
      <c r="Q14" s="23"/>
      <c r="R14" s="47"/>
      <c r="S14" s="47"/>
      <c r="T14" s="47"/>
      <c r="U14" s="47"/>
    </row>
    <row r="15" customFormat="false" ht="25.5" hidden="false" customHeight="true" outlineLevel="0" collapsed="false">
      <c r="A15" s="79" t="s">
        <v>618</v>
      </c>
      <c r="B15" s="293" t="s">
        <v>603</v>
      </c>
      <c r="C15" s="293"/>
      <c r="D15" s="293"/>
      <c r="E15" s="46" t="n">
        <f aca="false">D7*1</f>
        <v>1</v>
      </c>
      <c r="F15" s="24" t="n">
        <f aca="false">C7-40</f>
        <v>2060</v>
      </c>
      <c r="G15" s="24"/>
      <c r="H15" s="83" t="s">
        <v>18</v>
      </c>
      <c r="I15" s="83"/>
      <c r="J15" s="508" t="s">
        <v>42</v>
      </c>
      <c r="K15" s="139"/>
      <c r="L15" s="140"/>
      <c r="M15" s="64"/>
      <c r="N15" s="139"/>
      <c r="O15" s="140"/>
      <c r="P15" s="139"/>
      <c r="Q15" s="140"/>
      <c r="R15" s="64"/>
      <c r="S15" s="64"/>
      <c r="T15" s="64"/>
      <c r="U15" s="64"/>
    </row>
    <row r="16" customFormat="false" ht="25.5" hidden="false" customHeight="true" outlineLevel="0" collapsed="false">
      <c r="A16" s="79" t="s">
        <v>708</v>
      </c>
      <c r="B16" s="293" t="s">
        <v>603</v>
      </c>
      <c r="C16" s="293"/>
      <c r="D16" s="293"/>
      <c r="E16" s="24" t="n">
        <f aca="false">D7*1</f>
        <v>1</v>
      </c>
      <c r="F16" s="24" t="n">
        <f aca="false">C7-40</f>
        <v>2060</v>
      </c>
      <c r="G16" s="24"/>
      <c r="H16" s="83" t="s">
        <v>18</v>
      </c>
      <c r="I16" s="83"/>
      <c r="J16" s="508" t="s">
        <v>42</v>
      </c>
      <c r="K16" s="297" t="s">
        <v>133</v>
      </c>
      <c r="L16" s="298" t="s">
        <v>134</v>
      </c>
      <c r="M16" s="634" t="s">
        <v>135</v>
      </c>
      <c r="N16" s="635"/>
      <c r="O16" s="634" t="s">
        <v>136</v>
      </c>
      <c r="P16" s="636"/>
      <c r="Q16" s="636"/>
      <c r="R16" s="635"/>
      <c r="S16" s="422" t="s">
        <v>130</v>
      </c>
      <c r="T16" s="422"/>
      <c r="U16" s="292" t="n">
        <f aca="false">T3+T4+T5+T6+T7+T8+T9+T10+T11+T12+T13</f>
        <v>13.32616</v>
      </c>
    </row>
    <row r="17" customFormat="false" ht="25.5" hidden="false" customHeight="true" outlineLevel="0" collapsed="false">
      <c r="A17" s="79" t="s">
        <v>201</v>
      </c>
      <c r="B17" s="293" t="s">
        <v>604</v>
      </c>
      <c r="C17" s="293"/>
      <c r="D17" s="293"/>
      <c r="E17" s="24" t="n">
        <f aca="false">D7*2</f>
        <v>2</v>
      </c>
      <c r="F17" s="24" t="n">
        <f aca="false">(B7-131.2)/2</f>
        <v>434.4</v>
      </c>
      <c r="G17" s="24"/>
      <c r="H17" s="83" t="s">
        <v>17</v>
      </c>
      <c r="I17" s="83"/>
      <c r="J17" s="508" t="s">
        <v>42</v>
      </c>
      <c r="K17" s="410" t="n">
        <v>50</v>
      </c>
      <c r="L17" s="410" t="n">
        <v>100</v>
      </c>
      <c r="M17" s="490" t="n">
        <f aca="false">U16*L17</f>
        <v>1332.616</v>
      </c>
      <c r="N17" s="490"/>
      <c r="O17" s="303" t="n">
        <v>0.5</v>
      </c>
      <c r="P17" s="491" t="n">
        <f aca="false">K21*O17+K21</f>
        <v>999.462</v>
      </c>
      <c r="Q17" s="491"/>
      <c r="R17" s="491"/>
      <c r="S17" s="181" t="s">
        <v>131</v>
      </c>
      <c r="T17" s="181"/>
      <c r="U17" s="294" t="n">
        <f aca="false">U3+U4+U5+U6+U7+U8+U9+U10+U11+U12+U13</f>
        <v>39.795</v>
      </c>
    </row>
    <row r="18" customFormat="false" ht="25.5" hidden="false" customHeight="true" outlineLevel="0" collapsed="false">
      <c r="A18" s="79" t="s">
        <v>543</v>
      </c>
      <c r="B18" s="293" t="s">
        <v>712</v>
      </c>
      <c r="C18" s="293"/>
      <c r="D18" s="293"/>
      <c r="E18" s="24" t="n">
        <f aca="false">D7*2</f>
        <v>2</v>
      </c>
      <c r="F18" s="24" t="n">
        <f aca="false">F17</f>
        <v>434.4</v>
      </c>
      <c r="G18" s="24"/>
      <c r="H18" s="83" t="s">
        <v>17</v>
      </c>
      <c r="I18" s="83"/>
      <c r="J18" s="508" t="s">
        <v>42</v>
      </c>
      <c r="K18" s="73" t="s">
        <v>195</v>
      </c>
      <c r="L18" s="73"/>
      <c r="M18" s="423"/>
      <c r="N18" s="424"/>
      <c r="O18" s="296"/>
      <c r="P18" s="296"/>
      <c r="Q18" s="425"/>
      <c r="R18" s="425"/>
      <c r="S18" s="73" t="s">
        <v>132</v>
      </c>
      <c r="T18" s="73"/>
      <c r="U18" s="292" t="n">
        <f aca="false">U17-U16</f>
        <v>26.46884</v>
      </c>
    </row>
    <row r="19" customFormat="false" ht="22.5" hidden="false" customHeight="true" outlineLevel="0" collapsed="false">
      <c r="A19" s="79" t="s">
        <v>626</v>
      </c>
      <c r="B19" s="293" t="s">
        <v>248</v>
      </c>
      <c r="C19" s="293"/>
      <c r="D19" s="293"/>
      <c r="E19" s="46" t="n">
        <f aca="false">D7*2</f>
        <v>2</v>
      </c>
      <c r="F19" s="24" t="n">
        <f aca="false">F17</f>
        <v>434.4</v>
      </c>
      <c r="G19" s="24"/>
      <c r="H19" s="83" t="s">
        <v>17</v>
      </c>
      <c r="I19" s="83"/>
      <c r="J19" s="508" t="s">
        <v>42</v>
      </c>
      <c r="K19" s="84" t="n">
        <f aca="false">U17*K17</f>
        <v>1989.75</v>
      </c>
      <c r="L19" s="84"/>
      <c r="O19" s="296"/>
      <c r="Q19" s="296"/>
      <c r="R19" s="296"/>
      <c r="S19" s="296"/>
      <c r="T19" s="296"/>
      <c r="U19" s="296"/>
    </row>
    <row r="20" customFormat="false" ht="22.5" hidden="false" customHeight="true" outlineLevel="0" collapsed="false">
      <c r="A20" s="79" t="s">
        <v>188</v>
      </c>
      <c r="B20" s="293" t="s">
        <v>203</v>
      </c>
      <c r="C20" s="293"/>
      <c r="D20" s="293"/>
      <c r="E20" s="24" t="n">
        <f aca="false">D7*8</f>
        <v>8</v>
      </c>
      <c r="F20" s="24" t="n">
        <f aca="false">F17</f>
        <v>434.4</v>
      </c>
      <c r="G20" s="24"/>
      <c r="H20" s="83" t="s">
        <v>17</v>
      </c>
      <c r="I20" s="83"/>
      <c r="J20" s="508" t="s">
        <v>42</v>
      </c>
      <c r="K20" s="73" t="s">
        <v>199</v>
      </c>
      <c r="L20" s="73"/>
    </row>
    <row r="21" customFormat="false" ht="21" hidden="false" customHeight="true" outlineLevel="0" collapsed="false">
      <c r="A21" s="79" t="s">
        <v>188</v>
      </c>
      <c r="B21" s="293" t="s">
        <v>203</v>
      </c>
      <c r="C21" s="293"/>
      <c r="D21" s="293"/>
      <c r="E21" s="206" t="n">
        <f aca="false">D7*8</f>
        <v>8</v>
      </c>
      <c r="F21" s="206" t="n">
        <f aca="false">(C7-248)/2</f>
        <v>926</v>
      </c>
      <c r="G21" s="206"/>
      <c r="H21" s="83" t="s">
        <v>18</v>
      </c>
      <c r="I21" s="83"/>
      <c r="J21" s="508" t="s">
        <v>42</v>
      </c>
      <c r="K21" s="84" t="n">
        <f aca="false">U16*K17</f>
        <v>666.308</v>
      </c>
      <c r="L21" s="84"/>
    </row>
    <row r="22" customFormat="false" ht="17.25" hidden="false" customHeight="true" outlineLevel="0" collapsed="false">
      <c r="A22" s="79" t="s">
        <v>602</v>
      </c>
      <c r="B22" s="26"/>
      <c r="C22" s="26"/>
      <c r="D22" s="26"/>
      <c r="E22" s="46" t="n">
        <f aca="false">D7*1</f>
        <v>1</v>
      </c>
      <c r="F22" s="97" t="n">
        <f aca="false">B7+40</f>
        <v>1040</v>
      </c>
      <c r="G22" s="97"/>
      <c r="H22" s="28" t="s">
        <v>17</v>
      </c>
      <c r="I22" s="28"/>
      <c r="J22" s="508" t="s">
        <v>42</v>
      </c>
    </row>
    <row r="23" customFormat="false" ht="17.25" hidden="false" customHeight="true" outlineLevel="0" collapsed="false">
      <c r="A23" s="47"/>
      <c r="B23" s="52"/>
      <c r="D23" s="23"/>
      <c r="E23" s="47"/>
      <c r="F23" s="52"/>
      <c r="G23" s="23"/>
      <c r="H23" s="52"/>
      <c r="I23" s="23"/>
      <c r="J23" s="23"/>
      <c r="K23" s="109" t="n">
        <f aca="false">F11*E11</f>
        <v>974</v>
      </c>
      <c r="L23" s="109" t="n">
        <v>1</v>
      </c>
      <c r="M23" s="109"/>
      <c r="N23" s="109"/>
    </row>
    <row r="24" customFormat="false" ht="14.25" hidden="false" customHeight="true" outlineLevel="0" collapsed="false">
      <c r="A24" s="47"/>
      <c r="B24" s="52"/>
      <c r="D24" s="23"/>
      <c r="E24" s="47"/>
      <c r="F24" s="52"/>
      <c r="G24" s="23"/>
      <c r="H24" s="52"/>
      <c r="I24" s="23"/>
      <c r="J24" s="23"/>
      <c r="K24" s="109" t="n">
        <f aca="false">F12*E12</f>
        <v>974</v>
      </c>
      <c r="L24" s="109" t="n">
        <v>228</v>
      </c>
      <c r="M24" s="109"/>
      <c r="N24" s="109"/>
    </row>
    <row r="25" customFormat="false" ht="12.75" hidden="false" customHeight="true" outlineLevel="0" collapsed="false">
      <c r="A25" s="47"/>
      <c r="B25" s="52"/>
      <c r="D25" s="23"/>
      <c r="E25" s="47"/>
      <c r="F25" s="52"/>
      <c r="G25" s="23"/>
      <c r="H25" s="52"/>
      <c r="I25" s="23"/>
      <c r="J25" s="23"/>
      <c r="K25" s="109" t="n">
        <f aca="false">F13*E13</f>
        <v>4200</v>
      </c>
      <c r="L25" s="109" t="n">
        <v>3</v>
      </c>
      <c r="M25" s="109"/>
      <c r="N25" s="109"/>
    </row>
    <row r="26" customFormat="false" ht="15.75" hidden="false" customHeight="true" outlineLevel="0" collapsed="false">
      <c r="A26" s="47"/>
      <c r="B26" s="52"/>
      <c r="D26" s="23"/>
      <c r="E26" s="47"/>
      <c r="F26" s="52"/>
      <c r="G26" s="23"/>
      <c r="H26" s="52"/>
      <c r="I26" s="23"/>
      <c r="J26" s="23"/>
      <c r="K26" s="109" t="n">
        <f aca="false">F14*E14</f>
        <v>4120</v>
      </c>
      <c r="L26" s="109" t="n">
        <v>39</v>
      </c>
      <c r="M26" s="109"/>
      <c r="N26" s="109"/>
    </row>
    <row r="27" customFormat="false" ht="17.25" hidden="false" customHeight="true" outlineLevel="0" collapsed="false">
      <c r="A27" s="47"/>
      <c r="B27" s="52"/>
      <c r="D27" s="23"/>
      <c r="E27" s="47"/>
      <c r="F27" s="52"/>
      <c r="G27" s="23"/>
      <c r="H27" s="52"/>
      <c r="I27" s="23"/>
      <c r="J27" s="23"/>
      <c r="K27" s="109" t="n">
        <f aca="false">F15*E15</f>
        <v>2060</v>
      </c>
      <c r="L27" s="109" t="n">
        <v>47</v>
      </c>
      <c r="M27" s="109"/>
      <c r="N27" s="109"/>
    </row>
    <row r="28" customFormat="false" ht="17.25" hidden="false" customHeight="true" outlineLevel="0" collapsed="false">
      <c r="A28" s="47"/>
      <c r="B28" s="52"/>
      <c r="D28" s="23"/>
      <c r="E28" s="47"/>
      <c r="F28" s="52"/>
      <c r="G28" s="23"/>
      <c r="H28" s="52"/>
      <c r="I28" s="23"/>
      <c r="J28" s="23"/>
      <c r="K28" s="109" t="n">
        <f aca="false">F16*E16</f>
        <v>2060</v>
      </c>
      <c r="L28" s="109" t="n">
        <v>49</v>
      </c>
      <c r="M28" s="109"/>
      <c r="N28" s="109"/>
    </row>
    <row r="29" customFormat="false" ht="17.25" hidden="false" customHeight="true" outlineLevel="0" collapsed="false">
      <c r="A29" s="47"/>
      <c r="B29" s="52"/>
      <c r="D29" s="23"/>
      <c r="E29" s="47"/>
      <c r="F29" s="52"/>
      <c r="G29" s="23"/>
      <c r="H29" s="52"/>
      <c r="I29" s="23"/>
      <c r="J29" s="23"/>
      <c r="K29" s="133" t="n">
        <f aca="false">F17*E17</f>
        <v>868.8</v>
      </c>
      <c r="L29" s="468" t="s">
        <v>635</v>
      </c>
      <c r="M29" s="109"/>
      <c r="N29" s="109"/>
    </row>
    <row r="30" customFormat="false" ht="17.25" hidden="false" customHeight="true" outlineLevel="0" collapsed="false">
      <c r="A30" s="47"/>
      <c r="B30" s="52"/>
      <c r="D30" s="23"/>
      <c r="E30" s="47"/>
      <c r="F30" s="52"/>
      <c r="G30" s="23"/>
      <c r="H30" s="52"/>
      <c r="I30" s="23"/>
      <c r="J30" s="23"/>
      <c r="K30" s="133" t="n">
        <f aca="false">F20*E20+E21*F21</f>
        <v>10883.2</v>
      </c>
      <c r="L30" s="109" t="n">
        <v>102</v>
      </c>
      <c r="M30" s="109"/>
      <c r="N30" s="109"/>
    </row>
    <row r="31" customFormat="false" ht="17.25" hidden="false" customHeight="true" outlineLevel="0" collapsed="false">
      <c r="A31" s="47"/>
      <c r="B31" s="52"/>
      <c r="D31" s="23"/>
      <c r="E31" s="47"/>
      <c r="F31" s="52"/>
      <c r="G31" s="23"/>
      <c r="H31" s="52"/>
      <c r="I31" s="23"/>
      <c r="J31" s="23"/>
      <c r="K31" s="109" t="n">
        <f aca="false">F22*E22</f>
        <v>1040</v>
      </c>
      <c r="L31" s="109"/>
      <c r="M31" s="109"/>
      <c r="N31" s="109"/>
    </row>
    <row r="32" customFormat="false" ht="17.25" hidden="false" customHeight="true" outlineLevel="0" collapsed="false">
      <c r="A32" s="47"/>
      <c r="B32" s="52"/>
      <c r="D32" s="23"/>
      <c r="E32" s="47"/>
      <c r="F32" s="52"/>
      <c r="G32" s="23"/>
      <c r="H32" s="52"/>
      <c r="I32" s="23"/>
      <c r="J32" s="23"/>
      <c r="K32" s="109"/>
      <c r="L32" s="109"/>
      <c r="M32" s="109"/>
      <c r="N32" s="109"/>
    </row>
    <row r="33" customFormat="false" ht="15.75" hidden="false" customHeight="true" outlineLevel="0" collapsed="false">
      <c r="A33" s="47"/>
      <c r="B33" s="52"/>
      <c r="D33" s="23"/>
      <c r="E33" s="47"/>
      <c r="F33" s="52"/>
      <c r="G33" s="23"/>
      <c r="H33" s="52"/>
      <c r="I33" s="23"/>
      <c r="J33" s="23"/>
    </row>
    <row r="34" customFormat="false" ht="13.5" hidden="false" customHeight="true" outlineLevel="0" collapsed="false">
      <c r="A34" s="47"/>
      <c r="B34" s="52"/>
      <c r="D34" s="23"/>
      <c r="E34" s="47"/>
      <c r="F34" s="52"/>
      <c r="G34" s="23"/>
      <c r="H34" s="52"/>
      <c r="I34" s="23"/>
      <c r="J34" s="23"/>
    </row>
    <row r="35" customFormat="false" ht="15" hidden="false" customHeight="true" outlineLevel="0" collapsed="false">
      <c r="A35" s="47"/>
      <c r="B35" s="52"/>
      <c r="D35" s="23"/>
      <c r="E35" s="47"/>
      <c r="F35" s="52"/>
      <c r="G35" s="23"/>
      <c r="H35" s="52"/>
      <c r="I35" s="23"/>
      <c r="J35" s="23"/>
    </row>
    <row r="36" customFormat="false" ht="15" hidden="false" customHeight="true" outlineLevel="0" collapsed="false">
      <c r="A36" s="493"/>
      <c r="B36" s="131"/>
      <c r="C36" s="132"/>
      <c r="D36" s="119"/>
      <c r="E36" s="420"/>
      <c r="F36" s="131"/>
      <c r="G36" s="23"/>
      <c r="H36" s="52"/>
      <c r="I36" s="494"/>
      <c r="J36" s="494"/>
      <c r="K36" s="516"/>
      <c r="L36" s="414"/>
      <c r="M36" s="109"/>
    </row>
    <row r="37" customFormat="false" ht="15.75" hidden="false" customHeight="false" outlineLevel="0" collapsed="false">
      <c r="A37" s="421"/>
      <c r="B37" s="136"/>
      <c r="C37" s="137"/>
      <c r="D37" s="138"/>
      <c r="E37" s="421"/>
      <c r="F37" s="136"/>
      <c r="G37" s="140"/>
      <c r="H37" s="139"/>
      <c r="I37" s="497"/>
      <c r="J37" s="497"/>
    </row>
    <row r="38" customFormat="false" ht="23.25" hidden="false" customHeight="true" outlineLevel="0" collapsed="false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</row>
    <row r="39" customFormat="false" ht="23.25" hidden="false" customHeight="true" outlineLevel="0" collapsed="false">
      <c r="A39" s="104" t="s">
        <v>51</v>
      </c>
      <c r="B39" s="20" t="s">
        <v>26</v>
      </c>
      <c r="C39" s="20"/>
      <c r="D39" s="20"/>
      <c r="E39" s="20"/>
      <c r="F39" s="20"/>
      <c r="G39" s="160" t="s">
        <v>206</v>
      </c>
      <c r="H39" s="160"/>
      <c r="I39" s="160" t="s">
        <v>207</v>
      </c>
      <c r="J39" s="160"/>
    </row>
    <row r="40" customFormat="false" ht="23.25" hidden="false" customHeight="true" outlineLevel="0" collapsed="false">
      <c r="A40" s="499" t="s">
        <v>453</v>
      </c>
      <c r="B40" s="418" t="s">
        <v>709</v>
      </c>
      <c r="C40" s="418"/>
      <c r="D40" s="418"/>
      <c r="E40" s="418"/>
      <c r="F40" s="418"/>
      <c r="G40" s="19" t="s">
        <v>64</v>
      </c>
      <c r="H40" s="19"/>
      <c r="I40" s="221" t="n">
        <f aca="false">D7*2</f>
        <v>2</v>
      </c>
      <c r="J40" s="221"/>
    </row>
    <row r="41" customFormat="false" ht="23.25" hidden="false" customHeight="true" outlineLevel="0" collapsed="false">
      <c r="A41" s="481" t="s">
        <v>710</v>
      </c>
      <c r="B41" s="419" t="s">
        <v>524</v>
      </c>
      <c r="C41" s="419"/>
      <c r="D41" s="419"/>
      <c r="E41" s="419"/>
      <c r="F41" s="419"/>
      <c r="G41" s="120" t="s">
        <v>64</v>
      </c>
      <c r="H41" s="120"/>
      <c r="I41" s="28" t="n">
        <f aca="false">I40</f>
        <v>2</v>
      </c>
      <c r="J41" s="28"/>
    </row>
    <row r="42" customFormat="false" ht="23.25" hidden="false" customHeight="true" outlineLevel="0" collapsed="false">
      <c r="A42" s="493" t="s">
        <v>499</v>
      </c>
      <c r="B42" s="419" t="s">
        <v>500</v>
      </c>
      <c r="C42" s="419"/>
      <c r="D42" s="419"/>
      <c r="E42" s="419"/>
      <c r="F42" s="419"/>
      <c r="G42" s="120" t="s">
        <v>64</v>
      </c>
      <c r="H42" s="120"/>
      <c r="I42" s="28" t="n">
        <f aca="false">I41</f>
        <v>2</v>
      </c>
      <c r="J42" s="28"/>
    </row>
    <row r="43" customFormat="false" ht="23.25" hidden="false" customHeight="true" outlineLevel="0" collapsed="false">
      <c r="A43" s="493" t="s">
        <v>502</v>
      </c>
      <c r="B43" s="419" t="s">
        <v>236</v>
      </c>
      <c r="C43" s="419"/>
      <c r="D43" s="419"/>
      <c r="E43" s="419"/>
      <c r="F43" s="419"/>
      <c r="G43" s="120" t="s">
        <v>64</v>
      </c>
      <c r="H43" s="120"/>
      <c r="I43" s="28" t="n">
        <f aca="false">D7*4</f>
        <v>4</v>
      </c>
      <c r="J43" s="28"/>
    </row>
    <row r="44" customFormat="false" ht="23.25" hidden="false" customHeight="true" outlineLevel="0" collapsed="false">
      <c r="A44" s="493" t="s">
        <v>550</v>
      </c>
      <c r="B44" s="419" t="s">
        <v>340</v>
      </c>
      <c r="C44" s="419"/>
      <c r="D44" s="419"/>
      <c r="E44" s="419"/>
      <c r="F44" s="419"/>
      <c r="G44" s="120" t="s">
        <v>64</v>
      </c>
      <c r="H44" s="120"/>
      <c r="I44" s="28" t="n">
        <f aca="false">D7*12</f>
        <v>12</v>
      </c>
      <c r="J44" s="28"/>
    </row>
    <row r="45" customFormat="false" ht="23.25" hidden="false" customHeight="true" outlineLevel="0" collapsed="false">
      <c r="A45" s="493" t="s">
        <v>504</v>
      </c>
      <c r="B45" s="419" t="s">
        <v>551</v>
      </c>
      <c r="C45" s="419"/>
      <c r="D45" s="419"/>
      <c r="E45" s="419"/>
      <c r="F45" s="419"/>
      <c r="G45" s="120" t="s">
        <v>64</v>
      </c>
      <c r="H45" s="120"/>
      <c r="I45" s="28" t="n">
        <f aca="false">D7*1</f>
        <v>1</v>
      </c>
      <c r="J45" s="28"/>
    </row>
    <row r="46" customFormat="false" ht="23.25" hidden="false" customHeight="true" outlineLevel="0" collapsed="false">
      <c r="A46" s="493" t="s">
        <v>507</v>
      </c>
      <c r="B46" s="419" t="s">
        <v>551</v>
      </c>
      <c r="C46" s="419"/>
      <c r="D46" s="419"/>
      <c r="E46" s="419"/>
      <c r="F46" s="419"/>
      <c r="G46" s="120" t="s">
        <v>64</v>
      </c>
      <c r="H46" s="120"/>
      <c r="I46" s="28" t="n">
        <f aca="false">D7*1</f>
        <v>1</v>
      </c>
      <c r="J46" s="28"/>
    </row>
    <row r="47" customFormat="false" ht="23.25" hidden="false" customHeight="true" outlineLevel="0" collapsed="false">
      <c r="A47" s="493" t="s">
        <v>505</v>
      </c>
      <c r="B47" s="419" t="s">
        <v>610</v>
      </c>
      <c r="C47" s="419"/>
      <c r="D47" s="419"/>
      <c r="E47" s="419"/>
      <c r="F47" s="419"/>
      <c r="G47" s="120" t="s">
        <v>64</v>
      </c>
      <c r="H47" s="120"/>
      <c r="I47" s="28" t="n">
        <f aca="false">D7*8</f>
        <v>8</v>
      </c>
      <c r="J47" s="28"/>
    </row>
    <row r="48" customFormat="false" ht="23.25" hidden="false" customHeight="true" outlineLevel="0" collapsed="false">
      <c r="A48" s="493" t="s">
        <v>508</v>
      </c>
      <c r="B48" s="419" t="s">
        <v>289</v>
      </c>
      <c r="C48" s="419"/>
      <c r="D48" s="419"/>
      <c r="E48" s="419"/>
      <c r="F48" s="419"/>
      <c r="G48" s="120" t="s">
        <v>64</v>
      </c>
      <c r="H48" s="120"/>
      <c r="I48" s="28" t="n">
        <f aca="false">D7*4</f>
        <v>4</v>
      </c>
      <c r="J48" s="28"/>
    </row>
    <row r="49" customFormat="false" ht="23.25" hidden="false" customHeight="true" outlineLevel="0" collapsed="false">
      <c r="A49" s="493" t="s">
        <v>513</v>
      </c>
      <c r="B49" s="419" t="s">
        <v>528</v>
      </c>
      <c r="C49" s="419"/>
      <c r="D49" s="419"/>
      <c r="E49" s="419"/>
      <c r="F49" s="419"/>
      <c r="G49" s="120" t="s">
        <v>46</v>
      </c>
      <c r="H49" s="120"/>
      <c r="I49" s="500" t="n">
        <f aca="false">(B7*4)+(C7*4)*D7</f>
        <v>12400</v>
      </c>
      <c r="J49" s="500"/>
    </row>
    <row r="50" customFormat="false" ht="23.25" hidden="false" customHeight="true" outlineLevel="0" collapsed="false">
      <c r="A50" s="493" t="s">
        <v>237</v>
      </c>
      <c r="B50" s="419" t="s">
        <v>611</v>
      </c>
      <c r="C50" s="419"/>
      <c r="D50" s="419"/>
      <c r="E50" s="419"/>
      <c r="F50" s="419"/>
      <c r="G50" s="120" t="s">
        <v>46</v>
      </c>
      <c r="H50" s="120"/>
      <c r="I50" s="500" t="n">
        <f aca="false">(B7*4)+(C7*4)*D7</f>
        <v>12400</v>
      </c>
      <c r="J50" s="500"/>
    </row>
    <row r="51" customFormat="false" ht="21" hidden="false" customHeight="true" outlineLevel="0" collapsed="false">
      <c r="A51" s="493" t="s">
        <v>515</v>
      </c>
      <c r="B51" s="419" t="s">
        <v>518</v>
      </c>
      <c r="C51" s="419"/>
      <c r="D51" s="419"/>
      <c r="E51" s="419"/>
      <c r="F51" s="419"/>
      <c r="G51" s="120" t="s">
        <v>46</v>
      </c>
      <c r="H51" s="120"/>
      <c r="I51" s="500" t="n">
        <f aca="false">(C7*1)*D7</f>
        <v>2100</v>
      </c>
      <c r="J51" s="500"/>
    </row>
    <row r="52" customFormat="false" ht="23.25" hidden="false" customHeight="true" outlineLevel="0" collapsed="false">
      <c r="A52" s="493" t="s">
        <v>525</v>
      </c>
      <c r="B52" s="487" t="s">
        <v>518</v>
      </c>
      <c r="C52" s="487"/>
      <c r="D52" s="487"/>
      <c r="E52" s="487"/>
      <c r="F52" s="487"/>
      <c r="G52" s="120" t="s">
        <v>46</v>
      </c>
      <c r="H52" s="120"/>
      <c r="I52" s="637" t="n">
        <f aca="false">(C7*4)*D7</f>
        <v>8400</v>
      </c>
      <c r="J52" s="637"/>
    </row>
    <row r="53" customFormat="false" ht="23.25" hidden="false" customHeight="true" outlineLevel="0" collapsed="false">
      <c r="A53" s="493" t="s">
        <v>517</v>
      </c>
      <c r="B53" s="487" t="s">
        <v>518</v>
      </c>
      <c r="C53" s="487"/>
      <c r="D53" s="487"/>
      <c r="E53" s="487"/>
      <c r="F53" s="487"/>
      <c r="G53" s="120" t="s">
        <v>46</v>
      </c>
      <c r="H53" s="120"/>
      <c r="I53" s="637" t="n">
        <f aca="false">(B7*4)*D7</f>
        <v>4000</v>
      </c>
      <c r="J53" s="637"/>
    </row>
    <row r="54" customFormat="false" ht="19.5" hidden="false" customHeight="true" outlineLevel="0" collapsed="false">
      <c r="A54" s="493" t="s">
        <v>567</v>
      </c>
      <c r="B54" s="487" t="s">
        <v>612</v>
      </c>
      <c r="C54" s="487"/>
      <c r="D54" s="487"/>
      <c r="E54" s="487"/>
      <c r="F54" s="487"/>
      <c r="G54" s="120" t="s">
        <v>64</v>
      </c>
      <c r="H54" s="120"/>
      <c r="I54" s="120" t="n">
        <f aca="false">D7*8</f>
        <v>8</v>
      </c>
      <c r="J54" s="120"/>
    </row>
    <row r="55" customFormat="false" ht="21" hidden="false" customHeight="true" outlineLevel="0" collapsed="false">
      <c r="A55" s="501" t="s">
        <v>529</v>
      </c>
      <c r="B55" s="139" t="s">
        <v>637</v>
      </c>
      <c r="C55" s="203"/>
      <c r="D55" s="203"/>
      <c r="E55" s="203"/>
      <c r="F55" s="140"/>
      <c r="G55" s="209" t="s">
        <v>64</v>
      </c>
      <c r="H55" s="209"/>
      <c r="I55" s="209" t="n">
        <f aca="false">D7*20</f>
        <v>20</v>
      </c>
      <c r="J55" s="209"/>
    </row>
  </sheetData>
  <mergeCells count="143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B15:D15"/>
    <mergeCell ref="F15:G15"/>
    <mergeCell ref="H15:I15"/>
    <mergeCell ref="B16:D16"/>
    <mergeCell ref="F16:G16"/>
    <mergeCell ref="H16:I16"/>
    <mergeCell ref="S16:T16"/>
    <mergeCell ref="B17:D17"/>
    <mergeCell ref="F17:G17"/>
    <mergeCell ref="H17:I17"/>
    <mergeCell ref="M17:N17"/>
    <mergeCell ref="P17:R17"/>
    <mergeCell ref="S17:T17"/>
    <mergeCell ref="B18:D18"/>
    <mergeCell ref="F18:G18"/>
    <mergeCell ref="H18:I18"/>
    <mergeCell ref="K18:L18"/>
    <mergeCell ref="Q18:R18"/>
    <mergeCell ref="S18:T18"/>
    <mergeCell ref="B19:D19"/>
    <mergeCell ref="F19:G19"/>
    <mergeCell ref="H19:I19"/>
    <mergeCell ref="K19:L19"/>
    <mergeCell ref="B20:D20"/>
    <mergeCell ref="F20:G20"/>
    <mergeCell ref="H20:I20"/>
    <mergeCell ref="K20:L20"/>
    <mergeCell ref="B21:D21"/>
    <mergeCell ref="F21:G21"/>
    <mergeCell ref="H21:I21"/>
    <mergeCell ref="K21:L21"/>
    <mergeCell ref="B22:D22"/>
    <mergeCell ref="F22:G22"/>
    <mergeCell ref="H22:I22"/>
    <mergeCell ref="A38:J38"/>
    <mergeCell ref="B39:F39"/>
    <mergeCell ref="G39:H39"/>
    <mergeCell ref="I39:J39"/>
    <mergeCell ref="B40:F40"/>
    <mergeCell ref="G40:H40"/>
    <mergeCell ref="I40:J40"/>
    <mergeCell ref="B41:F41"/>
    <mergeCell ref="G41:H41"/>
    <mergeCell ref="I41:J41"/>
    <mergeCell ref="B42:F42"/>
    <mergeCell ref="G42:H42"/>
    <mergeCell ref="I42:J42"/>
    <mergeCell ref="B43:F43"/>
    <mergeCell ref="G43:H43"/>
    <mergeCell ref="I43:J43"/>
    <mergeCell ref="B44:F44"/>
    <mergeCell ref="G44:H44"/>
    <mergeCell ref="I44:J44"/>
    <mergeCell ref="B45:F45"/>
    <mergeCell ref="G45:H45"/>
    <mergeCell ref="I45:J45"/>
    <mergeCell ref="B46:F46"/>
    <mergeCell ref="G46:H46"/>
    <mergeCell ref="I46:J46"/>
    <mergeCell ref="B47:F47"/>
    <mergeCell ref="G47:H47"/>
    <mergeCell ref="I47:J47"/>
    <mergeCell ref="B48:F48"/>
    <mergeCell ref="G48:H48"/>
    <mergeCell ref="I48:J48"/>
    <mergeCell ref="B49:F49"/>
    <mergeCell ref="G49:H49"/>
    <mergeCell ref="I49:J49"/>
    <mergeCell ref="B50:F50"/>
    <mergeCell ref="G50:H50"/>
    <mergeCell ref="I50:J50"/>
    <mergeCell ref="B51:F51"/>
    <mergeCell ref="G51:H51"/>
    <mergeCell ref="I51:J51"/>
    <mergeCell ref="B52:F52"/>
    <mergeCell ref="G52:H52"/>
    <mergeCell ref="I52:J52"/>
    <mergeCell ref="B53:F53"/>
    <mergeCell ref="G53:H53"/>
    <mergeCell ref="I53:J53"/>
    <mergeCell ref="B54:F54"/>
    <mergeCell ref="G54:H54"/>
    <mergeCell ref="I54:J54"/>
    <mergeCell ref="G55:H55"/>
    <mergeCell ref="I55:J5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713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57" t="s">
        <v>2</v>
      </c>
      <c r="L1" s="457"/>
      <c r="M1" s="457"/>
      <c r="N1" s="457"/>
      <c r="O1" s="457"/>
      <c r="P1" s="457"/>
      <c r="Q1" s="457"/>
      <c r="R1" s="457"/>
      <c r="S1" s="457"/>
      <c r="T1" s="457"/>
      <c r="U1" s="457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638" t="s">
        <v>4</v>
      </c>
      <c r="L2" s="638"/>
      <c r="M2" s="639" t="s">
        <v>5</v>
      </c>
      <c r="N2" s="639" t="s">
        <v>6</v>
      </c>
      <c r="O2" s="639"/>
      <c r="P2" s="639" t="s">
        <v>7</v>
      </c>
      <c r="Q2" s="639"/>
      <c r="R2" s="639" t="s">
        <v>8</v>
      </c>
      <c r="S2" s="639" t="s">
        <v>9</v>
      </c>
      <c r="T2" s="639" t="s">
        <v>108</v>
      </c>
      <c r="U2" s="640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41" t="str">
        <f aca="false">A11</f>
        <v>SU-279</v>
      </c>
      <c r="L3" s="394" t="n">
        <f aca="false">IF(K30&gt;5600,K30/5600,1)</f>
        <v>4.5</v>
      </c>
      <c r="M3" s="15" t="n">
        <f aca="false">ROUNDUP(L3,0)</f>
        <v>5</v>
      </c>
      <c r="N3" s="259" t="n">
        <f aca="false">0.565*6*K13</f>
        <v>169.5</v>
      </c>
      <c r="O3" s="259"/>
      <c r="P3" s="259" t="n">
        <f aca="false">N3*M3</f>
        <v>847.5</v>
      </c>
      <c r="Q3" s="259"/>
      <c r="R3" s="397" t="str">
        <f aca="false">F5</f>
        <v>BRANCO</v>
      </c>
      <c r="S3" s="397" t="n">
        <v>6000</v>
      </c>
      <c r="T3" s="440" t="n">
        <f aca="false">K30*0.565/1000</f>
        <v>14.238</v>
      </c>
      <c r="U3" s="440" t="n">
        <f aca="false">M3*3.39</f>
        <v>16.95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41" t="str">
        <f aca="false">A13</f>
        <v>SU-111</v>
      </c>
      <c r="L4" s="400" t="n">
        <f aca="false">IF(K31&gt;4500,K31/4500,1)</f>
        <v>9.82555555555556</v>
      </c>
      <c r="M4" s="24" t="n">
        <f aca="false">ROUNDUP(L4,0)</f>
        <v>10</v>
      </c>
      <c r="N4" s="266" t="n">
        <f aca="false">0.64*6*K13</f>
        <v>192</v>
      </c>
      <c r="O4" s="266"/>
      <c r="P4" s="266" t="n">
        <f aca="false">N4*M4</f>
        <v>1920</v>
      </c>
      <c r="Q4" s="266"/>
      <c r="R4" s="96" t="str">
        <f aca="false">F5</f>
        <v>BRANCO</v>
      </c>
      <c r="S4" s="96" t="n">
        <v>6000</v>
      </c>
      <c r="T4" s="439" t="n">
        <f aca="false">K31*0.64/1000</f>
        <v>28.2976</v>
      </c>
      <c r="U4" s="439" t="n">
        <f aca="false">M4*3.84</f>
        <v>38.4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41" t="str">
        <f aca="false">A19</f>
        <v>SU-548</v>
      </c>
      <c r="L5" s="400" t="n">
        <f aca="false">IF(K32&gt;4500,K32/4500,1)</f>
        <v>4.62222222222222</v>
      </c>
      <c r="M5" s="24" t="n">
        <f aca="false">ROUNDUP(L5,0)</f>
        <v>5</v>
      </c>
      <c r="N5" s="266" t="n">
        <f aca="false">0.283*6*K13</f>
        <v>84.9</v>
      </c>
      <c r="O5" s="266"/>
      <c r="P5" s="266" t="n">
        <f aca="false">N5*M5</f>
        <v>424.5</v>
      </c>
      <c r="Q5" s="266"/>
      <c r="R5" s="96" t="str">
        <f aca="false">F5</f>
        <v>BRANCO</v>
      </c>
      <c r="S5" s="96" t="n">
        <v>6000</v>
      </c>
      <c r="T5" s="439" t="n">
        <f aca="false">K32*0.283/1000</f>
        <v>5.8864</v>
      </c>
      <c r="U5" s="439" t="n">
        <f aca="false">M5*1.698</f>
        <v>8.49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642"/>
      <c r="H6" s="642"/>
      <c r="I6" s="642"/>
      <c r="J6" s="642"/>
      <c r="K6" s="41" t="str">
        <f aca="false">A16</f>
        <v>SU-102</v>
      </c>
      <c r="L6" s="400" t="n">
        <f aca="false">IF(K33&gt;6000,K33/6000,1)</f>
        <v>7.93666666666667</v>
      </c>
      <c r="M6" s="24" t="n">
        <f aca="false">ROUNDUP(L6,0)</f>
        <v>8</v>
      </c>
      <c r="N6" s="266" t="n">
        <f aca="false">0.111*6*K13</f>
        <v>33.3</v>
      </c>
      <c r="O6" s="266"/>
      <c r="P6" s="266" t="n">
        <f aca="false">N6*M6</f>
        <v>266.4</v>
      </c>
      <c r="Q6" s="266"/>
      <c r="R6" s="96" t="str">
        <f aca="false">F5</f>
        <v>BRANCO</v>
      </c>
      <c r="S6" s="96" t="n">
        <v>6000</v>
      </c>
      <c r="T6" s="439" t="n">
        <f aca="false">K33*0.111/1000</f>
        <v>5.28582</v>
      </c>
      <c r="U6" s="439" t="n">
        <f aca="false">M6*0.666</f>
        <v>5.328</v>
      </c>
    </row>
    <row r="7" customFormat="false" ht="27" hidden="false" customHeight="true" outlineLevel="0" collapsed="false">
      <c r="A7" s="271" t="n">
        <v>700</v>
      </c>
      <c r="B7" s="272" t="n">
        <v>800</v>
      </c>
      <c r="C7" s="272" t="n">
        <v>2120</v>
      </c>
      <c r="D7" s="272" t="n">
        <v>5</v>
      </c>
      <c r="E7" s="276" t="n">
        <f aca="false">(B7*C7)/10^6</f>
        <v>1.696</v>
      </c>
      <c r="F7" s="276"/>
      <c r="G7" s="642"/>
      <c r="H7" s="642"/>
      <c r="I7" s="642"/>
      <c r="J7" s="642"/>
      <c r="K7" s="41" t="s">
        <v>626</v>
      </c>
      <c r="L7" s="400" t="n">
        <f aca="false">IF(N30&gt;6000,N30/6000,1)</f>
        <v>1</v>
      </c>
      <c r="M7" s="24" t="n">
        <f aca="false">ROUNDUP(L7,0)</f>
        <v>1</v>
      </c>
      <c r="N7" s="266" t="n">
        <f aca="false">0.55*6*K13</f>
        <v>165</v>
      </c>
      <c r="O7" s="266"/>
      <c r="P7" s="266" t="n">
        <f aca="false">N7*M7</f>
        <v>165</v>
      </c>
      <c r="Q7" s="266"/>
      <c r="R7" s="96" t="str">
        <f aca="false">F5</f>
        <v>BRANCO</v>
      </c>
      <c r="S7" s="96" t="n">
        <v>6000</v>
      </c>
      <c r="T7" s="439" t="n">
        <f aca="false">K35*0.55/1000</f>
        <v>1.43825</v>
      </c>
      <c r="U7" s="439" t="n">
        <f aca="false">M7*3.3</f>
        <v>3.3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1187.2</v>
      </c>
      <c r="D8" s="274"/>
      <c r="E8" s="20" t="s">
        <v>16</v>
      </c>
      <c r="F8" s="39" t="n">
        <f aca="false">D7*4</f>
        <v>20</v>
      </c>
      <c r="G8" s="642"/>
      <c r="H8" s="642"/>
      <c r="I8" s="642"/>
      <c r="J8" s="642"/>
      <c r="K8" s="207" t="s">
        <v>714</v>
      </c>
      <c r="L8" s="400" t="n">
        <f aca="false">L7</f>
        <v>1</v>
      </c>
      <c r="M8" s="24" t="n">
        <f aca="false">ROUNDUP(L8,0)</f>
        <v>1</v>
      </c>
      <c r="N8" s="266" t="n">
        <f aca="false">0.534*6*K13</f>
        <v>160.2</v>
      </c>
      <c r="O8" s="266"/>
      <c r="P8" s="266" t="n">
        <f aca="false">N8*M8</f>
        <v>160.2</v>
      </c>
      <c r="Q8" s="266"/>
      <c r="R8" s="363" t="str">
        <f aca="false">R7</f>
        <v>BRANCO</v>
      </c>
      <c r="S8" s="96" t="n">
        <v>6000</v>
      </c>
      <c r="T8" s="439" t="n">
        <f aca="false">N30*0.534/1000</f>
        <v>1.39641</v>
      </c>
      <c r="U8" s="439" t="n">
        <f aca="false">M8*3.204</f>
        <v>3.204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5936</v>
      </c>
      <c r="D9" s="275"/>
      <c r="E9" s="389" t="n">
        <f aca="false">(B7-260)/2</f>
        <v>270</v>
      </c>
      <c r="F9" s="401" t="n">
        <f aca="false">(C7-280)/2</f>
        <v>920</v>
      </c>
      <c r="G9" s="642"/>
      <c r="H9" s="642"/>
      <c r="I9" s="642"/>
      <c r="J9" s="642"/>
      <c r="K9" s="52" t="s">
        <v>543</v>
      </c>
      <c r="L9" s="400" t="n">
        <f aca="false">L7</f>
        <v>1</v>
      </c>
      <c r="M9" s="24" t="n">
        <f aca="false">M7</f>
        <v>1</v>
      </c>
      <c r="N9" s="266" t="n">
        <f aca="false">0.989*6*K13</f>
        <v>296.7</v>
      </c>
      <c r="O9" s="266"/>
      <c r="P9" s="266" t="n">
        <f aca="false">N9*M9</f>
        <v>296.7</v>
      </c>
      <c r="Q9" s="266"/>
      <c r="R9" s="363" t="str">
        <f aca="false">R7</f>
        <v>BRANCO</v>
      </c>
      <c r="S9" s="96" t="n">
        <v>6000</v>
      </c>
      <c r="T9" s="439" t="n">
        <f aca="false">N30*0.989/1000</f>
        <v>2.586235</v>
      </c>
      <c r="U9" s="439" t="n">
        <f aca="false">M9*5.934</f>
        <v>5.934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43" t="s">
        <v>30</v>
      </c>
      <c r="K10" s="52"/>
      <c r="L10" s="23"/>
      <c r="M10" s="47"/>
      <c r="N10" s="52"/>
      <c r="O10" s="23"/>
      <c r="P10" s="52"/>
      <c r="Q10" s="23"/>
      <c r="R10" s="47"/>
      <c r="S10" s="47"/>
      <c r="T10" s="47"/>
      <c r="U10" s="47"/>
    </row>
    <row r="11" customFormat="false" ht="25.5" hidden="false" customHeight="true" outlineLevel="0" collapsed="false">
      <c r="A11" s="67" t="s">
        <v>715</v>
      </c>
      <c r="B11" s="278" t="s">
        <v>187</v>
      </c>
      <c r="C11" s="278"/>
      <c r="D11" s="278"/>
      <c r="E11" s="15" t="n">
        <f aca="false">D7*1</f>
        <v>5</v>
      </c>
      <c r="F11" s="69" t="n">
        <f aca="false">B7</f>
        <v>800</v>
      </c>
      <c r="G11" s="69"/>
      <c r="H11" s="72" t="s">
        <v>17</v>
      </c>
      <c r="I11" s="72"/>
      <c r="J11" s="316" t="s">
        <v>33</v>
      </c>
      <c r="K11" s="53"/>
      <c r="L11" s="644"/>
      <c r="M11" s="645"/>
      <c r="N11" s="406"/>
      <c r="O11" s="406"/>
      <c r="P11" s="406"/>
      <c r="Q11" s="406"/>
      <c r="R11" s="383"/>
      <c r="S11" s="383"/>
      <c r="T11" s="402"/>
      <c r="U11" s="402"/>
    </row>
    <row r="12" customFormat="false" ht="25.5" hidden="false" customHeight="true" outlineLevel="0" collapsed="false">
      <c r="A12" s="79" t="s">
        <v>715</v>
      </c>
      <c r="B12" s="279" t="s">
        <v>192</v>
      </c>
      <c r="C12" s="279"/>
      <c r="D12" s="279"/>
      <c r="E12" s="24" t="n">
        <f aca="false">D7*2</f>
        <v>10</v>
      </c>
      <c r="F12" s="97" t="n">
        <f aca="false">C7</f>
        <v>2120</v>
      </c>
      <c r="G12" s="97"/>
      <c r="H12" s="83" t="s">
        <v>18</v>
      </c>
      <c r="I12" s="83"/>
      <c r="J12" s="83" t="s">
        <v>245</v>
      </c>
      <c r="K12" s="646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/>
      <c r="S12" s="422" t="s">
        <v>130</v>
      </c>
      <c r="T12" s="422"/>
      <c r="U12" s="402" t="n">
        <f aca="false">T3+T4+T5+T6+T7+T8+T9</f>
        <v>59.128715</v>
      </c>
    </row>
    <row r="13" customFormat="false" ht="25.5" hidden="false" customHeight="true" outlineLevel="0" collapsed="false">
      <c r="A13" s="79" t="s">
        <v>716</v>
      </c>
      <c r="B13" s="279" t="s">
        <v>281</v>
      </c>
      <c r="C13" s="279"/>
      <c r="D13" s="279"/>
      <c r="E13" s="24" t="n">
        <f aca="false">D7*4</f>
        <v>20</v>
      </c>
      <c r="F13" s="97" t="n">
        <f aca="false">C7-40</f>
        <v>2080</v>
      </c>
      <c r="G13" s="97"/>
      <c r="H13" s="83" t="s">
        <v>17</v>
      </c>
      <c r="I13" s="83"/>
      <c r="J13" s="83" t="s">
        <v>42</v>
      </c>
      <c r="K13" s="647" t="n">
        <v>50</v>
      </c>
      <c r="L13" s="410" t="n">
        <v>100</v>
      </c>
      <c r="M13" s="490" t="n">
        <f aca="false">U12*L13</f>
        <v>5912.8715</v>
      </c>
      <c r="N13" s="490"/>
      <c r="O13" s="303" t="n">
        <v>0.65</v>
      </c>
      <c r="P13" s="491" t="n">
        <f aca="false">K17*O13+K17</f>
        <v>4878.1189875</v>
      </c>
      <c r="Q13" s="491"/>
      <c r="R13" s="491"/>
      <c r="S13" s="181" t="s">
        <v>131</v>
      </c>
      <c r="T13" s="181"/>
      <c r="U13" s="409" t="n">
        <f aca="false">U3+U4+U5+U6+U7+U8+U9</f>
        <v>81.606</v>
      </c>
    </row>
    <row r="14" customFormat="false" ht="25.5" hidden="false" customHeight="true" outlineLevel="0" collapsed="false">
      <c r="A14" s="79" t="s">
        <v>714</v>
      </c>
      <c r="B14" s="279" t="s">
        <v>604</v>
      </c>
      <c r="C14" s="279"/>
      <c r="D14" s="279"/>
      <c r="E14" s="24" t="n">
        <f aca="false">D7*2</f>
        <v>10</v>
      </c>
      <c r="F14" s="24" t="n">
        <f aca="false">(B7-277)/2</f>
        <v>261.5</v>
      </c>
      <c r="G14" s="24"/>
      <c r="H14" s="83" t="s">
        <v>17</v>
      </c>
      <c r="I14" s="83"/>
      <c r="J14" s="83" t="s">
        <v>42</v>
      </c>
      <c r="K14" s="181" t="s">
        <v>195</v>
      </c>
      <c r="L14" s="181"/>
      <c r="M14" s="423"/>
      <c r="N14" s="424"/>
      <c r="O14" s="296"/>
      <c r="P14" s="296"/>
      <c r="Q14" s="425"/>
      <c r="R14" s="425"/>
      <c r="S14" s="73" t="s">
        <v>132</v>
      </c>
      <c r="T14" s="73"/>
      <c r="U14" s="402" t="n">
        <f aca="false">U13-U12</f>
        <v>22.477285</v>
      </c>
    </row>
    <row r="15" customFormat="false" ht="25.5" hidden="false" customHeight="true" outlineLevel="0" collapsed="false">
      <c r="A15" s="79" t="s">
        <v>543</v>
      </c>
      <c r="B15" s="279" t="s">
        <v>712</v>
      </c>
      <c r="C15" s="279"/>
      <c r="D15" s="279"/>
      <c r="E15" s="46" t="n">
        <f aca="false">D7*2</f>
        <v>10</v>
      </c>
      <c r="F15" s="24" t="n">
        <f aca="false">F14</f>
        <v>261.5</v>
      </c>
      <c r="G15" s="24"/>
      <c r="H15" s="434" t="s">
        <v>17</v>
      </c>
      <c r="I15" s="434"/>
      <c r="J15" s="83" t="s">
        <v>42</v>
      </c>
      <c r="K15" s="183" t="n">
        <f aca="false">U13*K13</f>
        <v>4080.3</v>
      </c>
      <c r="L15" s="183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188</v>
      </c>
      <c r="B16" s="279" t="s">
        <v>203</v>
      </c>
      <c r="C16" s="279"/>
      <c r="D16" s="279"/>
      <c r="E16" s="24" t="n">
        <f aca="false">D7*8</f>
        <v>40</v>
      </c>
      <c r="F16" s="24" t="n">
        <f aca="false">(B7-289)/2</f>
        <v>255.5</v>
      </c>
      <c r="G16" s="24"/>
      <c r="H16" s="83" t="s">
        <v>17</v>
      </c>
      <c r="I16" s="83"/>
      <c r="J16" s="83" t="s">
        <v>42</v>
      </c>
      <c r="K16" s="181" t="s">
        <v>199</v>
      </c>
      <c r="L16" s="181"/>
    </row>
    <row r="17" customFormat="false" ht="25.5" hidden="false" customHeight="true" outlineLevel="0" collapsed="false">
      <c r="A17" s="79" t="s">
        <v>188</v>
      </c>
      <c r="B17" s="279" t="s">
        <v>203</v>
      </c>
      <c r="C17" s="279"/>
      <c r="D17" s="279"/>
      <c r="E17" s="24" t="n">
        <f aca="false">D7*8</f>
        <v>40</v>
      </c>
      <c r="F17" s="97" t="n">
        <f aca="false">((C7-250)/2)</f>
        <v>935</v>
      </c>
      <c r="G17" s="97"/>
      <c r="H17" s="83" t="s">
        <v>18</v>
      </c>
      <c r="I17" s="83"/>
      <c r="J17" s="83" t="s">
        <v>42</v>
      </c>
      <c r="K17" s="183" t="n">
        <f aca="false">U12*K13</f>
        <v>2956.43575</v>
      </c>
      <c r="L17" s="183"/>
    </row>
    <row r="18" customFormat="false" ht="25.5" hidden="false" customHeight="true" outlineLevel="0" collapsed="false">
      <c r="A18" s="79" t="s">
        <v>626</v>
      </c>
      <c r="B18" s="279" t="s">
        <v>248</v>
      </c>
      <c r="C18" s="279"/>
      <c r="D18" s="279"/>
      <c r="E18" s="46" t="n">
        <f aca="false">D7*2</f>
        <v>10</v>
      </c>
      <c r="F18" s="24" t="n">
        <f aca="false">F15</f>
        <v>261.5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 t="s">
        <v>717</v>
      </c>
      <c r="B19" s="279" t="s">
        <v>718</v>
      </c>
      <c r="C19" s="279"/>
      <c r="D19" s="279"/>
      <c r="E19" s="24" t="n">
        <f aca="false">D7*2</f>
        <v>10</v>
      </c>
      <c r="F19" s="97" t="n">
        <f aca="false">C7-40</f>
        <v>2080</v>
      </c>
      <c r="G19" s="97"/>
      <c r="H19" s="83" t="s">
        <v>18</v>
      </c>
      <c r="I19" s="83"/>
      <c r="J19" s="83" t="s">
        <v>42</v>
      </c>
    </row>
    <row r="20" customFormat="false" ht="22.5" hidden="false" customHeight="true" outlineLevel="0" collapsed="false">
      <c r="A20" s="64"/>
      <c r="B20" s="139"/>
      <c r="C20" s="203"/>
      <c r="D20" s="140"/>
      <c r="E20" s="64"/>
      <c r="F20" s="139"/>
      <c r="G20" s="140"/>
      <c r="H20" s="139"/>
      <c r="I20" s="140"/>
      <c r="J20" s="64"/>
    </row>
    <row r="21" customFormat="false" ht="21" hidden="false" customHeight="true" outlineLevel="0" collapsed="false">
      <c r="A21" s="648" t="s">
        <v>51</v>
      </c>
      <c r="B21" s="649" t="s">
        <v>26</v>
      </c>
      <c r="C21" s="649"/>
      <c r="D21" s="649"/>
      <c r="E21" s="649"/>
      <c r="F21" s="649"/>
      <c r="G21" s="649" t="s">
        <v>206</v>
      </c>
      <c r="H21" s="649"/>
      <c r="I21" s="650" t="s">
        <v>207</v>
      </c>
      <c r="J21" s="650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37200</v>
      </c>
      <c r="J25" s="28"/>
      <c r="K25" s="93"/>
      <c r="L25" s="124"/>
      <c r="M25" s="93"/>
      <c r="N25" s="93"/>
      <c r="O25" s="93"/>
      <c r="P25" s="93"/>
      <c r="Q25" s="93"/>
      <c r="R25" s="93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f aca="false">D7*34</f>
        <v>170</v>
      </c>
      <c r="J26" s="28"/>
      <c r="K26" s="93"/>
      <c r="L26" s="124"/>
      <c r="M26" s="93"/>
      <c r="N26" s="93"/>
      <c r="O26" s="93"/>
      <c r="P26" s="93"/>
      <c r="Q26" s="93"/>
      <c r="R26" s="93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f aca="false">D7*6</f>
        <v>30</v>
      </c>
      <c r="J27" s="28"/>
      <c r="K27" s="93"/>
      <c r="L27" s="124"/>
      <c r="M27" s="93"/>
      <c r="N27" s="93"/>
      <c r="O27" s="93"/>
      <c r="P27" s="93"/>
      <c r="Q27" s="93"/>
      <c r="R27" s="93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(C7*2)*D7</f>
        <v>21200</v>
      </c>
      <c r="J28" s="28"/>
      <c r="K28" s="124"/>
      <c r="L28" s="496"/>
      <c r="M28" s="93"/>
      <c r="N28" s="93"/>
      <c r="O28" s="93"/>
      <c r="P28" s="93"/>
      <c r="Q28" s="93"/>
      <c r="R28" s="93"/>
    </row>
    <row r="29" customFormat="false" ht="17.25" hidden="false" customHeight="true" outlineLevel="0" collapsed="false">
      <c r="A29" s="493" t="s">
        <v>550</v>
      </c>
      <c r="B29" s="419" t="s">
        <v>340</v>
      </c>
      <c r="C29" s="419"/>
      <c r="D29" s="419"/>
      <c r="E29" s="419"/>
      <c r="F29" s="419"/>
      <c r="G29" s="120" t="s">
        <v>64</v>
      </c>
      <c r="H29" s="120"/>
      <c r="I29" s="28" t="n">
        <f aca="false">D7*10</f>
        <v>50</v>
      </c>
      <c r="J29" s="28"/>
      <c r="K29" s="108"/>
      <c r="L29" s="414"/>
      <c r="M29" s="109"/>
      <c r="N29" s="109"/>
      <c r="O29" s="109"/>
      <c r="P29" s="109"/>
      <c r="Q29" s="93"/>
      <c r="R29" s="93"/>
    </row>
    <row r="30" customFormat="false" ht="17.25" hidden="false" customHeight="true" outlineLevel="0" collapsed="false">
      <c r="A30" s="493" t="s">
        <v>726</v>
      </c>
      <c r="B30" s="419" t="s">
        <v>727</v>
      </c>
      <c r="C30" s="419"/>
      <c r="D30" s="419"/>
      <c r="E30" s="419"/>
      <c r="F30" s="419"/>
      <c r="G30" s="120" t="s">
        <v>64</v>
      </c>
      <c r="H30" s="120"/>
      <c r="I30" s="28" t="n">
        <f aca="false">D7*2</f>
        <v>10</v>
      </c>
      <c r="J30" s="28"/>
      <c r="K30" s="651" t="n">
        <f aca="false">E11*F11+E12*F12</f>
        <v>25200</v>
      </c>
      <c r="L30" s="652" t="s">
        <v>728</v>
      </c>
      <c r="M30" s="109"/>
      <c r="N30" s="109" t="n">
        <f aca="false">F14*E14</f>
        <v>2615</v>
      </c>
      <c r="O30" s="109" t="n">
        <v>110</v>
      </c>
      <c r="P30" s="109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 t="s">
        <v>729</v>
      </c>
      <c r="B31" s="419" t="s">
        <v>730</v>
      </c>
      <c r="C31" s="419"/>
      <c r="D31" s="419"/>
      <c r="E31" s="419"/>
      <c r="F31" s="419"/>
      <c r="G31" s="120" t="s">
        <v>64</v>
      </c>
      <c r="H31" s="120"/>
      <c r="I31" s="28" t="n">
        <f aca="false">D7*10</f>
        <v>50</v>
      </c>
      <c r="J31" s="28"/>
      <c r="K31" s="651" t="n">
        <f aca="false">F13*E13+E14*F14</f>
        <v>44215</v>
      </c>
      <c r="L31" s="652" t="s">
        <v>731</v>
      </c>
      <c r="M31" s="109"/>
      <c r="N31" s="109"/>
      <c r="O31" s="109"/>
      <c r="P31" s="109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 t="s">
        <v>527</v>
      </c>
      <c r="B32" s="419" t="s">
        <v>238</v>
      </c>
      <c r="C32" s="419"/>
      <c r="D32" s="419"/>
      <c r="E32" s="419"/>
      <c r="F32" s="419"/>
      <c r="G32" s="120" t="s">
        <v>46</v>
      </c>
      <c r="H32" s="120"/>
      <c r="I32" s="28" t="n">
        <f aca="false">(B7*4)*D7</f>
        <v>16000</v>
      </c>
      <c r="J32" s="28"/>
      <c r="K32" s="651" t="n">
        <f aca="false">F19*E19</f>
        <v>20800</v>
      </c>
      <c r="L32" s="652" t="s">
        <v>732</v>
      </c>
      <c r="M32" s="109"/>
      <c r="N32" s="109"/>
      <c r="O32" s="109"/>
      <c r="P32" s="109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47620</v>
      </c>
      <c r="L33" s="652" t="s">
        <v>733</v>
      </c>
      <c r="M33" s="109"/>
      <c r="N33" s="109"/>
      <c r="O33" s="109"/>
      <c r="P33" s="109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3" t="e">
        <f aca="false">#REF!*#REF!</f>
        <v>#REF!</v>
      </c>
      <c r="L34" s="652" t="s">
        <v>734</v>
      </c>
      <c r="M34" s="109"/>
      <c r="N34" s="109"/>
      <c r="O34" s="109"/>
      <c r="P34" s="109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F18*E18</f>
        <v>2615</v>
      </c>
      <c r="L35" s="652" t="s">
        <v>128</v>
      </c>
      <c r="M35" s="109"/>
      <c r="N35" s="109"/>
      <c r="O35" s="109"/>
      <c r="P35" s="109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495"/>
      <c r="L36" s="496"/>
      <c r="M36" s="93"/>
      <c r="N36" s="93"/>
      <c r="O36" s="93"/>
      <c r="P36" s="93"/>
      <c r="Q36" s="93"/>
      <c r="R36" s="93"/>
      <c r="S36" s="93"/>
      <c r="T36" s="93"/>
      <c r="U36" s="93"/>
    </row>
  </sheetData>
  <mergeCells count="125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R12"/>
    <mergeCell ref="S12:T12"/>
    <mergeCell ref="B13:D13"/>
    <mergeCell ref="F13:G13"/>
    <mergeCell ref="H13:I13"/>
    <mergeCell ref="M13:N13"/>
    <mergeCell ref="P13:R13"/>
    <mergeCell ref="S13:T13"/>
    <mergeCell ref="B14:D14"/>
    <mergeCell ref="F14:G14"/>
    <mergeCell ref="H14:I14"/>
    <mergeCell ref="K14:L14"/>
    <mergeCell ref="Q14:R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99</v>
      </c>
      <c r="B1" s="2"/>
      <c r="C1" s="2"/>
      <c r="D1" s="2"/>
      <c r="E1" s="2"/>
      <c r="F1" s="2"/>
      <c r="G1" s="2"/>
      <c r="H1" s="222" t="s">
        <v>1</v>
      </c>
      <c r="I1" s="222"/>
      <c r="J1" s="222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23"/>
      <c r="C2" s="224"/>
      <c r="D2" s="224"/>
      <c r="E2" s="225" t="s">
        <v>14</v>
      </c>
      <c r="F2" s="224"/>
      <c r="G2" s="224"/>
      <c r="H2" s="222"/>
      <c r="I2" s="222"/>
      <c r="J2" s="222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28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222"/>
      <c r="I3" s="222"/>
      <c r="J3" s="222"/>
      <c r="K3" s="13" t="str">
        <f aca="false">A11</f>
        <v>2X1/2</v>
      </c>
      <c r="L3" s="14"/>
      <c r="M3" s="15" t="n">
        <f aca="false">ROUNDUP(P30,0)</f>
        <v>2</v>
      </c>
      <c r="N3" s="16" t="n">
        <v>120</v>
      </c>
      <c r="O3" s="16"/>
      <c r="P3" s="16" t="n">
        <f aca="false">N3*M3</f>
        <v>240</v>
      </c>
      <c r="Q3" s="16"/>
      <c r="R3" s="17" t="str">
        <f aca="false">E4</f>
        <v>BRANCO</v>
      </c>
      <c r="S3" s="18" t="n">
        <v>6000</v>
      </c>
      <c r="T3" s="226" t="n">
        <f aca="false">F11*E11+E12*F12+E13*F13</f>
        <v>6600</v>
      </c>
      <c r="U3" s="226"/>
    </row>
    <row r="4" customFormat="false" ht="19.5" hidden="false" customHeight="true" outlineLevel="0" collapsed="false">
      <c r="A4" s="11" t="s">
        <v>12</v>
      </c>
      <c r="B4" s="12"/>
      <c r="C4" s="12"/>
      <c r="D4" s="227" t="s">
        <v>8</v>
      </c>
      <c r="E4" s="228" t="s">
        <v>15</v>
      </c>
      <c r="F4" s="33" t="s">
        <v>16</v>
      </c>
      <c r="G4" s="33"/>
      <c r="H4" s="32" t="s">
        <v>5</v>
      </c>
      <c r="I4" s="222"/>
      <c r="J4" s="222"/>
      <c r="K4" s="22" t="str">
        <f aca="false">A14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E4</f>
        <v>BRANCO</v>
      </c>
      <c r="S4" s="27" t="n">
        <v>6000</v>
      </c>
      <c r="T4" s="229" t="n">
        <f aca="false">E14*F14+E15*F15</f>
        <v>3996</v>
      </c>
      <c r="U4" s="229"/>
    </row>
    <row r="5" customFormat="false" ht="19.5" hidden="false" customHeight="true" outlineLevel="0" collapsed="false">
      <c r="A5" s="11" t="s">
        <v>100</v>
      </c>
      <c r="B5" s="11"/>
      <c r="C5" s="42" t="n">
        <v>1</v>
      </c>
      <c r="D5" s="230"/>
      <c r="E5" s="36" t="s">
        <v>20</v>
      </c>
      <c r="F5" s="153" t="n">
        <f aca="false">F6</f>
        <v>386</v>
      </c>
      <c r="G5" s="231" t="n">
        <f aca="false">F16-4</f>
        <v>276</v>
      </c>
      <c r="H5" s="232" t="n">
        <f aca="false">C5*1</f>
        <v>1</v>
      </c>
      <c r="I5" s="222"/>
      <c r="J5" s="222"/>
      <c r="K5" s="22" t="str">
        <f aca="false">A17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E4</f>
        <v>BRANCO</v>
      </c>
      <c r="S5" s="27" t="n">
        <v>6000</v>
      </c>
      <c r="T5" s="229" t="n">
        <f aca="false">E17*F17</f>
        <v>996</v>
      </c>
      <c r="U5" s="229"/>
    </row>
    <row r="6" customFormat="false" ht="22.5" hidden="false" customHeight="true" outlineLevel="0" collapsed="false">
      <c r="A6" s="35" t="s">
        <v>17</v>
      </c>
      <c r="B6" s="20" t="s">
        <v>18</v>
      </c>
      <c r="C6" s="20" t="s">
        <v>19</v>
      </c>
      <c r="D6" s="35" t="s">
        <v>101</v>
      </c>
      <c r="E6" s="36" t="s">
        <v>20</v>
      </c>
      <c r="F6" s="44" t="n">
        <f aca="false">F14-4</f>
        <v>386</v>
      </c>
      <c r="G6" s="38" t="n">
        <f aca="false">F15-4</f>
        <v>142</v>
      </c>
      <c r="H6" s="44" t="n">
        <f aca="false">C5*3</f>
        <v>3</v>
      </c>
      <c r="I6" s="222"/>
      <c r="J6" s="222"/>
      <c r="K6" s="41" t="s">
        <v>21</v>
      </c>
      <c r="L6" s="23"/>
      <c r="M6" s="24" t="n">
        <f aca="false">ROUNDUP(P33,0)</f>
        <v>1</v>
      </c>
      <c r="N6" s="25" t="n">
        <v>35</v>
      </c>
      <c r="O6" s="25"/>
      <c r="P6" s="25" t="n">
        <f aca="false">N6*M6</f>
        <v>35</v>
      </c>
      <c r="Q6" s="25"/>
      <c r="R6" s="26" t="str">
        <f aca="false">E4</f>
        <v>BRANCO</v>
      </c>
      <c r="S6" s="27" t="n">
        <v>6000</v>
      </c>
      <c r="T6" s="229" t="n">
        <f aca="false">E18*F18</f>
        <v>3904</v>
      </c>
      <c r="U6" s="229"/>
    </row>
    <row r="7" customFormat="false" ht="27" hidden="false" customHeight="true" outlineLevel="0" collapsed="false">
      <c r="A7" s="42" t="n">
        <v>400</v>
      </c>
      <c r="B7" s="42" t="n">
        <v>750</v>
      </c>
      <c r="C7" s="43" t="n">
        <v>500</v>
      </c>
      <c r="D7" s="233" t="n">
        <v>280</v>
      </c>
      <c r="E7" s="36" t="s">
        <v>22</v>
      </c>
      <c r="F7" s="44" t="n">
        <f aca="false">C7-20</f>
        <v>480</v>
      </c>
      <c r="G7" s="38" t="n">
        <f aca="false">(B7-B8-153)/3</f>
        <v>125.666666666667</v>
      </c>
      <c r="H7" s="44" t="n">
        <f aca="false">C5*6</f>
        <v>6</v>
      </c>
      <c r="I7" s="222"/>
      <c r="J7" s="222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176"/>
      <c r="U7" s="177"/>
    </row>
    <row r="8" customFormat="false" ht="24" hidden="false" customHeight="true" outlineLevel="0" collapsed="false">
      <c r="A8" s="234" t="s">
        <v>16</v>
      </c>
      <c r="B8" s="235" t="n">
        <f aca="false">B9</f>
        <v>220</v>
      </c>
      <c r="C8" s="39" t="n">
        <f aca="false">F7</f>
        <v>480</v>
      </c>
      <c r="D8" s="236" t="n">
        <f aca="false">C5*2</f>
        <v>2</v>
      </c>
      <c r="E8" s="36" t="s">
        <v>24</v>
      </c>
      <c r="F8" s="44" t="n">
        <f aca="false">A7-55</f>
        <v>345</v>
      </c>
      <c r="G8" s="38" t="n">
        <f aca="false">G7</f>
        <v>125.666666666667</v>
      </c>
      <c r="H8" s="44" t="n">
        <f aca="false">C5*6</f>
        <v>6</v>
      </c>
      <c r="I8" s="222"/>
      <c r="J8" s="222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176"/>
      <c r="U8" s="177"/>
    </row>
    <row r="9" customFormat="false" ht="26.25" hidden="false" customHeight="true" outlineLevel="0" collapsed="false">
      <c r="A9" s="11" t="s">
        <v>16</v>
      </c>
      <c r="B9" s="235" t="n">
        <f aca="false">F16-60</f>
        <v>220</v>
      </c>
      <c r="C9" s="237" t="n">
        <f aca="false">F8</f>
        <v>345</v>
      </c>
      <c r="D9" s="44" t="n">
        <f aca="false">C5*2</f>
        <v>2</v>
      </c>
      <c r="E9" s="238" t="s">
        <v>25</v>
      </c>
      <c r="F9" s="239" t="n">
        <f aca="false">A7-55</f>
        <v>345</v>
      </c>
      <c r="G9" s="15" t="n">
        <f aca="false">C7-12</f>
        <v>488</v>
      </c>
      <c r="H9" s="240" t="n">
        <f aca="false">C5*4</f>
        <v>4</v>
      </c>
      <c r="I9" s="222"/>
      <c r="J9" s="222"/>
      <c r="K9" s="52"/>
      <c r="L9" s="45"/>
      <c r="M9" s="46"/>
      <c r="N9" s="25"/>
      <c r="O9" s="25"/>
      <c r="P9" s="25"/>
      <c r="Q9" s="25"/>
      <c r="R9" s="47"/>
      <c r="S9" s="27"/>
      <c r="T9" s="176"/>
      <c r="U9" s="177"/>
    </row>
    <row r="10" customFormat="false" ht="25.5" hidden="false" customHeight="true" outlineLevel="0" collapsed="false">
      <c r="A10" s="5" t="s">
        <v>4</v>
      </c>
      <c r="B10" s="2" t="s">
        <v>23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178"/>
      <c r="U10" s="179"/>
    </row>
    <row r="11" customFormat="false" ht="25.5" hidden="false" customHeight="true" outlineLevel="0" collapsed="false">
      <c r="A11" s="67" t="s">
        <v>31</v>
      </c>
      <c r="B11" s="241" t="s">
        <v>32</v>
      </c>
      <c r="C11" s="241"/>
      <c r="D11" s="241"/>
      <c r="E11" s="69" t="n">
        <f aca="false">C5*4</f>
        <v>4</v>
      </c>
      <c r="F11" s="69" t="n">
        <f aca="false">A7</f>
        <v>400</v>
      </c>
      <c r="G11" s="69"/>
      <c r="H11" s="242" t="s">
        <v>17</v>
      </c>
      <c r="I11" s="242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243" t="s">
        <v>39</v>
      </c>
      <c r="C12" s="243"/>
      <c r="D12" s="243"/>
      <c r="E12" s="46" t="n">
        <f aca="false">C5*4</f>
        <v>4</v>
      </c>
      <c r="F12" s="97" t="n">
        <f aca="false">B7</f>
        <v>750</v>
      </c>
      <c r="G12" s="97"/>
      <c r="H12" s="163" t="s">
        <v>18</v>
      </c>
      <c r="I12" s="163"/>
      <c r="J12" s="83" t="s">
        <v>33</v>
      </c>
      <c r="K12" s="84" t="n">
        <f aca="false">P3+P4+P5+P6+P7+P8+P9+P10</f>
        <v>507</v>
      </c>
      <c r="L12" s="84"/>
      <c r="M12" s="84" t="n">
        <f aca="false">I35</f>
        <v>279.4</v>
      </c>
      <c r="N12" s="84"/>
      <c r="O12" s="85" t="n">
        <v>200</v>
      </c>
      <c r="P12" s="85"/>
      <c r="Q12" s="85" t="n">
        <v>150</v>
      </c>
      <c r="R12" s="85"/>
      <c r="S12" s="86"/>
      <c r="T12" s="84" t="n">
        <f aca="false">SUM(K12:R12)</f>
        <v>1136.4</v>
      </c>
      <c r="U12" s="84"/>
    </row>
    <row r="13" customFormat="false" ht="25.5" hidden="false" customHeight="true" outlineLevel="0" collapsed="false">
      <c r="A13" s="79" t="s">
        <v>31</v>
      </c>
      <c r="B13" s="243" t="s">
        <v>40</v>
      </c>
      <c r="C13" s="243"/>
      <c r="D13" s="243"/>
      <c r="E13" s="46" t="n">
        <f aca="false">C5*4</f>
        <v>4</v>
      </c>
      <c r="F13" s="97" t="n">
        <f aca="false">C7</f>
        <v>500</v>
      </c>
      <c r="G13" s="97"/>
      <c r="H13" s="163" t="s">
        <v>41</v>
      </c>
      <c r="I13" s="163"/>
      <c r="J13" s="83" t="s">
        <v>42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243" t="s">
        <v>44</v>
      </c>
      <c r="C14" s="243"/>
      <c r="D14" s="243"/>
      <c r="E14" s="46" t="n">
        <f aca="false">C5*8</f>
        <v>8</v>
      </c>
      <c r="F14" s="97" t="n">
        <f aca="false">A7-10</f>
        <v>390</v>
      </c>
      <c r="G14" s="97"/>
      <c r="H14" s="163" t="s">
        <v>17</v>
      </c>
      <c r="I14" s="163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43</v>
      </c>
      <c r="B15" s="243" t="s">
        <v>45</v>
      </c>
      <c r="C15" s="243"/>
      <c r="D15" s="243"/>
      <c r="E15" s="46" t="n">
        <f aca="false">C5*6</f>
        <v>6</v>
      </c>
      <c r="F15" s="24" t="n">
        <f aca="false">(B7-D7-32)/3</f>
        <v>146</v>
      </c>
      <c r="G15" s="24"/>
      <c r="H15" s="163" t="s">
        <v>18</v>
      </c>
      <c r="I15" s="163"/>
      <c r="J15" s="83" t="s">
        <v>33</v>
      </c>
    </row>
    <row r="16" customFormat="false" ht="25.5" hidden="false" customHeight="true" outlineLevel="0" collapsed="false">
      <c r="A16" s="79" t="s">
        <v>43</v>
      </c>
      <c r="C16" s="163" t="s">
        <v>45</v>
      </c>
      <c r="D16" s="163"/>
      <c r="E16" s="46" t="n">
        <f aca="false">C5*2</f>
        <v>2</v>
      </c>
      <c r="F16" s="244" t="n">
        <f aca="false">D7</f>
        <v>280</v>
      </c>
      <c r="G16" s="244"/>
      <c r="H16" s="163" t="s">
        <v>18</v>
      </c>
      <c r="I16" s="163"/>
      <c r="J16" s="83" t="s">
        <v>33</v>
      </c>
      <c r="K16" s="93"/>
      <c r="L16" s="93"/>
      <c r="M16" s="93"/>
    </row>
    <row r="17" customFormat="false" ht="25.5" hidden="false" customHeight="true" outlineLevel="0" collapsed="false">
      <c r="A17" s="79" t="s">
        <v>46</v>
      </c>
      <c r="B17" s="243" t="s">
        <v>47</v>
      </c>
      <c r="C17" s="243"/>
      <c r="D17" s="243"/>
      <c r="E17" s="46" t="n">
        <f aca="false">C5*4</f>
        <v>4</v>
      </c>
      <c r="F17" s="97" t="n">
        <f aca="false">F14-141</f>
        <v>249</v>
      </c>
      <c r="G17" s="97"/>
      <c r="H17" s="163" t="s">
        <v>17</v>
      </c>
      <c r="I17" s="163"/>
      <c r="J17" s="83" t="s">
        <v>42</v>
      </c>
      <c r="M17" s="94"/>
      <c r="N17" s="95"/>
      <c r="O17" s="95"/>
    </row>
    <row r="18" customFormat="false" ht="25.5" hidden="false" customHeight="true" outlineLevel="0" collapsed="false">
      <c r="A18" s="79" t="s">
        <v>21</v>
      </c>
      <c r="B18" s="243" t="s">
        <v>48</v>
      </c>
      <c r="C18" s="243"/>
      <c r="D18" s="243"/>
      <c r="E18" s="46" t="n">
        <f aca="false">C5*8</f>
        <v>8</v>
      </c>
      <c r="F18" s="24" t="n">
        <f aca="false">G9</f>
        <v>488</v>
      </c>
      <c r="G18" s="24"/>
      <c r="H18" s="163" t="s">
        <v>41</v>
      </c>
      <c r="I18" s="163"/>
      <c r="J18" s="83" t="s">
        <v>42</v>
      </c>
      <c r="N18" s="98"/>
      <c r="O18" s="98"/>
    </row>
    <row r="19" customFormat="false" ht="22.5" hidden="false" customHeight="true" outlineLevel="0" collapsed="false">
      <c r="A19" s="79"/>
      <c r="B19" s="243"/>
      <c r="C19" s="243"/>
      <c r="D19" s="243"/>
      <c r="E19" s="46"/>
      <c r="F19" s="24"/>
      <c r="G19" s="24"/>
      <c r="H19" s="163"/>
      <c r="I19" s="163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245"/>
      <c r="C20" s="245"/>
      <c r="D20" s="245"/>
      <c r="E20" s="55"/>
      <c r="F20" s="246"/>
      <c r="G20" s="246"/>
      <c r="H20" s="247"/>
      <c r="I20" s="247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20" t="s">
        <v>38</v>
      </c>
      <c r="K21" s="93"/>
      <c r="L21" s="93"/>
      <c r="M21" s="94"/>
      <c r="N21" s="108"/>
      <c r="O21" s="109"/>
      <c r="P21" s="109"/>
      <c r="Q21" s="109"/>
      <c r="R21" s="109"/>
      <c r="S21" s="109"/>
      <c r="T21" s="109"/>
      <c r="U21" s="109"/>
    </row>
    <row r="22" customFormat="false" ht="17.25" hidden="false" customHeight="true" outlineLevel="0" collapsed="false">
      <c r="A22" s="50" t="n">
        <v>1234</v>
      </c>
      <c r="B22" s="110" t="s">
        <v>102</v>
      </c>
      <c r="C22" s="111"/>
      <c r="D22" s="111"/>
      <c r="E22" s="112"/>
      <c r="F22" s="19" t="s">
        <v>55</v>
      </c>
      <c r="G22" s="19"/>
      <c r="H22" s="113" t="n">
        <f aca="false">C5*4</f>
        <v>4</v>
      </c>
      <c r="I22" s="114" t="n">
        <v>30</v>
      </c>
      <c r="J22" s="115" t="n">
        <f aca="false">H22*I22</f>
        <v>120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116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121" t="n">
        <f aca="false">C5*4</f>
        <v>4</v>
      </c>
      <c r="I23" s="122" t="n">
        <v>8</v>
      </c>
      <c r="J23" s="123" t="n">
        <f aca="false">H23*I23</f>
        <v>32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116" t="n">
        <v>123456</v>
      </c>
      <c r="B24" s="117" t="s">
        <v>58</v>
      </c>
      <c r="C24" s="118"/>
      <c r="D24" s="118"/>
      <c r="E24" s="119"/>
      <c r="F24" s="120" t="s">
        <v>59</v>
      </c>
      <c r="G24" s="120"/>
      <c r="H24" s="121" t="n">
        <f aca="false">C5*1</f>
        <v>1</v>
      </c>
      <c r="I24" s="122" t="n">
        <v>49</v>
      </c>
      <c r="J24" s="123" t="n">
        <f aca="false">H24*I24</f>
        <v>49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116" t="n">
        <v>1234567</v>
      </c>
      <c r="B25" s="117" t="s">
        <v>60</v>
      </c>
      <c r="C25" s="118"/>
      <c r="D25" s="118"/>
      <c r="E25" s="119"/>
      <c r="F25" s="120" t="s">
        <v>59</v>
      </c>
      <c r="G25" s="120"/>
      <c r="H25" s="121" t="n">
        <f aca="false">C5*48</f>
        <v>48</v>
      </c>
      <c r="I25" s="125" t="n">
        <v>0.1</v>
      </c>
      <c r="J25" s="123" t="n">
        <f aca="false">H25*I25</f>
        <v>4.8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16" t="s">
        <v>61</v>
      </c>
      <c r="B26" s="127" t="s">
        <v>62</v>
      </c>
      <c r="C26" s="127"/>
      <c r="D26" s="127"/>
      <c r="E26" s="119"/>
      <c r="F26" s="120" t="s">
        <v>55</v>
      </c>
      <c r="G26" s="120"/>
      <c r="H26" s="121" t="n">
        <f aca="false">E17</f>
        <v>4</v>
      </c>
      <c r="I26" s="122" t="n">
        <v>18</v>
      </c>
      <c r="J26" s="123" t="n">
        <f aca="false">H26*I26</f>
        <v>72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116" t="s">
        <v>55</v>
      </c>
      <c r="B27" s="128" t="s">
        <v>63</v>
      </c>
      <c r="C27" s="128"/>
      <c r="D27" s="128"/>
      <c r="E27" s="128"/>
      <c r="F27" s="120" t="s">
        <v>64</v>
      </c>
      <c r="G27" s="120"/>
      <c r="H27" s="121" t="n">
        <v>32</v>
      </c>
      <c r="I27" s="122" t="n">
        <v>0.05</v>
      </c>
      <c r="J27" s="123" t="n">
        <f aca="false">H27*I27</f>
        <v>1.6</v>
      </c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116"/>
      <c r="B28" s="117"/>
      <c r="C28" s="118"/>
      <c r="D28" s="118"/>
      <c r="E28" s="119"/>
      <c r="F28" s="52"/>
      <c r="G28" s="23"/>
      <c r="H28" s="52"/>
      <c r="I28" s="122"/>
      <c r="J28" s="123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116"/>
      <c r="B29" s="117"/>
      <c r="C29" s="118"/>
      <c r="D29" s="118"/>
      <c r="E29" s="119"/>
      <c r="F29" s="52"/>
      <c r="G29" s="23"/>
      <c r="H29" s="52"/>
      <c r="I29" s="122"/>
      <c r="J29" s="123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116"/>
      <c r="B30" s="131"/>
      <c r="C30" s="132"/>
      <c r="D30" s="132"/>
      <c r="E30" s="119"/>
      <c r="F30" s="52"/>
      <c r="G30" s="23"/>
      <c r="H30" s="52"/>
      <c r="I30" s="122"/>
      <c r="J30" s="123"/>
      <c r="K30" s="93"/>
      <c r="L30" s="93"/>
      <c r="M30" s="93"/>
      <c r="P30" s="133" t="n">
        <f aca="false">IF(T3&gt;6000,T3/6000,1)</f>
        <v>1.1</v>
      </c>
      <c r="S30" s="93"/>
      <c r="T30" s="93"/>
      <c r="U30" s="93"/>
    </row>
    <row r="31" customFormat="false" ht="17.25" hidden="false" customHeight="true" outlineLevel="0" collapsed="false">
      <c r="A31" s="116"/>
      <c r="B31" s="131"/>
      <c r="C31" s="132"/>
      <c r="D31" s="132"/>
      <c r="E31" s="119"/>
      <c r="F31" s="52"/>
      <c r="G31" s="23"/>
      <c r="H31" s="52"/>
      <c r="I31" s="122"/>
      <c r="J31" s="123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116"/>
      <c r="B32" s="131"/>
      <c r="C32" s="132"/>
      <c r="D32" s="132"/>
      <c r="E32" s="119"/>
      <c r="F32" s="52"/>
      <c r="G32" s="23"/>
      <c r="H32" s="52"/>
      <c r="I32" s="122"/>
      <c r="J32" s="123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116"/>
      <c r="B33" s="131"/>
      <c r="C33" s="132"/>
      <c r="D33" s="132"/>
      <c r="E33" s="119"/>
      <c r="F33" s="52"/>
      <c r="G33" s="23"/>
      <c r="H33" s="52"/>
      <c r="I33" s="122"/>
      <c r="J33" s="123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116"/>
      <c r="B34" s="131"/>
      <c r="C34" s="132"/>
      <c r="D34" s="132"/>
      <c r="E34" s="119"/>
      <c r="F34" s="52"/>
      <c r="G34" s="23"/>
      <c r="H34" s="52"/>
      <c r="I34" s="134" t="s">
        <v>38</v>
      </c>
      <c r="J34" s="134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35"/>
      <c r="B35" s="136"/>
      <c r="C35" s="137"/>
      <c r="D35" s="137"/>
      <c r="E35" s="138"/>
      <c r="F35" s="139"/>
      <c r="G35" s="140"/>
      <c r="H35" s="139"/>
      <c r="I35" s="141" t="n">
        <f aca="false">SUM(J22:J33)</f>
        <v>279.4</v>
      </c>
      <c r="J35" s="141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94">
    <mergeCell ref="A1:G1"/>
    <mergeCell ref="H1:J3"/>
    <mergeCell ref="K1:U1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F4:G4"/>
    <mergeCell ref="I4:J9"/>
    <mergeCell ref="N4:O4"/>
    <mergeCell ref="P4:Q4"/>
    <mergeCell ref="T4:U4"/>
    <mergeCell ref="A5:B5"/>
    <mergeCell ref="N5:O5"/>
    <mergeCell ref="P5:Q5"/>
    <mergeCell ref="T5:U5"/>
    <mergeCell ref="N6:O6"/>
    <mergeCell ref="P6:Q6"/>
    <mergeCell ref="T6:U6"/>
    <mergeCell ref="N7:O7"/>
    <mergeCell ref="P7:Q7"/>
    <mergeCell ref="N8:O8"/>
    <mergeCell ref="P8:Q8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C16:D16"/>
    <mergeCell ref="F16:G16"/>
    <mergeCell ref="H16:I16"/>
    <mergeCell ref="B17:D17"/>
    <mergeCell ref="F17:G17"/>
    <mergeCell ref="H17:I17"/>
    <mergeCell ref="N17:O17"/>
    <mergeCell ref="B18:D18"/>
    <mergeCell ref="F18:G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F22:G22"/>
    <mergeCell ref="F23:G23"/>
    <mergeCell ref="F24:G24"/>
    <mergeCell ref="F25:G25"/>
    <mergeCell ref="B26:D26"/>
    <mergeCell ref="F26:G26"/>
    <mergeCell ref="B27:E27"/>
    <mergeCell ref="F27:G27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735</v>
      </c>
      <c r="B1" s="2"/>
      <c r="C1" s="2"/>
      <c r="D1" s="2"/>
      <c r="E1" s="2"/>
      <c r="F1" s="2"/>
      <c r="G1" s="2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48"/>
      <c r="I3" s="248"/>
      <c r="J3" s="248"/>
      <c r="K3" s="641" t="str">
        <f aca="false">A11</f>
        <v>SU-279</v>
      </c>
      <c r="L3" s="394" t="n">
        <f aca="false">IF(K30&gt;5600,K30/5600,1)</f>
        <v>1.85714285714286</v>
      </c>
      <c r="M3" s="395" t="n">
        <f aca="false">ROUNDUP(L3,0)</f>
        <v>2</v>
      </c>
      <c r="N3" s="260" t="n">
        <f aca="false">0.565*6*K13</f>
        <v>169.5</v>
      </c>
      <c r="O3" s="260"/>
      <c r="P3" s="530" t="n">
        <f aca="false">N3*M3</f>
        <v>339</v>
      </c>
      <c r="Q3" s="530"/>
      <c r="R3" s="397" t="str">
        <f aca="false">F5</f>
        <v>BRANCO</v>
      </c>
      <c r="S3" s="397" t="n">
        <v>6000</v>
      </c>
      <c r="T3" s="440" t="n">
        <f aca="false">K30*0.565/1000</f>
        <v>5.876</v>
      </c>
      <c r="U3" s="440" t="n">
        <f aca="false">M3*3.39</f>
        <v>6.78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248"/>
      <c r="I4" s="248"/>
      <c r="J4" s="248"/>
      <c r="K4" s="41" t="str">
        <f aca="false">A13</f>
        <v>SU-111</v>
      </c>
      <c r="L4" s="400" t="n">
        <f aca="false">IF(K31&gt;4500,K31/4500,1)</f>
        <v>3.98355555555556</v>
      </c>
      <c r="M4" s="91" t="n">
        <f aca="false">ROUNDUP(L4,0)</f>
        <v>4</v>
      </c>
      <c r="N4" s="267" t="n">
        <f aca="false">0.64*6*K13</f>
        <v>192</v>
      </c>
      <c r="O4" s="267"/>
      <c r="P4" s="532" t="n">
        <f aca="false">N4*M4</f>
        <v>768</v>
      </c>
      <c r="Q4" s="532"/>
      <c r="R4" s="96" t="str">
        <f aca="false">F5</f>
        <v>BRANCO</v>
      </c>
      <c r="S4" s="96" t="n">
        <v>6000</v>
      </c>
      <c r="T4" s="439" t="n">
        <f aca="false">K31*0.64/1000</f>
        <v>11.47264</v>
      </c>
      <c r="U4" s="439" t="n">
        <f aca="false">M4*3.84</f>
        <v>15.36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248"/>
      <c r="I5" s="248"/>
      <c r="J5" s="248"/>
      <c r="K5" s="41" t="str">
        <f aca="false">A20</f>
        <v>SU-548</v>
      </c>
      <c r="L5" s="400" t="n">
        <f aca="false">IF(K32&gt;4500,K32/4500,1)</f>
        <v>1.83111111111111</v>
      </c>
      <c r="M5" s="91" t="n">
        <f aca="false">ROUNDUP(L5,0)</f>
        <v>2</v>
      </c>
      <c r="N5" s="267" t="n">
        <f aca="false">0.283*6*K13</f>
        <v>84.9</v>
      </c>
      <c r="O5" s="267"/>
      <c r="P5" s="532" t="n">
        <f aca="false">N5*M5</f>
        <v>169.8</v>
      </c>
      <c r="Q5" s="532"/>
      <c r="R5" s="96" t="str">
        <f aca="false">F5</f>
        <v>BRANCO</v>
      </c>
      <c r="S5" s="96" t="n">
        <v>6000</v>
      </c>
      <c r="T5" s="439" t="n">
        <f aca="false">K32*0.283/1000</f>
        <v>2.33192</v>
      </c>
      <c r="U5" s="439" t="n">
        <f aca="false">M5*1.698</f>
        <v>3.396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41" t="str">
        <f aca="false">A16</f>
        <v>SU-102</v>
      </c>
      <c r="L6" s="400" t="n">
        <f aca="false">IF(K33&gt;6000,K33/6000,1)</f>
        <v>3.41466666666667</v>
      </c>
      <c r="M6" s="91" t="n">
        <f aca="false">ROUNDUP(L6,0)</f>
        <v>4</v>
      </c>
      <c r="N6" s="267" t="n">
        <f aca="false">0.111*6*K13</f>
        <v>33.3</v>
      </c>
      <c r="O6" s="267"/>
      <c r="P6" s="532" t="n">
        <f aca="false">N6*M6</f>
        <v>133.2</v>
      </c>
      <c r="Q6" s="532"/>
      <c r="R6" s="96" t="str">
        <f aca="false">F5</f>
        <v>BRANCO</v>
      </c>
      <c r="S6" s="96" t="n">
        <v>6000</v>
      </c>
      <c r="T6" s="439" t="n">
        <f aca="false">K33*0.111/1000</f>
        <v>2.274168</v>
      </c>
      <c r="U6" s="439" t="n">
        <f aca="false">M6*0.666</f>
        <v>2.664</v>
      </c>
    </row>
    <row r="7" customFormat="false" ht="27" hidden="false" customHeight="true" outlineLevel="0" collapsed="false">
      <c r="A7" s="271" t="n">
        <v>700</v>
      </c>
      <c r="B7" s="272" t="n">
        <v>1000</v>
      </c>
      <c r="C7" s="272" t="n">
        <v>2100</v>
      </c>
      <c r="D7" s="272" t="n">
        <v>2</v>
      </c>
      <c r="E7" s="276" t="n">
        <f aca="false">(B7*C7)/10^6</f>
        <v>2.1</v>
      </c>
      <c r="F7" s="276"/>
      <c r="G7" s="270"/>
      <c r="H7" s="270"/>
      <c r="I7" s="270"/>
      <c r="J7" s="270"/>
      <c r="K7" s="41" t="str">
        <f aca="false">A18</f>
        <v>US-294</v>
      </c>
      <c r="L7" s="400" t="n">
        <f aca="false">IF(K34&gt;5600,K34/5600,1)</f>
        <v>8.30859375</v>
      </c>
      <c r="M7" s="91" t="n">
        <f aca="false">ROUNDUP(L7,0)</f>
        <v>9</v>
      </c>
      <c r="N7" s="266" t="n">
        <f aca="false">0.268*6*K13</f>
        <v>80.4</v>
      </c>
      <c r="O7" s="266"/>
      <c r="P7" s="532" t="n">
        <f aca="false">N7*M7</f>
        <v>723.6</v>
      </c>
      <c r="Q7" s="532"/>
      <c r="R7" s="96" t="str">
        <f aca="false">F5</f>
        <v>BRANCO</v>
      </c>
      <c r="S7" s="96" t="n">
        <v>6000</v>
      </c>
      <c r="T7" s="439" t="n">
        <f aca="false">K34*0.268/1000</f>
        <v>12.4695375</v>
      </c>
      <c r="U7" s="439" t="n">
        <f aca="false">M7*1.608</f>
        <v>14.472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1470</v>
      </c>
      <c r="D8" s="274"/>
      <c r="E8" s="20" t="s">
        <v>16</v>
      </c>
      <c r="F8" s="39"/>
      <c r="G8" s="270"/>
      <c r="H8" s="270"/>
      <c r="I8" s="270"/>
      <c r="J8" s="270"/>
      <c r="K8" s="655" t="s">
        <v>626</v>
      </c>
      <c r="L8" s="400" t="n">
        <f aca="false">IF(N30&gt;6000,N30/6000,1)</f>
        <v>1</v>
      </c>
      <c r="M8" s="91" t="n">
        <f aca="false">ROUNDUP(L8,0)</f>
        <v>1</v>
      </c>
      <c r="N8" s="267" t="n">
        <f aca="false">0.921*6*K13</f>
        <v>276.3</v>
      </c>
      <c r="O8" s="267"/>
      <c r="P8" s="532" t="n">
        <f aca="false">N8*M8</f>
        <v>276.3</v>
      </c>
      <c r="Q8" s="532"/>
      <c r="R8" s="96" t="str">
        <f aca="false">F5</f>
        <v>BRANCO</v>
      </c>
      <c r="S8" s="96" t="n">
        <v>6000</v>
      </c>
      <c r="T8" s="439" t="n">
        <f aca="false">K35*0.55/1000</f>
        <v>0.7953</v>
      </c>
      <c r="U8" s="439" t="n">
        <f aca="false">M8*3.3</f>
        <v>3.3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2940</v>
      </c>
      <c r="D9" s="275"/>
      <c r="E9" s="389"/>
      <c r="F9" s="401"/>
      <c r="G9" s="270"/>
      <c r="H9" s="270"/>
      <c r="I9" s="270"/>
      <c r="J9" s="270"/>
      <c r="K9" s="207" t="s">
        <v>714</v>
      </c>
      <c r="L9" s="400" t="n">
        <f aca="false">L8</f>
        <v>1</v>
      </c>
      <c r="M9" s="91" t="n">
        <f aca="false">ROUNDUP(L9,0)</f>
        <v>1</v>
      </c>
      <c r="N9" s="267" t="n">
        <f aca="false">0.534*6*K13</f>
        <v>160.2</v>
      </c>
      <c r="O9" s="267"/>
      <c r="P9" s="532" t="n">
        <f aca="false">N9*M9</f>
        <v>160.2</v>
      </c>
      <c r="Q9" s="532"/>
      <c r="R9" s="363" t="str">
        <f aca="false">R8</f>
        <v>BRANCO</v>
      </c>
      <c r="S9" s="96" t="n">
        <v>6000</v>
      </c>
      <c r="T9" s="439" t="n">
        <f aca="false">N30*0.534/1000</f>
        <v>0.772164</v>
      </c>
      <c r="U9" s="439" t="n">
        <f aca="false">M9*3.204</f>
        <v>3.204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1" t="s">
        <v>543</v>
      </c>
      <c r="L10" s="400" t="n">
        <f aca="false">L8</f>
        <v>1</v>
      </c>
      <c r="M10" s="91" t="n">
        <f aca="false">M8</f>
        <v>1</v>
      </c>
      <c r="N10" s="267" t="n">
        <f aca="false">0.989*6*K13</f>
        <v>296.7</v>
      </c>
      <c r="O10" s="267"/>
      <c r="P10" s="532" t="n">
        <f aca="false">N10*M10</f>
        <v>296.7</v>
      </c>
      <c r="Q10" s="532"/>
      <c r="R10" s="363" t="str">
        <f aca="false">R8</f>
        <v>BRANCO</v>
      </c>
      <c r="S10" s="96" t="n">
        <v>6000</v>
      </c>
      <c r="T10" s="439" t="n">
        <f aca="false">N30*0.989/1000</f>
        <v>1.430094</v>
      </c>
      <c r="U10" s="439" t="n">
        <f aca="false">M10*5.934</f>
        <v>5.934</v>
      </c>
    </row>
    <row r="11" customFormat="false" ht="25.5" hidden="false" customHeight="true" outlineLevel="0" collapsed="false">
      <c r="A11" s="50" t="s">
        <v>715</v>
      </c>
      <c r="B11" s="633" t="s">
        <v>187</v>
      </c>
      <c r="C11" s="633"/>
      <c r="D11" s="633"/>
      <c r="E11" s="15" t="n">
        <f aca="false">D7*1</f>
        <v>2</v>
      </c>
      <c r="F11" s="69" t="n">
        <f aca="false">B7</f>
        <v>1000</v>
      </c>
      <c r="G11" s="69"/>
      <c r="H11" s="72" t="s">
        <v>17</v>
      </c>
      <c r="I11" s="72"/>
      <c r="J11" s="72" t="s">
        <v>33</v>
      </c>
      <c r="K11" s="53"/>
      <c r="L11" s="644"/>
      <c r="M11" s="404"/>
      <c r="N11" s="405"/>
      <c r="O11" s="405"/>
      <c r="P11" s="656"/>
      <c r="Q11" s="656"/>
      <c r="R11" s="383"/>
      <c r="S11" s="383"/>
      <c r="T11" s="402"/>
      <c r="U11" s="402"/>
    </row>
    <row r="12" customFormat="false" ht="25.5" hidden="false" customHeight="true" outlineLevel="0" collapsed="false">
      <c r="A12" s="116" t="s">
        <v>715</v>
      </c>
      <c r="B12" s="293" t="s">
        <v>192</v>
      </c>
      <c r="C12" s="293"/>
      <c r="D12" s="293"/>
      <c r="E12" s="24" t="n">
        <f aca="false">D7*2</f>
        <v>4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/>
      <c r="S12" s="422" t="s">
        <v>130</v>
      </c>
      <c r="T12" s="422"/>
      <c r="U12" s="402" t="n">
        <f aca="false">T3+T4+T5+T6+T7+T8+T9+T10</f>
        <v>37.4218235</v>
      </c>
    </row>
    <row r="13" customFormat="false" ht="25.5" hidden="false" customHeight="true" outlineLevel="0" collapsed="false">
      <c r="A13" s="116" t="s">
        <v>716</v>
      </c>
      <c r="B13" s="293" t="s">
        <v>281</v>
      </c>
      <c r="C13" s="293"/>
      <c r="D13" s="293"/>
      <c r="E13" s="24" t="n">
        <f aca="false">D7*4</f>
        <v>8</v>
      </c>
      <c r="F13" s="97" t="n">
        <f aca="false">C7-40</f>
        <v>2060</v>
      </c>
      <c r="G13" s="97"/>
      <c r="H13" s="83" t="s">
        <v>17</v>
      </c>
      <c r="I13" s="83"/>
      <c r="J13" s="83" t="s">
        <v>42</v>
      </c>
      <c r="K13" s="410" t="n">
        <v>50</v>
      </c>
      <c r="L13" s="410" t="n">
        <v>100</v>
      </c>
      <c r="M13" s="490" t="n">
        <f aca="false">U12*L13</f>
        <v>3742.18235</v>
      </c>
      <c r="N13" s="490"/>
      <c r="O13" s="303" t="n">
        <v>0.6</v>
      </c>
      <c r="P13" s="491" t="n">
        <f aca="false">K17*O13+K17</f>
        <v>2993.74588</v>
      </c>
      <c r="Q13" s="491"/>
      <c r="R13" s="491"/>
      <c r="S13" s="181" t="s">
        <v>131</v>
      </c>
      <c r="T13" s="181"/>
      <c r="U13" s="409" t="n">
        <f aca="false">U3+U4+U5+U6+U7+U8+U9+U10</f>
        <v>55.11</v>
      </c>
    </row>
    <row r="14" customFormat="false" ht="25.5" hidden="false" customHeight="true" outlineLevel="0" collapsed="false">
      <c r="A14" s="116" t="s">
        <v>714</v>
      </c>
      <c r="B14" s="279" t="s">
        <v>604</v>
      </c>
      <c r="C14" s="279"/>
      <c r="D14" s="279"/>
      <c r="E14" s="24" t="n">
        <f aca="false">D7*2</f>
        <v>4</v>
      </c>
      <c r="F14" s="24" t="n">
        <f aca="false">(B7-277)/2</f>
        <v>361.5</v>
      </c>
      <c r="G14" s="24"/>
      <c r="H14" s="83" t="s">
        <v>17</v>
      </c>
      <c r="I14" s="83"/>
      <c r="J14" s="83" t="s">
        <v>42</v>
      </c>
      <c r="K14" s="73" t="s">
        <v>195</v>
      </c>
      <c r="L14" s="73"/>
      <c r="M14" s="423"/>
      <c r="N14" s="424"/>
      <c r="O14" s="296"/>
      <c r="P14" s="296"/>
      <c r="Q14" s="425"/>
      <c r="R14" s="425"/>
      <c r="S14" s="73" t="s">
        <v>132</v>
      </c>
      <c r="T14" s="73"/>
      <c r="U14" s="402" t="n">
        <f aca="false">U13-U12</f>
        <v>17.6881765</v>
      </c>
    </row>
    <row r="15" customFormat="false" ht="25.5" hidden="false" customHeight="true" outlineLevel="0" collapsed="false">
      <c r="A15" s="161" t="s">
        <v>543</v>
      </c>
      <c r="B15" s="279" t="s">
        <v>712</v>
      </c>
      <c r="C15" s="279"/>
      <c r="D15" s="279"/>
      <c r="E15" s="46" t="n">
        <f aca="false">D7*2</f>
        <v>4</v>
      </c>
      <c r="F15" s="24" t="n">
        <f aca="false">F14</f>
        <v>361.5</v>
      </c>
      <c r="G15" s="24"/>
      <c r="H15" s="434" t="s">
        <v>17</v>
      </c>
      <c r="I15" s="434"/>
      <c r="J15" s="83" t="s">
        <v>42</v>
      </c>
      <c r="K15" s="84" t="n">
        <f aca="false">U13*K13</f>
        <v>2755.5</v>
      </c>
      <c r="L15" s="84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116" t="s">
        <v>188</v>
      </c>
      <c r="B16" s="293" t="s">
        <v>203</v>
      </c>
      <c r="C16" s="293"/>
      <c r="D16" s="293"/>
      <c r="E16" s="24" t="n">
        <f aca="false">D7*8</f>
        <v>16</v>
      </c>
      <c r="F16" s="24" t="n">
        <f aca="false">(B7-289)/2</f>
        <v>355.5</v>
      </c>
      <c r="G16" s="24"/>
      <c r="H16" s="83" t="s">
        <v>17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116" t="s">
        <v>188</v>
      </c>
      <c r="B17" s="293" t="s">
        <v>203</v>
      </c>
      <c r="C17" s="293"/>
      <c r="D17" s="293"/>
      <c r="E17" s="24" t="n">
        <f aca="false">D7*8</f>
        <v>16</v>
      </c>
      <c r="F17" s="97" t="n">
        <f aca="false">((C7-250)/2)</f>
        <v>925</v>
      </c>
      <c r="G17" s="97"/>
      <c r="H17" s="83" t="s">
        <v>18</v>
      </c>
      <c r="I17" s="83"/>
      <c r="J17" s="83" t="s">
        <v>42</v>
      </c>
      <c r="K17" s="84" t="n">
        <f aca="false">U12*K13</f>
        <v>1871.091175</v>
      </c>
      <c r="L17" s="84"/>
    </row>
    <row r="18" customFormat="false" ht="25.5" hidden="false" customHeight="true" outlineLevel="0" collapsed="false">
      <c r="A18" s="116" t="s">
        <v>652</v>
      </c>
      <c r="B18" s="293" t="s">
        <v>624</v>
      </c>
      <c r="C18" s="293"/>
      <c r="D18" s="293"/>
      <c r="E18" s="24" t="n">
        <f aca="false">C7/64*D7*2</f>
        <v>131.25</v>
      </c>
      <c r="F18" s="24" t="n">
        <f aca="false">(B7-291)/2</f>
        <v>354.5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116" t="s">
        <v>626</v>
      </c>
      <c r="B19" s="293" t="s">
        <v>248</v>
      </c>
      <c r="C19" s="293"/>
      <c r="D19" s="293"/>
      <c r="E19" s="46" t="n">
        <f aca="false">D7*2</f>
        <v>4</v>
      </c>
      <c r="F19" s="24" t="n">
        <f aca="false">F15</f>
        <v>361.5</v>
      </c>
      <c r="G19" s="24"/>
      <c r="H19" s="83" t="s">
        <v>17</v>
      </c>
      <c r="I19" s="83"/>
      <c r="J19" s="83" t="s">
        <v>42</v>
      </c>
    </row>
    <row r="20" customFormat="false" ht="22.5" hidden="false" customHeight="true" outlineLevel="0" collapsed="false">
      <c r="A20" s="116" t="s">
        <v>717</v>
      </c>
      <c r="B20" s="503" t="s">
        <v>718</v>
      </c>
      <c r="C20" s="503"/>
      <c r="D20" s="503"/>
      <c r="E20" s="504" t="n">
        <f aca="false">D7*2</f>
        <v>4</v>
      </c>
      <c r="F20" s="246" t="n">
        <f aca="false">C7-40</f>
        <v>2060</v>
      </c>
      <c r="G20" s="246"/>
      <c r="H20" s="103" t="s">
        <v>18</v>
      </c>
      <c r="I20" s="103"/>
      <c r="J20" s="103" t="s">
        <v>42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16400</v>
      </c>
      <c r="J25" s="28"/>
      <c r="K25" s="93"/>
      <c r="L25" s="124"/>
      <c r="M25" s="93"/>
      <c r="N25" s="93"/>
      <c r="O25" s="93"/>
      <c r="P25" s="93"/>
      <c r="Q25" s="93"/>
      <c r="R25" s="93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f aca="false">D7*34</f>
        <v>68</v>
      </c>
      <c r="J26" s="28"/>
      <c r="K26" s="93"/>
      <c r="L26" s="124"/>
      <c r="M26" s="93"/>
      <c r="N26" s="93"/>
      <c r="O26" s="93"/>
      <c r="P26" s="93"/>
      <c r="Q26" s="93"/>
      <c r="R26" s="93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f aca="false">D7*6</f>
        <v>12</v>
      </c>
      <c r="J27" s="28"/>
      <c r="K27" s="93"/>
      <c r="L27" s="124"/>
      <c r="M27" s="93"/>
      <c r="N27" s="93"/>
      <c r="O27" s="93"/>
      <c r="P27" s="93"/>
      <c r="Q27" s="93"/>
      <c r="R27" s="93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(C7*2)*D7</f>
        <v>8400</v>
      </c>
      <c r="J28" s="28"/>
      <c r="K28" s="124"/>
      <c r="L28" s="496"/>
      <c r="M28" s="93"/>
      <c r="N28" s="93"/>
      <c r="O28" s="93"/>
      <c r="P28" s="93"/>
      <c r="Q28" s="93"/>
      <c r="R28" s="93"/>
    </row>
    <row r="29" customFormat="false" ht="17.25" hidden="false" customHeight="true" outlineLevel="0" collapsed="false">
      <c r="A29" s="493" t="s">
        <v>550</v>
      </c>
      <c r="B29" s="419" t="s">
        <v>340</v>
      </c>
      <c r="C29" s="419"/>
      <c r="D29" s="419"/>
      <c r="E29" s="419"/>
      <c r="F29" s="419"/>
      <c r="G29" s="120" t="s">
        <v>64</v>
      </c>
      <c r="H29" s="120"/>
      <c r="I29" s="28" t="n">
        <f aca="false">D7*10</f>
        <v>20</v>
      </c>
      <c r="J29" s="28"/>
      <c r="K29" s="108"/>
      <c r="L29" s="414"/>
      <c r="M29" s="109"/>
      <c r="N29" s="109"/>
      <c r="O29" s="109"/>
      <c r="P29" s="109"/>
      <c r="Q29" s="93"/>
      <c r="R29" s="93"/>
    </row>
    <row r="30" customFormat="false" ht="17.25" hidden="false" customHeight="true" outlineLevel="0" collapsed="false">
      <c r="A30" s="493" t="s">
        <v>726</v>
      </c>
      <c r="B30" s="419" t="s">
        <v>727</v>
      </c>
      <c r="C30" s="419"/>
      <c r="D30" s="419"/>
      <c r="E30" s="419"/>
      <c r="F30" s="419"/>
      <c r="G30" s="120" t="s">
        <v>64</v>
      </c>
      <c r="H30" s="120"/>
      <c r="I30" s="28" t="n">
        <f aca="false">D7*2</f>
        <v>4</v>
      </c>
      <c r="J30" s="28"/>
      <c r="K30" s="651" t="n">
        <f aca="false">E11*F11+E12*F12</f>
        <v>10400</v>
      </c>
      <c r="L30" s="652" t="s">
        <v>728</v>
      </c>
      <c r="M30" s="109"/>
      <c r="N30" s="109" t="n">
        <f aca="false">F14*E14</f>
        <v>1446</v>
      </c>
      <c r="O30" s="109" t="n">
        <v>110</v>
      </c>
      <c r="P30" s="109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 t="s">
        <v>729</v>
      </c>
      <c r="B31" s="419" t="s">
        <v>730</v>
      </c>
      <c r="C31" s="419"/>
      <c r="D31" s="419"/>
      <c r="E31" s="419"/>
      <c r="F31" s="419"/>
      <c r="G31" s="120" t="s">
        <v>64</v>
      </c>
      <c r="H31" s="120"/>
      <c r="I31" s="28" t="n">
        <f aca="false">D7*10</f>
        <v>20</v>
      </c>
      <c r="J31" s="28"/>
      <c r="K31" s="651" t="n">
        <f aca="false">F13*E13+E14*F14</f>
        <v>17926</v>
      </c>
      <c r="L31" s="652" t="s">
        <v>731</v>
      </c>
      <c r="M31" s="109"/>
      <c r="N31" s="109"/>
      <c r="O31" s="109"/>
      <c r="P31" s="109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 t="s">
        <v>527</v>
      </c>
      <c r="B32" s="419" t="s">
        <v>238</v>
      </c>
      <c r="C32" s="419"/>
      <c r="D32" s="419"/>
      <c r="E32" s="419"/>
      <c r="F32" s="419"/>
      <c r="G32" s="120" t="s">
        <v>46</v>
      </c>
      <c r="H32" s="120"/>
      <c r="I32" s="28" t="n">
        <f aca="false">(B7*4)*D7</f>
        <v>8000</v>
      </c>
      <c r="J32" s="28"/>
      <c r="K32" s="651" t="n">
        <f aca="false">F20*E20</f>
        <v>8240</v>
      </c>
      <c r="L32" s="652" t="s">
        <v>732</v>
      </c>
      <c r="M32" s="109"/>
      <c r="N32" s="109"/>
      <c r="O32" s="109"/>
      <c r="P32" s="109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20488</v>
      </c>
      <c r="L33" s="652" t="s">
        <v>733</v>
      </c>
      <c r="M33" s="109"/>
      <c r="N33" s="109"/>
      <c r="O33" s="109"/>
      <c r="P33" s="109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3" t="n">
        <f aca="false">E18*F18</f>
        <v>46528.125</v>
      </c>
      <c r="L34" s="652" t="s">
        <v>734</v>
      </c>
      <c r="M34" s="109"/>
      <c r="N34" s="109"/>
      <c r="O34" s="109"/>
      <c r="P34" s="109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F19*E19</f>
        <v>1446</v>
      </c>
      <c r="L35" s="652" t="s">
        <v>128</v>
      </c>
      <c r="M35" s="109"/>
      <c r="N35" s="109"/>
      <c r="O35" s="109"/>
      <c r="P35" s="109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516" t="n">
        <f aca="false">ROUNDUP(K34,0)</f>
        <v>46529</v>
      </c>
      <c r="L36" s="414"/>
      <c r="M36" s="109"/>
      <c r="N36" s="109"/>
      <c r="O36" s="109"/>
      <c r="P36" s="109"/>
      <c r="Q36" s="93"/>
      <c r="R36" s="93"/>
      <c r="S36" s="93"/>
      <c r="T36" s="93"/>
      <c r="U36" s="93"/>
    </row>
  </sheetData>
  <mergeCells count="13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R12"/>
    <mergeCell ref="S12:T12"/>
    <mergeCell ref="B13:D13"/>
    <mergeCell ref="F13:G13"/>
    <mergeCell ref="H13:I13"/>
    <mergeCell ref="M13:N13"/>
    <mergeCell ref="P13:R13"/>
    <mergeCell ref="S13:T13"/>
    <mergeCell ref="B14:D14"/>
    <mergeCell ref="F14:G14"/>
    <mergeCell ref="H14:I14"/>
    <mergeCell ref="K14:L14"/>
    <mergeCell ref="Q14:R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736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641" t="str">
        <f aca="false">A11</f>
        <v>SU-279</v>
      </c>
      <c r="L3" s="394" t="n">
        <f aca="false">IF(K30&gt;6000,K30/6000,1)</f>
        <v>1</v>
      </c>
      <c r="M3" s="395" t="n">
        <f aca="false">ROUNDUP(L3,0)</f>
        <v>1</v>
      </c>
      <c r="N3" s="260" t="n">
        <f aca="false">0.565*6*K13</f>
        <v>169.5</v>
      </c>
      <c r="O3" s="260"/>
      <c r="P3" s="530" t="n">
        <f aca="false">N3*M3</f>
        <v>169.5</v>
      </c>
      <c r="Q3" s="530"/>
      <c r="R3" s="397" t="str">
        <f aca="false">F5</f>
        <v>BRANCO</v>
      </c>
      <c r="S3" s="397" t="n">
        <v>6000</v>
      </c>
      <c r="T3" s="440" t="n">
        <f aca="false">K30*0.565/1000</f>
        <v>2.7685</v>
      </c>
      <c r="U3" s="440" t="n">
        <f aca="false">M3*3.39</f>
        <v>3.39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41" t="str">
        <f aca="false">A13</f>
        <v>SU-111</v>
      </c>
      <c r="L4" s="400" t="n">
        <f aca="false">IF(K31&gt;6000,K31/6000,1)</f>
        <v>1</v>
      </c>
      <c r="M4" s="91" t="n">
        <f aca="false">ROUNDUP(L4,0)</f>
        <v>1</v>
      </c>
      <c r="N4" s="267" t="n">
        <f aca="false">0.64*6*K13</f>
        <v>192</v>
      </c>
      <c r="O4" s="267"/>
      <c r="P4" s="532" t="n">
        <f aca="false">N4*M4</f>
        <v>192</v>
      </c>
      <c r="Q4" s="532"/>
      <c r="R4" s="96" t="str">
        <f aca="false">F5</f>
        <v>BRANCO</v>
      </c>
      <c r="S4" s="96" t="n">
        <v>6000</v>
      </c>
      <c r="T4" s="439" t="n">
        <f aca="false">K31*0.64/1000</f>
        <v>3.4432</v>
      </c>
      <c r="U4" s="439" t="n">
        <f aca="false">M4*3.84</f>
        <v>3.84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41" t="str">
        <f aca="false">A15</f>
        <v>SU-548</v>
      </c>
      <c r="L5" s="400" t="n">
        <f aca="false">IF(K32&gt;6000,K32/6000,1)</f>
        <v>1</v>
      </c>
      <c r="M5" s="91" t="n">
        <f aca="false">ROUNDUP(L5,0)</f>
        <v>1</v>
      </c>
      <c r="N5" s="267" t="n">
        <f aca="false">0.283*6*K13</f>
        <v>84.9</v>
      </c>
      <c r="O5" s="267"/>
      <c r="P5" s="532" t="n">
        <f aca="false">N5*M5</f>
        <v>84.9</v>
      </c>
      <c r="Q5" s="532"/>
      <c r="R5" s="96" t="str">
        <f aca="false">F5</f>
        <v>BRANCO</v>
      </c>
      <c r="S5" s="96" t="n">
        <v>6000</v>
      </c>
      <c r="T5" s="439" t="n">
        <f aca="false">K32*0.283/1000</f>
        <v>0.581565</v>
      </c>
      <c r="U5" s="439" t="n">
        <f aca="false">M5*1.698</f>
        <v>1.698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41" t="str">
        <f aca="false">A16</f>
        <v>SU-102</v>
      </c>
      <c r="L6" s="400" t="n">
        <f aca="false">IF(K33&gt;6000,K33/6000,1)</f>
        <v>1</v>
      </c>
      <c r="M6" s="91" t="n">
        <f aca="false">ROUNDUP(L6,0)</f>
        <v>1</v>
      </c>
      <c r="N6" s="267" t="n">
        <f aca="false">0.111*6*K13</f>
        <v>33.3</v>
      </c>
      <c r="O6" s="267"/>
      <c r="P6" s="532" t="n">
        <f aca="false">N6*M6</f>
        <v>33.3</v>
      </c>
      <c r="Q6" s="532"/>
      <c r="R6" s="96" t="str">
        <f aca="false">F5</f>
        <v>BRANCO</v>
      </c>
      <c r="S6" s="96" t="n">
        <v>6000</v>
      </c>
      <c r="T6" s="439" t="n">
        <f aca="false">K33*0.111/1000</f>
        <v>0.638028</v>
      </c>
      <c r="U6" s="439" t="n">
        <f aca="false">M6*0.666</f>
        <v>0.666</v>
      </c>
    </row>
    <row r="7" customFormat="false" ht="27" hidden="false" customHeight="true" outlineLevel="0" collapsed="false">
      <c r="A7" s="271" t="n">
        <v>700</v>
      </c>
      <c r="B7" s="272" t="n">
        <v>700</v>
      </c>
      <c r="C7" s="272" t="n">
        <v>2100</v>
      </c>
      <c r="D7" s="272" t="n">
        <v>1</v>
      </c>
      <c r="E7" s="276" t="n">
        <f aca="false">(B7*C7)/10^6</f>
        <v>1.47</v>
      </c>
      <c r="F7" s="276"/>
      <c r="G7" s="270"/>
      <c r="H7" s="270"/>
      <c r="I7" s="270"/>
      <c r="J7" s="270"/>
      <c r="K7" s="41" t="str">
        <f aca="false">A18</f>
        <v>US-294</v>
      </c>
      <c r="L7" s="400" t="n">
        <f aca="false">IF(K34&gt;6000,K34/6000,1)</f>
        <v>1.40807692307692</v>
      </c>
      <c r="M7" s="91" t="n">
        <f aca="false">ROUNDUP(L7,0)</f>
        <v>2</v>
      </c>
      <c r="N7" s="266" t="n">
        <f aca="false">0.268*6*K13</f>
        <v>80.4</v>
      </c>
      <c r="O7" s="266"/>
      <c r="P7" s="532" t="n">
        <f aca="false">N7*M7</f>
        <v>160.8</v>
      </c>
      <c r="Q7" s="532"/>
      <c r="R7" s="96" t="str">
        <f aca="false">F5</f>
        <v>BRANCO</v>
      </c>
      <c r="S7" s="96" t="n">
        <v>6000</v>
      </c>
      <c r="T7" s="439" t="n">
        <f aca="false">K34*0.268/1000</f>
        <v>2.26418769230769</v>
      </c>
      <c r="U7" s="439" t="n">
        <f aca="false">M7*1.608</f>
        <v>3.216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1029</v>
      </c>
      <c r="D8" s="274"/>
      <c r="E8" s="20" t="s">
        <v>16</v>
      </c>
      <c r="F8" s="39" t="n">
        <f aca="false">D7*1</f>
        <v>1</v>
      </c>
      <c r="G8" s="270"/>
      <c r="H8" s="270"/>
      <c r="I8" s="270"/>
      <c r="J8" s="270"/>
      <c r="K8" s="41" t="s">
        <v>737</v>
      </c>
      <c r="L8" s="400" t="n">
        <f aca="false">IF(K35&gt;6000,K35/6000,1)</f>
        <v>1</v>
      </c>
      <c r="M8" s="91" t="n">
        <f aca="false">ROUNDUP(L8,0)</f>
        <v>1</v>
      </c>
      <c r="N8" s="267" t="n">
        <f aca="false">0.921*6*K13</f>
        <v>276.3</v>
      </c>
      <c r="O8" s="267"/>
      <c r="P8" s="532" t="n">
        <f aca="false">N8*M8</f>
        <v>276.3</v>
      </c>
      <c r="Q8" s="532"/>
      <c r="R8" s="96" t="str">
        <f aca="false">F5</f>
        <v>BRANCO</v>
      </c>
      <c r="S8" s="96" t="n">
        <v>6000</v>
      </c>
      <c r="T8" s="439" t="n">
        <f aca="false">K35*0.921/1000</f>
        <v>0.490893</v>
      </c>
      <c r="U8" s="439" t="n">
        <f aca="false">M8*5.526</f>
        <v>5.526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1029</v>
      </c>
      <c r="D9" s="275"/>
      <c r="E9" s="389" t="n">
        <f aca="false">B7-172</f>
        <v>528</v>
      </c>
      <c r="F9" s="390" t="n">
        <f aca="false">(C7-255)/2</f>
        <v>922.5</v>
      </c>
      <c r="G9" s="270"/>
      <c r="H9" s="270"/>
      <c r="I9" s="270"/>
      <c r="J9" s="270"/>
      <c r="K9" s="207"/>
      <c r="L9" s="657"/>
      <c r="M9" s="91"/>
      <c r="N9" s="267"/>
      <c r="O9" s="267"/>
      <c r="P9" s="532"/>
      <c r="Q9" s="532"/>
      <c r="R9" s="363"/>
      <c r="S9" s="96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52"/>
      <c r="L10" s="657"/>
      <c r="M10" s="91"/>
      <c r="N10" s="267"/>
      <c r="O10" s="267"/>
      <c r="P10" s="532"/>
      <c r="Q10" s="532"/>
      <c r="R10" s="363"/>
      <c r="S10" s="96"/>
      <c r="T10" s="399"/>
      <c r="U10" s="399"/>
    </row>
    <row r="11" customFormat="false" ht="25.5" hidden="false" customHeight="true" outlineLevel="0" collapsed="false">
      <c r="A11" s="67" t="s">
        <v>715</v>
      </c>
      <c r="B11" s="633" t="s">
        <v>187</v>
      </c>
      <c r="C11" s="633"/>
      <c r="D11" s="633"/>
      <c r="E11" s="15" t="n">
        <f aca="false">D7*1</f>
        <v>1</v>
      </c>
      <c r="F11" s="69" t="n">
        <f aca="false">B7</f>
        <v>700</v>
      </c>
      <c r="G11" s="69"/>
      <c r="H11" s="72" t="s">
        <v>17</v>
      </c>
      <c r="I11" s="72"/>
      <c r="J11" s="72" t="s">
        <v>33</v>
      </c>
      <c r="K11" s="53"/>
      <c r="L11" s="644"/>
      <c r="M11" s="404"/>
      <c r="N11" s="405"/>
      <c r="O11" s="405"/>
      <c r="P11" s="656"/>
      <c r="Q11" s="656"/>
      <c r="R11" s="383"/>
      <c r="S11" s="383"/>
      <c r="T11" s="402"/>
      <c r="U11" s="402"/>
    </row>
    <row r="12" customFormat="false" ht="25.5" hidden="false" customHeight="true" outlineLevel="0" collapsed="false">
      <c r="A12" s="79" t="s">
        <v>715</v>
      </c>
      <c r="B12" s="293" t="s">
        <v>192</v>
      </c>
      <c r="C12" s="293"/>
      <c r="D12" s="293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/>
      <c r="S12" s="422" t="s">
        <v>130</v>
      </c>
      <c r="T12" s="422"/>
      <c r="U12" s="402" t="n">
        <f aca="false">T3+T4+T5+T6+T7+T8</f>
        <v>10.1863736923077</v>
      </c>
    </row>
    <row r="13" customFormat="false" ht="25.5" hidden="false" customHeight="true" outlineLevel="0" collapsed="false">
      <c r="A13" s="79" t="s">
        <v>716</v>
      </c>
      <c r="B13" s="293" t="s">
        <v>281</v>
      </c>
      <c r="C13" s="293"/>
      <c r="D13" s="293"/>
      <c r="E13" s="24" t="n">
        <f aca="false">D7*2</f>
        <v>2</v>
      </c>
      <c r="F13" s="97" t="n">
        <f aca="false">B7-65</f>
        <v>635</v>
      </c>
      <c r="G13" s="97"/>
      <c r="H13" s="83" t="s">
        <v>17</v>
      </c>
      <c r="I13" s="83"/>
      <c r="J13" s="83" t="s">
        <v>33</v>
      </c>
      <c r="K13" s="410" t="n">
        <v>50</v>
      </c>
      <c r="L13" s="410" t="n">
        <v>80</v>
      </c>
      <c r="M13" s="491" t="n">
        <f aca="false">U12*L13</f>
        <v>814.909895384616</v>
      </c>
      <c r="N13" s="491"/>
      <c r="O13" s="303" t="n">
        <v>0.6</v>
      </c>
      <c r="P13" s="491" t="n">
        <f aca="false">K17*O13+K17</f>
        <v>814.909895384615</v>
      </c>
      <c r="Q13" s="491"/>
      <c r="R13" s="491"/>
      <c r="S13" s="181" t="s">
        <v>131</v>
      </c>
      <c r="T13" s="181"/>
      <c r="U13" s="409" t="n">
        <f aca="false">U3+U4+U5+U6+U7+U8</f>
        <v>18.336</v>
      </c>
    </row>
    <row r="14" customFormat="false" ht="25.5" hidden="false" customHeight="true" outlineLevel="0" collapsed="false">
      <c r="A14" s="79" t="s">
        <v>716</v>
      </c>
      <c r="B14" s="293" t="s">
        <v>281</v>
      </c>
      <c r="C14" s="293"/>
      <c r="D14" s="293"/>
      <c r="E14" s="24" t="n">
        <f aca="false">D7*2</f>
        <v>2</v>
      </c>
      <c r="F14" s="97" t="n">
        <f aca="false">C7-45</f>
        <v>2055</v>
      </c>
      <c r="G14" s="97"/>
      <c r="H14" s="83" t="s">
        <v>18</v>
      </c>
      <c r="I14" s="83"/>
      <c r="J14" s="83" t="s">
        <v>33</v>
      </c>
      <c r="K14" s="73" t="s">
        <v>195</v>
      </c>
      <c r="L14" s="73"/>
      <c r="M14" s="296"/>
      <c r="N14" s="296"/>
      <c r="O14" s="296"/>
      <c r="P14" s="296"/>
      <c r="Q14" s="296"/>
      <c r="R14" s="296"/>
      <c r="S14" s="73" t="s">
        <v>132</v>
      </c>
      <c r="T14" s="73"/>
      <c r="U14" s="402" t="n">
        <f aca="false">U13-U12</f>
        <v>8.14962630769231</v>
      </c>
    </row>
    <row r="15" customFormat="false" ht="25.5" hidden="false" customHeight="true" outlineLevel="0" collapsed="false">
      <c r="A15" s="79" t="s">
        <v>717</v>
      </c>
      <c r="B15" s="293" t="s">
        <v>718</v>
      </c>
      <c r="C15" s="293"/>
      <c r="D15" s="293"/>
      <c r="E15" s="24" t="n">
        <f aca="false">D7*1</f>
        <v>1</v>
      </c>
      <c r="F15" s="97" t="n">
        <f aca="false">C7-45</f>
        <v>2055</v>
      </c>
      <c r="G15" s="97"/>
      <c r="H15" s="83" t="s">
        <v>18</v>
      </c>
      <c r="I15" s="83"/>
      <c r="J15" s="83" t="s">
        <v>42</v>
      </c>
      <c r="K15" s="84" t="n">
        <f aca="false">U13*K13</f>
        <v>916.8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188</v>
      </c>
      <c r="B16" s="293" t="s">
        <v>203</v>
      </c>
      <c r="C16" s="293"/>
      <c r="D16" s="293"/>
      <c r="E16" s="24" t="n">
        <f aca="false">D7*4</f>
        <v>4</v>
      </c>
      <c r="F16" s="97" t="n">
        <f aca="false">B7-167</f>
        <v>533</v>
      </c>
      <c r="G16" s="97"/>
      <c r="H16" s="83" t="s">
        <v>17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79" t="s">
        <v>188</v>
      </c>
      <c r="B17" s="293" t="s">
        <v>203</v>
      </c>
      <c r="C17" s="293"/>
      <c r="D17" s="293"/>
      <c r="E17" s="24" t="n">
        <f aca="false">D7*4</f>
        <v>4</v>
      </c>
      <c r="F17" s="97" t="n">
        <f aca="false">((C7-292)/2)</f>
        <v>904</v>
      </c>
      <c r="G17" s="97"/>
      <c r="H17" s="83" t="s">
        <v>18</v>
      </c>
      <c r="I17" s="83"/>
      <c r="J17" s="83" t="s">
        <v>42</v>
      </c>
      <c r="K17" s="413" t="n">
        <f aca="false">U12*K13</f>
        <v>509.318684615385</v>
      </c>
      <c r="L17" s="413"/>
    </row>
    <row r="18" customFormat="false" ht="25.5" hidden="false" customHeight="true" outlineLevel="0" collapsed="false">
      <c r="A18" s="79" t="s">
        <v>652</v>
      </c>
      <c r="B18" s="293" t="s">
        <v>624</v>
      </c>
      <c r="C18" s="293"/>
      <c r="D18" s="293"/>
      <c r="E18" s="24" t="n">
        <f aca="false">C7/130*D7</f>
        <v>16.1538461538462</v>
      </c>
      <c r="F18" s="24" t="n">
        <f aca="false">B7-177</f>
        <v>523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 t="s">
        <v>737</v>
      </c>
      <c r="B19" s="293" t="s">
        <v>248</v>
      </c>
      <c r="C19" s="293"/>
      <c r="D19" s="293"/>
      <c r="E19" s="46" t="n">
        <f aca="false">D7*1</f>
        <v>1</v>
      </c>
      <c r="F19" s="24" t="n">
        <f aca="false">B7-167</f>
        <v>533</v>
      </c>
      <c r="G19" s="24"/>
      <c r="H19" s="83" t="s">
        <v>17</v>
      </c>
      <c r="I19" s="83"/>
      <c r="J19" s="83" t="s">
        <v>42</v>
      </c>
    </row>
    <row r="20" customFormat="false" ht="22.5" hidden="false" customHeight="true" outlineLevel="0" collapsed="false">
      <c r="A20" s="99"/>
      <c r="B20" s="503"/>
      <c r="C20" s="503"/>
      <c r="D20" s="503"/>
      <c r="E20" s="55"/>
      <c r="F20" s="246"/>
      <c r="G20" s="246"/>
      <c r="H20" s="103"/>
      <c r="I20" s="103"/>
      <c r="J20" s="103"/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7000</v>
      </c>
      <c r="J25" s="28"/>
      <c r="L25" s="130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v>4</v>
      </c>
      <c r="J26" s="28"/>
      <c r="L26" s="130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v>3</v>
      </c>
      <c r="J27" s="28"/>
      <c r="K27" s="109"/>
      <c r="L27" s="108"/>
      <c r="M27" s="109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C7*D7</f>
        <v>2100</v>
      </c>
      <c r="J28" s="28"/>
      <c r="K28" s="108"/>
      <c r="L28" s="414"/>
      <c r="M28" s="109"/>
    </row>
    <row r="29" customFormat="false" ht="17.25" hidden="false" customHeight="true" outlineLevel="0" collapsed="false">
      <c r="A29" s="493"/>
      <c r="B29" s="419"/>
      <c r="C29" s="419"/>
      <c r="D29" s="419"/>
      <c r="E29" s="419"/>
      <c r="F29" s="419"/>
      <c r="G29" s="120"/>
      <c r="H29" s="120"/>
      <c r="I29" s="28"/>
      <c r="J29" s="28"/>
      <c r="K29" s="108"/>
      <c r="L29" s="414"/>
      <c r="M29" s="109"/>
    </row>
    <row r="30" customFormat="false" ht="17.25" hidden="false" customHeight="true" outlineLevel="0" collapsed="false">
      <c r="A30" s="493"/>
      <c r="B30" s="419"/>
      <c r="C30" s="419"/>
      <c r="D30" s="419"/>
      <c r="E30" s="419"/>
      <c r="F30" s="419"/>
      <c r="G30" s="120"/>
      <c r="H30" s="120"/>
      <c r="I30" s="28"/>
      <c r="J30" s="28"/>
      <c r="K30" s="651" t="n">
        <f aca="false">E11*F11+E12*F12</f>
        <v>4900</v>
      </c>
      <c r="L30" s="652" t="s">
        <v>728</v>
      </c>
      <c r="M30" s="93"/>
      <c r="N30" s="93"/>
      <c r="O30" s="93"/>
      <c r="P30" s="93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/>
      <c r="B31" s="419"/>
      <c r="C31" s="419"/>
      <c r="D31" s="419"/>
      <c r="E31" s="419"/>
      <c r="F31" s="419"/>
      <c r="G31" s="120"/>
      <c r="H31" s="120"/>
      <c r="I31" s="28"/>
      <c r="J31" s="28"/>
      <c r="K31" s="651" t="n">
        <f aca="false">F13*E13+E14*F14</f>
        <v>5380</v>
      </c>
      <c r="L31" s="652" t="s">
        <v>731</v>
      </c>
      <c r="M31" s="93"/>
      <c r="N31" s="93"/>
      <c r="O31" s="93"/>
      <c r="P31" s="93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/>
      <c r="B32" s="419"/>
      <c r="C32" s="419"/>
      <c r="D32" s="419"/>
      <c r="E32" s="419"/>
      <c r="F32" s="419"/>
      <c r="G32" s="120"/>
      <c r="H32" s="120"/>
      <c r="I32" s="28"/>
      <c r="J32" s="28"/>
      <c r="K32" s="651" t="n">
        <f aca="false">F15*E15</f>
        <v>2055</v>
      </c>
      <c r="L32" s="652" t="s">
        <v>732</v>
      </c>
      <c r="M32" s="93"/>
      <c r="N32" s="93"/>
      <c r="O32" s="93"/>
      <c r="P32" s="93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5748</v>
      </c>
      <c r="L33" s="652" t="s">
        <v>733</v>
      </c>
      <c r="M33" s="93"/>
      <c r="N33" s="93"/>
      <c r="O33" s="93"/>
      <c r="P33" s="93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8" t="n">
        <f aca="false">E18*F18</f>
        <v>8448.46153846154</v>
      </c>
      <c r="L34" s="652" t="s">
        <v>734</v>
      </c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F19*E19</f>
        <v>533</v>
      </c>
      <c r="L35" s="652" t="s">
        <v>128</v>
      </c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93"/>
      <c r="L36" s="496"/>
      <c r="M36" s="93"/>
      <c r="N36" s="93"/>
      <c r="O36" s="93"/>
      <c r="P36" s="93"/>
      <c r="Q36" s="93"/>
      <c r="R36" s="93"/>
      <c r="S36" s="93"/>
      <c r="T36" s="93"/>
      <c r="U36" s="93"/>
    </row>
  </sheetData>
  <mergeCells count="129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R12"/>
    <mergeCell ref="S12:T12"/>
    <mergeCell ref="B13:D13"/>
    <mergeCell ref="F13:G13"/>
    <mergeCell ref="H13:I13"/>
    <mergeCell ref="M13:N13"/>
    <mergeCell ref="P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738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641" t="str">
        <f aca="false">A11</f>
        <v>SU-279</v>
      </c>
      <c r="L3" s="394" t="n">
        <f aca="false">IF(K30&gt;6000,K30/6000,1)</f>
        <v>5</v>
      </c>
      <c r="M3" s="258" t="n">
        <f aca="false">ROUNDUP(L3,0)</f>
        <v>5</v>
      </c>
      <c r="N3" s="259" t="n">
        <f aca="false">0.565*6*K13</f>
        <v>169.5</v>
      </c>
      <c r="O3" s="259"/>
      <c r="P3" s="259" t="n">
        <f aca="false">N3*M3</f>
        <v>847.5</v>
      </c>
      <c r="Q3" s="259"/>
      <c r="R3" s="397" t="str">
        <f aca="false">F5</f>
        <v>BRANCO</v>
      </c>
      <c r="S3" s="397" t="n">
        <v>6000</v>
      </c>
      <c r="T3" s="440" t="n">
        <f aca="false">K30*0.565/1000</f>
        <v>16.95</v>
      </c>
      <c r="U3" s="440" t="n">
        <f aca="false">M3*3.39</f>
        <v>16.95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41" t="str">
        <f aca="false">A13</f>
        <v>SU-111</v>
      </c>
      <c r="L4" s="400" t="n">
        <f aca="false">IF(K31&gt;6000,K31/6000,1)</f>
        <v>5.58</v>
      </c>
      <c r="M4" s="154" t="n">
        <f aca="false">ROUNDUP(L4,0)</f>
        <v>6</v>
      </c>
      <c r="N4" s="266" t="n">
        <f aca="false">0.64*6*K13</f>
        <v>192</v>
      </c>
      <c r="O4" s="266"/>
      <c r="P4" s="266" t="n">
        <f aca="false">N4*M4</f>
        <v>1152</v>
      </c>
      <c r="Q4" s="266"/>
      <c r="R4" s="96" t="str">
        <f aca="false">F5</f>
        <v>BRANCO</v>
      </c>
      <c r="S4" s="96" t="n">
        <v>6000</v>
      </c>
      <c r="T4" s="439" t="n">
        <f aca="false">K31*0.64/1000</f>
        <v>21.4272</v>
      </c>
      <c r="U4" s="439" t="n">
        <f aca="false">M4*3.84</f>
        <v>23.04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41" t="str">
        <f aca="false">A15</f>
        <v>SU-548</v>
      </c>
      <c r="L5" s="400" t="n">
        <f aca="false">IF(K32&gt;6000,K32/6000,1)</f>
        <v>2.055</v>
      </c>
      <c r="M5" s="154" t="n">
        <f aca="false">ROUNDUP(L5,0)</f>
        <v>3</v>
      </c>
      <c r="N5" s="266" t="n">
        <f aca="false">0.283*6*K13</f>
        <v>84.9</v>
      </c>
      <c r="O5" s="266"/>
      <c r="P5" s="266" t="n">
        <f aca="false">N5*M5</f>
        <v>254.7</v>
      </c>
      <c r="Q5" s="266"/>
      <c r="R5" s="96" t="str">
        <f aca="false">F5</f>
        <v>BRANCO</v>
      </c>
      <c r="S5" s="96" t="n">
        <v>6000</v>
      </c>
      <c r="T5" s="439" t="n">
        <f aca="false">K32*0.283/1000</f>
        <v>3.48939</v>
      </c>
      <c r="U5" s="439" t="n">
        <f aca="false">M5*1.698</f>
        <v>5.094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41" t="str">
        <f aca="false">A16</f>
        <v>SU-102</v>
      </c>
      <c r="L6" s="400" t="n">
        <f aca="false">IF(K33&gt;6000,K33/6000,1)</f>
        <v>6.148</v>
      </c>
      <c r="M6" s="154" t="n">
        <f aca="false">ROUNDUP(L6,0)</f>
        <v>7</v>
      </c>
      <c r="N6" s="266" t="n">
        <f aca="false">0.111*6*K13</f>
        <v>33.3</v>
      </c>
      <c r="O6" s="266"/>
      <c r="P6" s="266" t="n">
        <f aca="false">N6*M6</f>
        <v>233.1</v>
      </c>
      <c r="Q6" s="266"/>
      <c r="R6" s="96" t="str">
        <f aca="false">F5</f>
        <v>BRANCO</v>
      </c>
      <c r="S6" s="96" t="n">
        <v>6000</v>
      </c>
      <c r="T6" s="439" t="n">
        <f aca="false">K33*0.111/1000</f>
        <v>4.094568</v>
      </c>
      <c r="U6" s="439" t="n">
        <f aca="false">M6*0.666</f>
        <v>4.662</v>
      </c>
    </row>
    <row r="7" customFormat="false" ht="27" hidden="false" customHeight="true" outlineLevel="0" collapsed="false">
      <c r="A7" s="271" t="n">
        <v>500</v>
      </c>
      <c r="B7" s="272" t="n">
        <v>800</v>
      </c>
      <c r="C7" s="272" t="n">
        <v>2100</v>
      </c>
      <c r="D7" s="272" t="n">
        <v>6</v>
      </c>
      <c r="E7" s="276" t="n">
        <f aca="false">(B7*C7)/10^6</f>
        <v>1.68</v>
      </c>
      <c r="F7" s="276"/>
      <c r="G7" s="270"/>
      <c r="H7" s="270"/>
      <c r="I7" s="270"/>
      <c r="J7" s="270"/>
      <c r="K7" s="41" t="s">
        <v>737</v>
      </c>
      <c r="L7" s="400" t="n">
        <f aca="false">IF(K35&gt;6000,K35/6000,1)</f>
        <v>1</v>
      </c>
      <c r="M7" s="154" t="n">
        <f aca="false">ROUNDUP(L7,0)</f>
        <v>1</v>
      </c>
      <c r="N7" s="266" t="n">
        <f aca="false">0.921*6*K13</f>
        <v>276.3</v>
      </c>
      <c r="O7" s="266"/>
      <c r="P7" s="266" t="n">
        <f aca="false">N7*M7</f>
        <v>276.3</v>
      </c>
      <c r="Q7" s="266"/>
      <c r="R7" s="96" t="str">
        <f aca="false">F5</f>
        <v>BRANCO</v>
      </c>
      <c r="S7" s="96" t="n">
        <v>6000</v>
      </c>
      <c r="T7" s="439" t="n">
        <f aca="false">K35*0.921/1000</f>
        <v>3.497958</v>
      </c>
      <c r="U7" s="439" t="n">
        <f aca="false">M7*5.526</f>
        <v>5.526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840</v>
      </c>
      <c r="D8" s="274"/>
      <c r="E8" s="20" t="s">
        <v>16</v>
      </c>
      <c r="F8" s="39" t="n">
        <f aca="false">D7*2</f>
        <v>12</v>
      </c>
      <c r="G8" s="270"/>
      <c r="H8" s="270"/>
      <c r="I8" s="270"/>
      <c r="J8" s="270"/>
      <c r="K8" s="52"/>
      <c r="L8" s="23"/>
      <c r="N8" s="52"/>
      <c r="O8" s="23"/>
      <c r="P8" s="52"/>
      <c r="Q8" s="23"/>
      <c r="R8" s="47"/>
      <c r="S8" s="47"/>
      <c r="T8" s="47"/>
      <c r="U8" s="47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5040</v>
      </c>
      <c r="D9" s="275"/>
      <c r="E9" s="389" t="n">
        <f aca="false">B7-172</f>
        <v>628</v>
      </c>
      <c r="F9" s="390" t="n">
        <f aca="false">(C7-255)/2</f>
        <v>922.5</v>
      </c>
      <c r="G9" s="270"/>
      <c r="H9" s="270"/>
      <c r="I9" s="270"/>
      <c r="J9" s="270"/>
      <c r="K9" s="207"/>
      <c r="L9" s="657"/>
      <c r="M9" s="154"/>
      <c r="N9" s="266"/>
      <c r="O9" s="266"/>
      <c r="P9" s="266"/>
      <c r="Q9" s="266"/>
      <c r="R9" s="363"/>
      <c r="S9" s="96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52"/>
      <c r="L10" s="657"/>
      <c r="M10" s="154"/>
      <c r="N10" s="266"/>
      <c r="O10" s="266"/>
      <c r="P10" s="266"/>
      <c r="Q10" s="266"/>
      <c r="R10" s="383"/>
      <c r="S10" s="290"/>
      <c r="T10" s="402"/>
      <c r="U10" s="402"/>
    </row>
    <row r="11" customFormat="false" ht="25.5" hidden="false" customHeight="true" outlineLevel="0" collapsed="false">
      <c r="A11" s="67" t="s">
        <v>715</v>
      </c>
      <c r="B11" s="659" t="s">
        <v>187</v>
      </c>
      <c r="C11" s="659"/>
      <c r="D11" s="659"/>
      <c r="E11" s="15" t="n">
        <f aca="false">D7*1</f>
        <v>6</v>
      </c>
      <c r="F11" s="156" t="n">
        <f aca="false">B7</f>
        <v>800</v>
      </c>
      <c r="G11" s="156"/>
      <c r="H11" s="72" t="s">
        <v>17</v>
      </c>
      <c r="I11" s="72"/>
      <c r="J11" s="72" t="s">
        <v>33</v>
      </c>
      <c r="K11" s="53"/>
      <c r="L11" s="644"/>
      <c r="M11" s="660"/>
      <c r="N11" s="406"/>
      <c r="O11" s="406"/>
      <c r="P11" s="406"/>
      <c r="Q11" s="406"/>
      <c r="R11" s="408"/>
      <c r="S11" s="408"/>
      <c r="T11" s="409"/>
      <c r="U11" s="409"/>
    </row>
    <row r="12" customFormat="false" ht="25.5" hidden="false" customHeight="true" outlineLevel="0" collapsed="false">
      <c r="A12" s="79" t="s">
        <v>715</v>
      </c>
      <c r="B12" s="661" t="s">
        <v>192</v>
      </c>
      <c r="C12" s="661"/>
      <c r="D12" s="661"/>
      <c r="E12" s="24" t="n">
        <f aca="false">D7*2</f>
        <v>12</v>
      </c>
      <c r="F12" s="157" t="n">
        <f aca="false">C7</f>
        <v>2100</v>
      </c>
      <c r="G12" s="157"/>
      <c r="H12" s="83" t="s">
        <v>18</v>
      </c>
      <c r="I12" s="83"/>
      <c r="J12" s="83" t="s">
        <v>245</v>
      </c>
      <c r="K12" s="646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/>
      <c r="S12" s="181" t="s">
        <v>130</v>
      </c>
      <c r="T12" s="181"/>
      <c r="U12" s="409" t="n">
        <f aca="false">T3+T4+T5+T6+T7</f>
        <v>49.459116</v>
      </c>
    </row>
    <row r="13" customFormat="false" ht="25.5" hidden="false" customHeight="true" outlineLevel="0" collapsed="false">
      <c r="A13" s="79" t="s">
        <v>716</v>
      </c>
      <c r="B13" s="661" t="s">
        <v>281</v>
      </c>
      <c r="C13" s="661"/>
      <c r="D13" s="661"/>
      <c r="E13" s="24" t="n">
        <f aca="false">D7*2</f>
        <v>12</v>
      </c>
      <c r="F13" s="157" t="n">
        <f aca="false">B7-65</f>
        <v>735</v>
      </c>
      <c r="G13" s="157"/>
      <c r="H13" s="83" t="s">
        <v>17</v>
      </c>
      <c r="I13" s="83"/>
      <c r="J13" s="83" t="s">
        <v>33</v>
      </c>
      <c r="K13" s="647" t="n">
        <v>50</v>
      </c>
      <c r="L13" s="410" t="n">
        <v>100</v>
      </c>
      <c r="M13" s="491" t="n">
        <f aca="false">U12*L13</f>
        <v>4945.9116</v>
      </c>
      <c r="N13" s="491"/>
      <c r="O13" s="303" t="n">
        <v>0.1</v>
      </c>
      <c r="P13" s="491" t="n">
        <f aca="false">K17*O13+K17</f>
        <v>2720.25138</v>
      </c>
      <c r="Q13" s="491"/>
      <c r="R13" s="491"/>
      <c r="S13" s="181" t="s">
        <v>131</v>
      </c>
      <c r="T13" s="181"/>
      <c r="U13" s="409" t="n">
        <f aca="false">U3+U4+U5+U6+U7</f>
        <v>55.272</v>
      </c>
    </row>
    <row r="14" customFormat="false" ht="25.5" hidden="false" customHeight="true" outlineLevel="0" collapsed="false">
      <c r="A14" s="79" t="s">
        <v>716</v>
      </c>
      <c r="B14" s="661" t="s">
        <v>281</v>
      </c>
      <c r="C14" s="661"/>
      <c r="D14" s="661"/>
      <c r="E14" s="24" t="n">
        <f aca="false">D7*2</f>
        <v>12</v>
      </c>
      <c r="F14" s="157" t="n">
        <f aca="false">C7-45</f>
        <v>2055</v>
      </c>
      <c r="G14" s="157"/>
      <c r="H14" s="83" t="s">
        <v>18</v>
      </c>
      <c r="I14" s="83"/>
      <c r="J14" s="83" t="s">
        <v>33</v>
      </c>
      <c r="K14" s="181" t="s">
        <v>195</v>
      </c>
      <c r="L14" s="181"/>
      <c r="M14" s="296"/>
      <c r="N14" s="296"/>
      <c r="O14" s="296"/>
      <c r="P14" s="296"/>
      <c r="Q14" s="296"/>
      <c r="R14" s="296"/>
      <c r="S14" s="73" t="s">
        <v>132</v>
      </c>
      <c r="T14" s="73"/>
      <c r="U14" s="402" t="n">
        <f aca="false">U13-U12</f>
        <v>5.81288399999999</v>
      </c>
    </row>
    <row r="15" customFormat="false" ht="25.5" hidden="false" customHeight="true" outlineLevel="0" collapsed="false">
      <c r="A15" s="79" t="s">
        <v>717</v>
      </c>
      <c r="B15" s="661" t="s">
        <v>718</v>
      </c>
      <c r="C15" s="661"/>
      <c r="D15" s="661"/>
      <c r="E15" s="24" t="n">
        <f aca="false">D7*1</f>
        <v>6</v>
      </c>
      <c r="F15" s="157" t="n">
        <f aca="false">C7-45</f>
        <v>2055</v>
      </c>
      <c r="G15" s="157"/>
      <c r="H15" s="83" t="s">
        <v>18</v>
      </c>
      <c r="I15" s="83"/>
      <c r="J15" s="83" t="s">
        <v>42</v>
      </c>
      <c r="K15" s="183" t="n">
        <f aca="false">U13*K13</f>
        <v>2763.6</v>
      </c>
      <c r="L15" s="183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188</v>
      </c>
      <c r="B16" s="661" t="s">
        <v>203</v>
      </c>
      <c r="C16" s="661"/>
      <c r="D16" s="661"/>
      <c r="E16" s="24" t="n">
        <f aca="false">D7*4</f>
        <v>24</v>
      </c>
      <c r="F16" s="157" t="n">
        <f aca="false">B7-167</f>
        <v>633</v>
      </c>
      <c r="G16" s="157"/>
      <c r="H16" s="83" t="s">
        <v>17</v>
      </c>
      <c r="I16" s="83"/>
      <c r="J16" s="83" t="s">
        <v>42</v>
      </c>
      <c r="K16" s="181" t="s">
        <v>199</v>
      </c>
      <c r="L16" s="181"/>
    </row>
    <row r="17" customFormat="false" ht="25.5" hidden="false" customHeight="true" outlineLevel="0" collapsed="false">
      <c r="A17" s="79" t="s">
        <v>188</v>
      </c>
      <c r="B17" s="661" t="s">
        <v>203</v>
      </c>
      <c r="C17" s="661"/>
      <c r="D17" s="661"/>
      <c r="E17" s="24" t="n">
        <f aca="false">D7*4</f>
        <v>24</v>
      </c>
      <c r="F17" s="157" t="n">
        <f aca="false">((C7-292)/2)</f>
        <v>904</v>
      </c>
      <c r="G17" s="157"/>
      <c r="H17" s="83" t="s">
        <v>18</v>
      </c>
      <c r="I17" s="83"/>
      <c r="J17" s="83" t="s">
        <v>42</v>
      </c>
      <c r="K17" s="662" t="n">
        <f aca="false">U12*K13</f>
        <v>2472.9558</v>
      </c>
      <c r="L17" s="662"/>
    </row>
    <row r="18" customFormat="false" ht="25.5" hidden="false" customHeight="true" outlineLevel="0" collapsed="false">
      <c r="A18" s="79" t="s">
        <v>737</v>
      </c>
      <c r="B18" s="661" t="s">
        <v>248</v>
      </c>
      <c r="C18" s="661"/>
      <c r="D18" s="661"/>
      <c r="E18" s="46" t="n">
        <f aca="false">D7*1</f>
        <v>6</v>
      </c>
      <c r="F18" s="158" t="n">
        <f aca="false">B7-167</f>
        <v>633</v>
      </c>
      <c r="G18" s="158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47"/>
      <c r="E19" s="47"/>
      <c r="H19" s="52"/>
      <c r="I19" s="23"/>
      <c r="J19" s="47"/>
    </row>
    <row r="20" customFormat="false" ht="22.5" hidden="false" customHeight="true" outlineLevel="0" collapsed="false">
      <c r="A20" s="99"/>
      <c r="B20" s="663"/>
      <c r="C20" s="663"/>
      <c r="D20" s="663"/>
      <c r="E20" s="55"/>
      <c r="F20" s="159"/>
      <c r="G20" s="159"/>
      <c r="H20" s="103"/>
      <c r="I20" s="103"/>
      <c r="J20" s="103"/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44400</v>
      </c>
      <c r="J25" s="28"/>
      <c r="L25" s="130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v>4</v>
      </c>
      <c r="J26" s="28"/>
      <c r="L26" s="130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v>3</v>
      </c>
      <c r="J27" s="28"/>
      <c r="K27" s="109"/>
      <c r="L27" s="108"/>
      <c r="M27" s="109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C7*D7</f>
        <v>12600</v>
      </c>
      <c r="J28" s="28"/>
      <c r="K28" s="108"/>
      <c r="L28" s="414"/>
      <c r="M28" s="109"/>
    </row>
    <row r="29" customFormat="false" ht="17.25" hidden="false" customHeight="true" outlineLevel="0" collapsed="false">
      <c r="A29" s="493"/>
      <c r="B29" s="419"/>
      <c r="C29" s="419"/>
      <c r="D29" s="419"/>
      <c r="E29" s="419"/>
      <c r="F29" s="419"/>
      <c r="G29" s="120"/>
      <c r="H29" s="120"/>
      <c r="I29" s="28"/>
      <c r="J29" s="28"/>
      <c r="K29" s="108"/>
      <c r="L29" s="414"/>
      <c r="M29" s="109"/>
    </row>
    <row r="30" customFormat="false" ht="17.25" hidden="false" customHeight="true" outlineLevel="0" collapsed="false">
      <c r="A30" s="493"/>
      <c r="B30" s="419"/>
      <c r="C30" s="419"/>
      <c r="D30" s="419"/>
      <c r="E30" s="419"/>
      <c r="F30" s="419"/>
      <c r="G30" s="120"/>
      <c r="H30" s="120"/>
      <c r="I30" s="28"/>
      <c r="J30" s="28"/>
      <c r="K30" s="651" t="n">
        <f aca="false">E11*F11+E12*F12</f>
        <v>30000</v>
      </c>
      <c r="L30" s="652" t="s">
        <v>728</v>
      </c>
      <c r="M30" s="93"/>
      <c r="N30" s="93"/>
      <c r="O30" s="93"/>
      <c r="P30" s="93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/>
      <c r="B31" s="419"/>
      <c r="C31" s="419"/>
      <c r="D31" s="419"/>
      <c r="E31" s="419"/>
      <c r="F31" s="419"/>
      <c r="G31" s="120"/>
      <c r="H31" s="120"/>
      <c r="I31" s="28"/>
      <c r="J31" s="28"/>
      <c r="K31" s="651" t="n">
        <f aca="false">F13*E13+E14*F14</f>
        <v>33480</v>
      </c>
      <c r="L31" s="652" t="s">
        <v>731</v>
      </c>
      <c r="M31" s="93"/>
      <c r="N31" s="93"/>
      <c r="O31" s="93"/>
      <c r="P31" s="93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/>
      <c r="B32" s="419"/>
      <c r="C32" s="419"/>
      <c r="D32" s="419"/>
      <c r="E32" s="419"/>
      <c r="F32" s="419"/>
      <c r="G32" s="120"/>
      <c r="H32" s="120"/>
      <c r="I32" s="28"/>
      <c r="J32" s="28"/>
      <c r="K32" s="651" t="n">
        <f aca="false">F15*E15</f>
        <v>12330</v>
      </c>
      <c r="L32" s="652" t="s">
        <v>732</v>
      </c>
      <c r="M32" s="93"/>
      <c r="N32" s="93"/>
      <c r="O32" s="93"/>
      <c r="P32" s="93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36888</v>
      </c>
      <c r="L33" s="652" t="s">
        <v>733</v>
      </c>
      <c r="M33" s="93"/>
      <c r="N33" s="93"/>
      <c r="O33" s="93"/>
      <c r="P33" s="93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8" t="e">
        <f aca="false">#REF!*#REF!</f>
        <v>#REF!</v>
      </c>
      <c r="L34" s="652" t="s">
        <v>734</v>
      </c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F18*E18</f>
        <v>3798</v>
      </c>
      <c r="L35" s="652" t="s">
        <v>128</v>
      </c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93"/>
      <c r="L36" s="496"/>
      <c r="M36" s="93"/>
      <c r="N36" s="93"/>
      <c r="O36" s="93"/>
      <c r="P36" s="93"/>
      <c r="Q36" s="93"/>
      <c r="R36" s="93"/>
      <c r="S36" s="93"/>
      <c r="T36" s="93"/>
      <c r="U36" s="93"/>
    </row>
  </sheetData>
  <mergeCells count="124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R12"/>
    <mergeCell ref="S12:T12"/>
    <mergeCell ref="B13:D13"/>
    <mergeCell ref="F13:G13"/>
    <mergeCell ref="H13:I13"/>
    <mergeCell ref="M13:N13"/>
    <mergeCell ref="P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739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641" t="str">
        <f aca="false">A11</f>
        <v>SU-279</v>
      </c>
      <c r="L3" s="394" t="n">
        <f aca="false">IF(K30&gt;6000,K30/6000,1)</f>
        <v>1</v>
      </c>
      <c r="M3" s="395" t="n">
        <f aca="false">ROUNDUP(L3,0)</f>
        <v>1</v>
      </c>
      <c r="N3" s="260" t="n">
        <f aca="false">0.565*6*K13</f>
        <v>169.5</v>
      </c>
      <c r="O3" s="260"/>
      <c r="P3" s="259" t="n">
        <f aca="false">N3*M3</f>
        <v>169.5</v>
      </c>
      <c r="Q3" s="259"/>
      <c r="R3" s="425" t="str">
        <f aca="false">F5</f>
        <v>BRANCO</v>
      </c>
      <c r="S3" s="397" t="n">
        <v>6000</v>
      </c>
      <c r="T3" s="440" t="n">
        <f aca="false">K30*0.565/1000</f>
        <v>2.825</v>
      </c>
      <c r="U3" s="439" t="n">
        <f aca="false">M3*3.39</f>
        <v>3.39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41" t="str">
        <f aca="false">A13</f>
        <v>SU-111</v>
      </c>
      <c r="L4" s="400" t="n">
        <f aca="false">IF(K31&gt;6000,K31/6000,1)</f>
        <v>1</v>
      </c>
      <c r="M4" s="91" t="n">
        <f aca="false">ROUNDUP(L4,0)</f>
        <v>1</v>
      </c>
      <c r="N4" s="267" t="n">
        <f aca="false">0.64*6*K13</f>
        <v>192</v>
      </c>
      <c r="O4" s="267"/>
      <c r="P4" s="266" t="n">
        <f aca="false">N4*M4</f>
        <v>192</v>
      </c>
      <c r="Q4" s="266"/>
      <c r="R4" s="280" t="str">
        <f aca="false">F5</f>
        <v>BRANCO</v>
      </c>
      <c r="S4" s="96" t="n">
        <v>6000</v>
      </c>
      <c r="T4" s="439" t="n">
        <f aca="false">K31*0.64/1000</f>
        <v>3.5712</v>
      </c>
      <c r="U4" s="439" t="n">
        <f aca="false">M4*3.84</f>
        <v>3.84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41" t="str">
        <f aca="false">A15</f>
        <v>SU-548</v>
      </c>
      <c r="L5" s="400" t="n">
        <f aca="false">IF(K32&gt;6000,K32/6000,1)</f>
        <v>1</v>
      </c>
      <c r="M5" s="91" t="n">
        <f aca="false">ROUNDUP(L5,0)</f>
        <v>1</v>
      </c>
      <c r="N5" s="267" t="n">
        <f aca="false">0.283*6*K13</f>
        <v>84.9</v>
      </c>
      <c r="O5" s="267"/>
      <c r="P5" s="266" t="n">
        <f aca="false">N5*M5</f>
        <v>84.9</v>
      </c>
      <c r="Q5" s="266"/>
      <c r="R5" s="280" t="str">
        <f aca="false">F5</f>
        <v>BRANCO</v>
      </c>
      <c r="S5" s="96" t="n">
        <v>6000</v>
      </c>
      <c r="T5" s="439" t="n">
        <f aca="false">K32*0.283/1000</f>
        <v>0.581565</v>
      </c>
      <c r="U5" s="439" t="n">
        <f aca="false">M5*1.698</f>
        <v>1.698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41" t="str">
        <f aca="false">A16</f>
        <v>SU-102</v>
      </c>
      <c r="L6" s="400" t="n">
        <f aca="false">IF(K33&gt;6000,K33/6000,1)</f>
        <v>1</v>
      </c>
      <c r="M6" s="91" t="n">
        <f aca="false">ROUNDUP(L6,0)</f>
        <v>1</v>
      </c>
      <c r="N6" s="267" t="n">
        <f aca="false">0.111*6*K13</f>
        <v>33.3</v>
      </c>
      <c r="O6" s="267"/>
      <c r="P6" s="266" t="n">
        <f aca="false">N6*M6</f>
        <v>33.3</v>
      </c>
      <c r="Q6" s="266"/>
      <c r="R6" s="280" t="str">
        <f aca="false">F5</f>
        <v>BRANCO</v>
      </c>
      <c r="S6" s="96" t="n">
        <v>6000</v>
      </c>
      <c r="T6" s="439" t="n">
        <f aca="false">K33*0.111/1000</f>
        <v>0.570096</v>
      </c>
      <c r="U6" s="439" t="n">
        <f aca="false">M6*0.666</f>
        <v>0.666</v>
      </c>
    </row>
    <row r="7" customFormat="false" ht="27" hidden="false" customHeight="true" outlineLevel="0" collapsed="false">
      <c r="A7" s="271" t="n">
        <v>500</v>
      </c>
      <c r="B7" s="272" t="n">
        <v>800</v>
      </c>
      <c r="C7" s="272" t="n">
        <v>2100</v>
      </c>
      <c r="D7" s="272" t="n">
        <v>1</v>
      </c>
      <c r="E7" s="276" t="n">
        <f aca="false">(B7*C7)/10^6</f>
        <v>1.68</v>
      </c>
      <c r="F7" s="276"/>
      <c r="G7" s="270"/>
      <c r="H7" s="270"/>
      <c r="I7" s="270"/>
      <c r="J7" s="270"/>
      <c r="K7" s="41" t="str">
        <f aca="false">A18</f>
        <v>GS-034</v>
      </c>
      <c r="L7" s="400" t="n">
        <f aca="false">IF(K34&gt;6000,K34/6000,1)</f>
        <v>2.07666666666667</v>
      </c>
      <c r="M7" s="91" t="n">
        <f aca="false">ROUNDUP(L7,0)</f>
        <v>3</v>
      </c>
      <c r="N7" s="266" t="n">
        <f aca="false">0.706*6*K13</f>
        <v>211.8</v>
      </c>
      <c r="O7" s="266"/>
      <c r="P7" s="266" t="n">
        <f aca="false">N7*M7</f>
        <v>635.4</v>
      </c>
      <c r="Q7" s="266"/>
      <c r="R7" s="280" t="str">
        <f aca="false">F5</f>
        <v>BRANCO</v>
      </c>
      <c r="S7" s="96" t="n">
        <v>6000</v>
      </c>
      <c r="T7" s="439" t="n">
        <f aca="false">K34*0.706/1000</f>
        <v>8.79676</v>
      </c>
      <c r="U7" s="439" t="n">
        <f aca="false">M7*4.236</f>
        <v>12.708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840</v>
      </c>
      <c r="D8" s="274"/>
      <c r="E8" s="20" t="s">
        <v>16</v>
      </c>
      <c r="F8" s="39"/>
      <c r="G8" s="270"/>
      <c r="H8" s="270"/>
      <c r="I8" s="270"/>
      <c r="J8" s="270"/>
      <c r="K8" s="655"/>
      <c r="L8" s="400" t="n">
        <f aca="false">IF(K35&gt;6000,K35/6000,1)</f>
        <v>1</v>
      </c>
      <c r="M8" s="91"/>
      <c r="N8" s="267"/>
      <c r="O8" s="267"/>
      <c r="P8" s="266"/>
      <c r="Q8" s="266"/>
      <c r="R8" s="280"/>
      <c r="S8" s="96"/>
      <c r="T8" s="439"/>
      <c r="U8" s="439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840</v>
      </c>
      <c r="D9" s="275"/>
      <c r="E9" s="389"/>
      <c r="F9" s="401"/>
      <c r="G9" s="270"/>
      <c r="H9" s="270"/>
      <c r="I9" s="270"/>
      <c r="J9" s="270"/>
      <c r="K9" s="207"/>
      <c r="L9" s="657"/>
      <c r="M9" s="91"/>
      <c r="N9" s="267"/>
      <c r="O9" s="267"/>
      <c r="P9" s="266"/>
      <c r="Q9" s="266"/>
      <c r="R9" s="357"/>
      <c r="S9" s="96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L10" s="657"/>
      <c r="M10" s="91"/>
      <c r="N10" s="267"/>
      <c r="O10" s="267"/>
      <c r="P10" s="266"/>
      <c r="Q10" s="266"/>
      <c r="R10" s="382"/>
      <c r="S10" s="290"/>
      <c r="T10" s="402"/>
      <c r="U10" s="402"/>
    </row>
    <row r="11" customFormat="false" ht="25.5" hidden="false" customHeight="true" outlineLevel="0" collapsed="false">
      <c r="A11" s="67" t="s">
        <v>715</v>
      </c>
      <c r="B11" s="633" t="s">
        <v>187</v>
      </c>
      <c r="C11" s="633"/>
      <c r="D11" s="633"/>
      <c r="E11" s="15" t="n">
        <f aca="false">D7*1</f>
        <v>1</v>
      </c>
      <c r="F11" s="69" t="n">
        <f aca="false">B7</f>
        <v>800</v>
      </c>
      <c r="G11" s="69"/>
      <c r="H11" s="72" t="s">
        <v>17</v>
      </c>
      <c r="I11" s="72"/>
      <c r="J11" s="72" t="s">
        <v>33</v>
      </c>
      <c r="K11" s="53"/>
      <c r="L11" s="644"/>
      <c r="M11" s="404"/>
      <c r="N11" s="405"/>
      <c r="O11" s="405"/>
      <c r="P11" s="406"/>
      <c r="Q11" s="406"/>
      <c r="R11" s="407"/>
      <c r="S11" s="408"/>
      <c r="T11" s="409"/>
      <c r="U11" s="409"/>
    </row>
    <row r="12" customFormat="false" ht="25.5" hidden="false" customHeight="true" outlineLevel="0" collapsed="false">
      <c r="A12" s="79" t="s">
        <v>715</v>
      </c>
      <c r="B12" s="293" t="s">
        <v>192</v>
      </c>
      <c r="C12" s="293"/>
      <c r="D12" s="293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 t="s">
        <v>130</v>
      </c>
      <c r="S12" s="73"/>
      <c r="T12" s="73"/>
      <c r="U12" s="409" t="n">
        <f aca="false">T3+T4+T5+T6+T7</f>
        <v>16.344621</v>
      </c>
    </row>
    <row r="13" customFormat="false" ht="25.5" hidden="false" customHeight="true" outlineLevel="0" collapsed="false">
      <c r="A13" s="79" t="s">
        <v>716</v>
      </c>
      <c r="B13" s="293" t="s">
        <v>281</v>
      </c>
      <c r="C13" s="293"/>
      <c r="D13" s="293"/>
      <c r="E13" s="24" t="n">
        <f aca="false">D7*2</f>
        <v>2</v>
      </c>
      <c r="F13" s="97" t="n">
        <f aca="false">B7-65</f>
        <v>735</v>
      </c>
      <c r="G13" s="97"/>
      <c r="H13" s="83" t="s">
        <v>17</v>
      </c>
      <c r="I13" s="83"/>
      <c r="J13" s="83" t="s">
        <v>33</v>
      </c>
      <c r="K13" s="410" t="n">
        <v>50</v>
      </c>
      <c r="L13" s="410" t="n">
        <v>100</v>
      </c>
      <c r="M13" s="491" t="n">
        <f aca="false">U12*L13</f>
        <v>1634.4621</v>
      </c>
      <c r="N13" s="491"/>
      <c r="O13" s="412" t="n">
        <v>0.1</v>
      </c>
      <c r="P13" s="664" t="n">
        <f aca="false">K17*O13+K17</f>
        <v>898.954155</v>
      </c>
      <c r="Q13" s="664"/>
      <c r="R13" s="73" t="s">
        <v>131</v>
      </c>
      <c r="S13" s="73"/>
      <c r="T13" s="73"/>
      <c r="U13" s="409" t="n">
        <f aca="false">U3+U4+U5+U6+U7</f>
        <v>22.302</v>
      </c>
    </row>
    <row r="14" customFormat="false" ht="25.5" hidden="false" customHeight="true" outlineLevel="0" collapsed="false">
      <c r="A14" s="79" t="s">
        <v>716</v>
      </c>
      <c r="B14" s="293" t="s">
        <v>281</v>
      </c>
      <c r="C14" s="293"/>
      <c r="D14" s="293"/>
      <c r="E14" s="24" t="n">
        <f aca="false">D7*2</f>
        <v>2</v>
      </c>
      <c r="F14" s="97" t="n">
        <f aca="false">C7-45</f>
        <v>2055</v>
      </c>
      <c r="G14" s="97"/>
      <c r="H14" s="83" t="s">
        <v>18</v>
      </c>
      <c r="I14" s="83"/>
      <c r="J14" s="83" t="s">
        <v>33</v>
      </c>
      <c r="K14" s="73" t="s">
        <v>195</v>
      </c>
      <c r="L14" s="73"/>
      <c r="M14" s="296"/>
      <c r="N14" s="296"/>
      <c r="O14" s="296"/>
      <c r="P14" s="296"/>
      <c r="Q14" s="296"/>
      <c r="R14" s="73" t="s">
        <v>132</v>
      </c>
      <c r="S14" s="73"/>
      <c r="T14" s="73"/>
      <c r="U14" s="402" t="n">
        <f aca="false">U13-U12</f>
        <v>5.957379</v>
      </c>
    </row>
    <row r="15" customFormat="false" ht="25.5" hidden="false" customHeight="true" outlineLevel="0" collapsed="false">
      <c r="A15" s="79" t="s">
        <v>717</v>
      </c>
      <c r="B15" s="293" t="s">
        <v>718</v>
      </c>
      <c r="C15" s="293"/>
      <c r="D15" s="293"/>
      <c r="E15" s="24" t="n">
        <f aca="false">D7*1</f>
        <v>1</v>
      </c>
      <c r="F15" s="97" t="n">
        <f aca="false">C7-45</f>
        <v>2055</v>
      </c>
      <c r="G15" s="97"/>
      <c r="H15" s="83" t="s">
        <v>18</v>
      </c>
      <c r="I15" s="83"/>
      <c r="J15" s="83" t="s">
        <v>42</v>
      </c>
      <c r="K15" s="84" t="n">
        <f aca="false">U13*K13</f>
        <v>1115.1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188</v>
      </c>
      <c r="B16" s="293" t="s">
        <v>203</v>
      </c>
      <c r="C16" s="293"/>
      <c r="D16" s="293"/>
      <c r="E16" s="24" t="n">
        <f aca="false">D7*2</f>
        <v>2</v>
      </c>
      <c r="F16" s="97" t="n">
        <f aca="false">B7-167</f>
        <v>633</v>
      </c>
      <c r="G16" s="97"/>
      <c r="H16" s="83" t="s">
        <v>17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79" t="s">
        <v>188</v>
      </c>
      <c r="B17" s="293" t="s">
        <v>203</v>
      </c>
      <c r="C17" s="293"/>
      <c r="D17" s="293"/>
      <c r="E17" s="24" t="n">
        <f aca="false">D7*2</f>
        <v>2</v>
      </c>
      <c r="F17" s="97" t="n">
        <f aca="false">C7-165</f>
        <v>1935</v>
      </c>
      <c r="G17" s="97"/>
      <c r="H17" s="83" t="s">
        <v>18</v>
      </c>
      <c r="I17" s="83"/>
      <c r="J17" s="83" t="s">
        <v>42</v>
      </c>
      <c r="K17" s="413" t="n">
        <f aca="false">U12*K13</f>
        <v>817.23105</v>
      </c>
      <c r="L17" s="413"/>
    </row>
    <row r="18" customFormat="false" ht="25.5" hidden="false" customHeight="true" outlineLevel="0" collapsed="false">
      <c r="A18" s="79" t="s">
        <v>115</v>
      </c>
      <c r="B18" s="293" t="s">
        <v>183</v>
      </c>
      <c r="C18" s="293"/>
      <c r="D18" s="293"/>
      <c r="E18" s="24" t="n">
        <f aca="false">C7/105*D7</f>
        <v>20</v>
      </c>
      <c r="F18" s="24" t="n">
        <f aca="false">B7-177</f>
        <v>623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/>
      <c r="B19" s="293"/>
      <c r="C19" s="293"/>
      <c r="D19" s="293"/>
      <c r="E19" s="46"/>
      <c r="F19" s="24"/>
      <c r="G19" s="24"/>
      <c r="H19" s="83"/>
      <c r="I19" s="83"/>
      <c r="J19" s="83"/>
    </row>
    <row r="20" customFormat="false" ht="22.5" hidden="false" customHeight="true" outlineLevel="0" collapsed="false">
      <c r="A20" s="99"/>
      <c r="B20" s="503"/>
      <c r="C20" s="503"/>
      <c r="D20" s="503"/>
      <c r="E20" s="55"/>
      <c r="F20" s="246"/>
      <c r="G20" s="246"/>
      <c r="H20" s="103"/>
      <c r="I20" s="103"/>
      <c r="J20" s="103"/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7400</v>
      </c>
      <c r="J25" s="28"/>
      <c r="L25" s="130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v>4</v>
      </c>
      <c r="J26" s="28"/>
      <c r="L26" s="130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v>3</v>
      </c>
      <c r="J27" s="28"/>
      <c r="K27" s="109"/>
      <c r="L27" s="108"/>
      <c r="M27" s="109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C7*D7</f>
        <v>2100</v>
      </c>
      <c r="J28" s="28"/>
      <c r="K28" s="108"/>
      <c r="L28" s="414"/>
      <c r="M28" s="109"/>
    </row>
    <row r="29" customFormat="false" ht="17.25" hidden="false" customHeight="true" outlineLevel="0" collapsed="false">
      <c r="A29" s="493"/>
      <c r="B29" s="419"/>
      <c r="C29" s="419"/>
      <c r="D29" s="419"/>
      <c r="E29" s="419"/>
      <c r="F29" s="419"/>
      <c r="G29" s="120"/>
      <c r="H29" s="120"/>
      <c r="I29" s="28"/>
      <c r="J29" s="28"/>
      <c r="K29" s="108"/>
      <c r="L29" s="414"/>
      <c r="M29" s="109"/>
      <c r="N29" s="109"/>
    </row>
    <row r="30" customFormat="false" ht="17.25" hidden="false" customHeight="true" outlineLevel="0" collapsed="false">
      <c r="A30" s="493"/>
      <c r="B30" s="419"/>
      <c r="C30" s="419"/>
      <c r="D30" s="419"/>
      <c r="E30" s="419"/>
      <c r="F30" s="419"/>
      <c r="G30" s="120"/>
      <c r="H30" s="120"/>
      <c r="I30" s="28"/>
      <c r="J30" s="28"/>
      <c r="K30" s="651" t="n">
        <f aca="false">E11*F11+E12*F12</f>
        <v>5000</v>
      </c>
      <c r="L30" s="652" t="s">
        <v>728</v>
      </c>
      <c r="M30" s="109"/>
      <c r="N30" s="109"/>
      <c r="O30" s="93"/>
      <c r="P30" s="93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/>
      <c r="B31" s="419"/>
      <c r="C31" s="419"/>
      <c r="D31" s="419"/>
      <c r="E31" s="419"/>
      <c r="F31" s="419"/>
      <c r="G31" s="120"/>
      <c r="H31" s="120"/>
      <c r="I31" s="28"/>
      <c r="J31" s="28"/>
      <c r="K31" s="651" t="n">
        <f aca="false">F13*E13+E14*F14</f>
        <v>5580</v>
      </c>
      <c r="L31" s="652" t="s">
        <v>731</v>
      </c>
      <c r="M31" s="109"/>
      <c r="N31" s="109"/>
      <c r="O31" s="93"/>
      <c r="P31" s="93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/>
      <c r="B32" s="419"/>
      <c r="C32" s="419"/>
      <c r="D32" s="419"/>
      <c r="E32" s="419"/>
      <c r="F32" s="419"/>
      <c r="G32" s="120"/>
      <c r="H32" s="120"/>
      <c r="I32" s="28"/>
      <c r="J32" s="28"/>
      <c r="K32" s="651" t="n">
        <f aca="false">F15*E15</f>
        <v>2055</v>
      </c>
      <c r="L32" s="652" t="s">
        <v>732</v>
      </c>
      <c r="M32" s="109"/>
      <c r="N32" s="109"/>
      <c r="O32" s="93"/>
      <c r="P32" s="93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5136</v>
      </c>
      <c r="L33" s="652" t="s">
        <v>733</v>
      </c>
      <c r="M33" s="109"/>
      <c r="N33" s="109"/>
      <c r="O33" s="93"/>
      <c r="P33" s="93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8" t="n">
        <f aca="false">E18*F18</f>
        <v>12460</v>
      </c>
      <c r="L34" s="652" t="s">
        <v>734</v>
      </c>
      <c r="M34" s="109"/>
      <c r="N34" s="109"/>
      <c r="O34" s="93"/>
      <c r="P34" s="93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F19*E19</f>
        <v>0</v>
      </c>
      <c r="L35" s="652" t="s">
        <v>128</v>
      </c>
      <c r="M35" s="109"/>
      <c r="N35" s="109"/>
      <c r="O35" s="93"/>
      <c r="P35" s="93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414"/>
      <c r="M36" s="109"/>
      <c r="N36" s="109"/>
      <c r="O36" s="93"/>
      <c r="P36" s="93"/>
      <c r="Q36" s="93"/>
      <c r="R36" s="93"/>
      <c r="S36" s="93"/>
      <c r="T36" s="93"/>
      <c r="U36" s="93"/>
    </row>
  </sheetData>
  <mergeCells count="129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Q12"/>
    <mergeCell ref="R12:T12"/>
    <mergeCell ref="B13:D13"/>
    <mergeCell ref="F13:G13"/>
    <mergeCell ref="H13:I13"/>
    <mergeCell ref="M13:N13"/>
    <mergeCell ref="P13:Q13"/>
    <mergeCell ref="R13:T13"/>
    <mergeCell ref="B14:D14"/>
    <mergeCell ref="F14:G14"/>
    <mergeCell ref="H14:I14"/>
    <mergeCell ref="K14:L14"/>
    <mergeCell ref="R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740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641" t="str">
        <f aca="false">A11</f>
        <v>SU-279</v>
      </c>
      <c r="L3" s="394" t="n">
        <f aca="false">IF(K30&gt;6000,K30/6000,1)</f>
        <v>1</v>
      </c>
      <c r="M3" s="395" t="n">
        <f aca="false">ROUNDUP(L3,0)</f>
        <v>1</v>
      </c>
      <c r="N3" s="260" t="n">
        <f aca="false">0.565*6*K13</f>
        <v>169.5</v>
      </c>
      <c r="O3" s="260"/>
      <c r="P3" s="530" t="n">
        <f aca="false">N3*M3</f>
        <v>169.5</v>
      </c>
      <c r="Q3" s="530"/>
      <c r="R3" s="397" t="str">
        <f aca="false">F5</f>
        <v>BRANCO</v>
      </c>
      <c r="S3" s="397" t="n">
        <v>6000</v>
      </c>
      <c r="T3" s="440" t="n">
        <f aca="false">K30*0.565/1000</f>
        <v>2.7685</v>
      </c>
      <c r="U3" s="440" t="n">
        <f aca="false">M3*3.39</f>
        <v>3.39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41" t="str">
        <f aca="false">A13</f>
        <v>SU-111</v>
      </c>
      <c r="L4" s="400" t="n">
        <f aca="false">IF(K31&gt;6000,K31/6000,1)</f>
        <v>1</v>
      </c>
      <c r="M4" s="91" t="n">
        <f aca="false">ROUNDUP(L4,0)</f>
        <v>1</v>
      </c>
      <c r="N4" s="267" t="n">
        <f aca="false">0.64*6*K13</f>
        <v>192</v>
      </c>
      <c r="O4" s="267"/>
      <c r="P4" s="532" t="n">
        <f aca="false">N4*M4</f>
        <v>192</v>
      </c>
      <c r="Q4" s="532"/>
      <c r="R4" s="96" t="str">
        <f aca="false">F5</f>
        <v>BRANCO</v>
      </c>
      <c r="S4" s="96" t="n">
        <v>6000</v>
      </c>
      <c r="T4" s="439" t="n">
        <f aca="false">K31*0.64/1000</f>
        <v>3.4432</v>
      </c>
      <c r="U4" s="439" t="n">
        <f aca="false">M4*3.84</f>
        <v>3.84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41" t="str">
        <f aca="false">A15</f>
        <v>SU-548</v>
      </c>
      <c r="L5" s="400" t="n">
        <f aca="false">IF(K32&gt;6000,K32/6000,1)</f>
        <v>1</v>
      </c>
      <c r="M5" s="91" t="n">
        <f aca="false">ROUNDUP(L5,0)</f>
        <v>1</v>
      </c>
      <c r="N5" s="267" t="n">
        <f aca="false">0.283*6*K13</f>
        <v>84.9</v>
      </c>
      <c r="O5" s="267"/>
      <c r="P5" s="532" t="n">
        <f aca="false">N5*M5</f>
        <v>84.9</v>
      </c>
      <c r="Q5" s="532"/>
      <c r="R5" s="96" t="str">
        <f aca="false">F5</f>
        <v>BRANCO</v>
      </c>
      <c r="S5" s="96" t="n">
        <v>6000</v>
      </c>
      <c r="T5" s="439" t="n">
        <f aca="false">K32*0.283/1000</f>
        <v>0.581565</v>
      </c>
      <c r="U5" s="439" t="n">
        <f aca="false">M5*1.698</f>
        <v>1.698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41" t="str">
        <f aca="false">A16</f>
        <v>SU-102</v>
      </c>
      <c r="L6" s="400" t="n">
        <f aca="false">IF(K33&gt;6000,K33/6000,1)</f>
        <v>1</v>
      </c>
      <c r="M6" s="91" t="n">
        <f aca="false">ROUNDUP(L6,0)</f>
        <v>1</v>
      </c>
      <c r="N6" s="267" t="n">
        <f aca="false">0.111*6*K13</f>
        <v>33.3</v>
      </c>
      <c r="O6" s="267"/>
      <c r="P6" s="532" t="n">
        <f aca="false">N6*M6</f>
        <v>33.3</v>
      </c>
      <c r="Q6" s="532"/>
      <c r="R6" s="96" t="str">
        <f aca="false">F5</f>
        <v>BRANCO</v>
      </c>
      <c r="S6" s="96" t="n">
        <v>6000</v>
      </c>
      <c r="T6" s="439" t="n">
        <f aca="false">K33*0.111/1000</f>
        <v>0.638028</v>
      </c>
      <c r="U6" s="439" t="n">
        <f aca="false">M6*0.666</f>
        <v>0.666</v>
      </c>
    </row>
    <row r="7" customFormat="false" ht="27" hidden="false" customHeight="true" outlineLevel="0" collapsed="false">
      <c r="A7" s="271" t="n">
        <v>700</v>
      </c>
      <c r="B7" s="272" t="n">
        <v>700</v>
      </c>
      <c r="C7" s="272" t="n">
        <v>2100</v>
      </c>
      <c r="D7" s="272" t="n">
        <v>1</v>
      </c>
      <c r="E7" s="276" t="n">
        <f aca="false">(B7*C7)/10^6</f>
        <v>1.47</v>
      </c>
      <c r="F7" s="276"/>
      <c r="G7" s="270"/>
      <c r="H7" s="270"/>
      <c r="I7" s="270"/>
      <c r="J7" s="270"/>
      <c r="K7" s="41" t="str">
        <f aca="false">A18</f>
        <v>US-294</v>
      </c>
      <c r="L7" s="400" t="n">
        <f aca="false">IF(K34&gt;6000,K34/6000,1)</f>
        <v>3.21140350877193</v>
      </c>
      <c r="M7" s="91" t="n">
        <f aca="false">ROUNDUP(L7,0)</f>
        <v>4</v>
      </c>
      <c r="N7" s="266" t="n">
        <f aca="false">0.268*6*K13</f>
        <v>80.4</v>
      </c>
      <c r="O7" s="266"/>
      <c r="P7" s="532" t="n">
        <f aca="false">N7*M7</f>
        <v>321.6</v>
      </c>
      <c r="Q7" s="532"/>
      <c r="R7" s="96" t="str">
        <f aca="false">F5</f>
        <v>BRANCO</v>
      </c>
      <c r="S7" s="96" t="n">
        <v>6000</v>
      </c>
      <c r="T7" s="439" t="n">
        <f aca="false">K34*0.268/1000</f>
        <v>5.16393684210526</v>
      </c>
      <c r="U7" s="439" t="n">
        <f aca="false">M7*1.608</f>
        <v>6.432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1029</v>
      </c>
      <c r="D8" s="274"/>
      <c r="E8" s="20" t="s">
        <v>16</v>
      </c>
      <c r="F8" s="39"/>
      <c r="G8" s="270"/>
      <c r="H8" s="270"/>
      <c r="I8" s="270"/>
      <c r="J8" s="270"/>
      <c r="K8" s="655" t="s">
        <v>737</v>
      </c>
      <c r="L8" s="400" t="n">
        <f aca="false">IF(K35&gt;6000,K35/6000,1)</f>
        <v>1</v>
      </c>
      <c r="M8" s="91" t="n">
        <f aca="false">ROUNDUP(L8,0)</f>
        <v>1</v>
      </c>
      <c r="N8" s="267" t="n">
        <f aca="false">0.921*6*K13</f>
        <v>276.3</v>
      </c>
      <c r="O8" s="267"/>
      <c r="P8" s="532" t="n">
        <f aca="false">N8*M8</f>
        <v>276.3</v>
      </c>
      <c r="Q8" s="532"/>
      <c r="R8" s="96" t="str">
        <f aca="false">F5</f>
        <v>BRANCO</v>
      </c>
      <c r="S8" s="96" t="n">
        <v>6000</v>
      </c>
      <c r="T8" s="439" t="n">
        <f aca="false">K35*0.921/1000</f>
        <v>0.490893</v>
      </c>
      <c r="U8" s="439" t="n">
        <f aca="false">M8*5.526</f>
        <v>5.526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1029</v>
      </c>
      <c r="D9" s="275"/>
      <c r="E9" s="389"/>
      <c r="F9" s="401"/>
      <c r="G9" s="270"/>
      <c r="H9" s="270"/>
      <c r="I9" s="270"/>
      <c r="J9" s="270"/>
      <c r="K9" s="207"/>
      <c r="L9" s="657"/>
      <c r="M9" s="91"/>
      <c r="N9" s="267"/>
      <c r="O9" s="267"/>
      <c r="P9" s="532"/>
      <c r="Q9" s="532"/>
      <c r="R9" s="363"/>
      <c r="S9" s="96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L10" s="657"/>
      <c r="M10" s="91"/>
      <c r="N10" s="267"/>
      <c r="O10" s="267"/>
      <c r="P10" s="532"/>
      <c r="Q10" s="532"/>
      <c r="R10" s="363"/>
      <c r="S10" s="96"/>
      <c r="T10" s="399"/>
      <c r="U10" s="399"/>
    </row>
    <row r="11" customFormat="false" ht="25.5" hidden="false" customHeight="true" outlineLevel="0" collapsed="false">
      <c r="A11" s="67" t="s">
        <v>715</v>
      </c>
      <c r="B11" s="633" t="s">
        <v>187</v>
      </c>
      <c r="C11" s="633"/>
      <c r="D11" s="633"/>
      <c r="E11" s="15" t="n">
        <f aca="false">D7*1</f>
        <v>1</v>
      </c>
      <c r="F11" s="69" t="n">
        <f aca="false">B7</f>
        <v>700</v>
      </c>
      <c r="G11" s="69"/>
      <c r="H11" s="72" t="s">
        <v>17</v>
      </c>
      <c r="I11" s="72"/>
      <c r="J11" s="72" t="s">
        <v>33</v>
      </c>
      <c r="K11" s="53"/>
      <c r="L11" s="644"/>
      <c r="M11" s="404"/>
      <c r="N11" s="405"/>
      <c r="O11" s="405"/>
      <c r="P11" s="656"/>
      <c r="Q11" s="656"/>
      <c r="R11" s="383"/>
      <c r="S11" s="383"/>
      <c r="T11" s="402"/>
      <c r="U11" s="402"/>
    </row>
    <row r="12" customFormat="false" ht="25.5" hidden="false" customHeight="true" outlineLevel="0" collapsed="false">
      <c r="A12" s="79" t="s">
        <v>715</v>
      </c>
      <c r="B12" s="293" t="s">
        <v>192</v>
      </c>
      <c r="C12" s="293"/>
      <c r="D12" s="293"/>
      <c r="E12" s="24" t="n">
        <f aca="false">D7*2</f>
        <v>2</v>
      </c>
      <c r="F12" s="97" t="n">
        <f aca="false">C7</f>
        <v>2100</v>
      </c>
      <c r="G12" s="97"/>
      <c r="H12" s="83" t="s">
        <v>18</v>
      </c>
      <c r="I12" s="83"/>
      <c r="J12" s="83" t="s">
        <v>245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/>
      <c r="S12" s="422" t="s">
        <v>130</v>
      </c>
      <c r="T12" s="422"/>
      <c r="U12" s="402" t="n">
        <f aca="false">T3+T4+T5+T6+T7+T8</f>
        <v>13.0861228421053</v>
      </c>
    </row>
    <row r="13" customFormat="false" ht="25.5" hidden="false" customHeight="true" outlineLevel="0" collapsed="false">
      <c r="A13" s="79" t="s">
        <v>716</v>
      </c>
      <c r="B13" s="293" t="s">
        <v>281</v>
      </c>
      <c r="C13" s="293"/>
      <c r="D13" s="293"/>
      <c r="E13" s="24" t="n">
        <f aca="false">D7*2</f>
        <v>2</v>
      </c>
      <c r="F13" s="97" t="n">
        <f aca="false">B7-65</f>
        <v>635</v>
      </c>
      <c r="G13" s="97"/>
      <c r="H13" s="83" t="s">
        <v>17</v>
      </c>
      <c r="I13" s="83"/>
      <c r="J13" s="83" t="s">
        <v>33</v>
      </c>
      <c r="K13" s="410" t="n">
        <v>50</v>
      </c>
      <c r="L13" s="410" t="n">
        <v>150</v>
      </c>
      <c r="M13" s="491" t="n">
        <f aca="false">U12*L13</f>
        <v>1962.91842631579</v>
      </c>
      <c r="N13" s="491"/>
      <c r="O13" s="303" t="n">
        <v>0.6</v>
      </c>
      <c r="P13" s="491" t="n">
        <f aca="false">K17*O13+K17</f>
        <v>1046.88982736842</v>
      </c>
      <c r="Q13" s="491"/>
      <c r="R13" s="491"/>
      <c r="S13" s="181" t="s">
        <v>131</v>
      </c>
      <c r="T13" s="181"/>
      <c r="U13" s="409" t="n">
        <f aca="false">U3+U4+U5+U6+U7+U8</f>
        <v>21.552</v>
      </c>
    </row>
    <row r="14" customFormat="false" ht="25.5" hidden="false" customHeight="true" outlineLevel="0" collapsed="false">
      <c r="A14" s="79" t="s">
        <v>716</v>
      </c>
      <c r="B14" s="293" t="s">
        <v>281</v>
      </c>
      <c r="C14" s="293"/>
      <c r="D14" s="293"/>
      <c r="E14" s="24" t="n">
        <f aca="false">D7*2</f>
        <v>2</v>
      </c>
      <c r="F14" s="97" t="n">
        <f aca="false">C7-45</f>
        <v>2055</v>
      </c>
      <c r="G14" s="97"/>
      <c r="H14" s="83" t="s">
        <v>18</v>
      </c>
      <c r="I14" s="83"/>
      <c r="J14" s="83" t="s">
        <v>33</v>
      </c>
      <c r="K14" s="73" t="s">
        <v>195</v>
      </c>
      <c r="L14" s="73"/>
      <c r="M14" s="296"/>
      <c r="N14" s="296"/>
      <c r="O14" s="296"/>
      <c r="P14" s="296"/>
      <c r="Q14" s="296"/>
      <c r="R14" s="296"/>
      <c r="S14" s="73" t="s">
        <v>132</v>
      </c>
      <c r="T14" s="73"/>
      <c r="U14" s="402" t="n">
        <f aca="false">U13-U12</f>
        <v>8.46587715789474</v>
      </c>
    </row>
    <row r="15" customFormat="false" ht="25.5" hidden="false" customHeight="true" outlineLevel="0" collapsed="false">
      <c r="A15" s="79" t="s">
        <v>717</v>
      </c>
      <c r="B15" s="293" t="s">
        <v>718</v>
      </c>
      <c r="C15" s="293"/>
      <c r="D15" s="293"/>
      <c r="E15" s="24" t="n">
        <f aca="false">D7*1</f>
        <v>1</v>
      </c>
      <c r="F15" s="97" t="n">
        <f aca="false">C7-45</f>
        <v>2055</v>
      </c>
      <c r="G15" s="97"/>
      <c r="H15" s="83" t="s">
        <v>18</v>
      </c>
      <c r="I15" s="83"/>
      <c r="J15" s="83" t="s">
        <v>42</v>
      </c>
      <c r="K15" s="84" t="n">
        <f aca="false">U13*K13</f>
        <v>1077.6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188</v>
      </c>
      <c r="B16" s="293" t="s">
        <v>203</v>
      </c>
      <c r="C16" s="293"/>
      <c r="D16" s="293"/>
      <c r="E16" s="24" t="n">
        <f aca="false">D7*4</f>
        <v>4</v>
      </c>
      <c r="F16" s="97" t="n">
        <f aca="false">B7-167</f>
        <v>533</v>
      </c>
      <c r="G16" s="97"/>
      <c r="H16" s="83" t="s">
        <v>17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79" t="s">
        <v>188</v>
      </c>
      <c r="B17" s="293" t="s">
        <v>203</v>
      </c>
      <c r="C17" s="293"/>
      <c r="D17" s="293"/>
      <c r="E17" s="24" t="n">
        <f aca="false">D7*4</f>
        <v>4</v>
      </c>
      <c r="F17" s="97" t="n">
        <f aca="false">((C7-292)/2)</f>
        <v>904</v>
      </c>
      <c r="G17" s="97"/>
      <c r="H17" s="83" t="s">
        <v>18</v>
      </c>
      <c r="I17" s="83"/>
      <c r="J17" s="83" t="s">
        <v>42</v>
      </c>
      <c r="K17" s="413" t="n">
        <f aca="false">U12*K13</f>
        <v>654.306142105263</v>
      </c>
      <c r="L17" s="413"/>
    </row>
    <row r="18" customFormat="false" ht="25.5" hidden="false" customHeight="true" outlineLevel="0" collapsed="false">
      <c r="A18" s="79" t="s">
        <v>652</v>
      </c>
      <c r="B18" s="293" t="s">
        <v>624</v>
      </c>
      <c r="C18" s="293"/>
      <c r="D18" s="293"/>
      <c r="E18" s="24" t="n">
        <f aca="false">C7/57*D7</f>
        <v>36.8421052631579</v>
      </c>
      <c r="F18" s="24" t="n">
        <f aca="false">B7-177</f>
        <v>523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 t="s">
        <v>737</v>
      </c>
      <c r="B19" s="293" t="s">
        <v>248</v>
      </c>
      <c r="C19" s="293"/>
      <c r="D19" s="293"/>
      <c r="E19" s="46" t="n">
        <f aca="false">D7*1</f>
        <v>1</v>
      </c>
      <c r="F19" s="24" t="n">
        <f aca="false">B7-167</f>
        <v>533</v>
      </c>
      <c r="G19" s="24"/>
      <c r="H19" s="83" t="s">
        <v>17</v>
      </c>
      <c r="I19" s="83"/>
      <c r="J19" s="83" t="s">
        <v>42</v>
      </c>
    </row>
    <row r="20" customFormat="false" ht="22.5" hidden="false" customHeight="true" outlineLevel="0" collapsed="false">
      <c r="A20" s="99"/>
      <c r="B20" s="503"/>
      <c r="C20" s="503"/>
      <c r="D20" s="503"/>
      <c r="E20" s="55"/>
      <c r="F20" s="246"/>
      <c r="G20" s="246"/>
      <c r="H20" s="103"/>
      <c r="I20" s="103"/>
      <c r="J20" s="103"/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99" t="s">
        <v>719</v>
      </c>
      <c r="B22" s="418" t="s">
        <v>720</v>
      </c>
      <c r="C22" s="418"/>
      <c r="D22" s="418"/>
      <c r="E22" s="418"/>
      <c r="F22" s="418"/>
      <c r="G22" s="19" t="s">
        <v>64</v>
      </c>
      <c r="H22" s="19"/>
      <c r="I22" s="221" t="n">
        <v>1</v>
      </c>
      <c r="J22" s="221"/>
    </row>
    <row r="23" customFormat="false" ht="17.25" hidden="false" customHeight="true" outlineLevel="0" collapsed="false">
      <c r="A23" s="481" t="s">
        <v>721</v>
      </c>
      <c r="B23" s="419" t="s">
        <v>254</v>
      </c>
      <c r="C23" s="419"/>
      <c r="D23" s="419"/>
      <c r="E23" s="419"/>
      <c r="F23" s="419"/>
      <c r="G23" s="120" t="s">
        <v>64</v>
      </c>
      <c r="H23" s="120"/>
      <c r="I23" s="28" t="n">
        <v>1</v>
      </c>
      <c r="J23" s="28"/>
    </row>
    <row r="24" customFormat="false" ht="17.25" hidden="false" customHeight="true" outlineLevel="0" collapsed="false">
      <c r="A24" s="493" t="s">
        <v>722</v>
      </c>
      <c r="B24" s="419" t="s">
        <v>723</v>
      </c>
      <c r="C24" s="419"/>
      <c r="D24" s="419"/>
      <c r="E24" s="419"/>
      <c r="F24" s="419"/>
      <c r="G24" s="120" t="s">
        <v>64</v>
      </c>
      <c r="H24" s="120"/>
      <c r="I24" s="28" t="n">
        <v>1</v>
      </c>
      <c r="J24" s="28"/>
      <c r="L24" s="130"/>
    </row>
    <row r="25" customFormat="false" ht="17.25" hidden="false" customHeight="true" outlineLevel="0" collapsed="false">
      <c r="A25" s="493" t="s">
        <v>513</v>
      </c>
      <c r="B25" s="419" t="s">
        <v>528</v>
      </c>
      <c r="C25" s="419"/>
      <c r="D25" s="419"/>
      <c r="E25" s="419"/>
      <c r="F25" s="419"/>
      <c r="G25" s="120" t="s">
        <v>46</v>
      </c>
      <c r="H25" s="120"/>
      <c r="I25" s="28" t="n">
        <f aca="false">(((B7*4)+C7*2)*D7)</f>
        <v>7000</v>
      </c>
      <c r="J25" s="28"/>
      <c r="L25" s="130"/>
    </row>
    <row r="26" customFormat="false" ht="17.25" hidden="false" customHeight="true" outlineLevel="0" collapsed="false">
      <c r="A26" s="493" t="s">
        <v>529</v>
      </c>
      <c r="B26" s="419" t="s">
        <v>724</v>
      </c>
      <c r="C26" s="419"/>
      <c r="D26" s="419"/>
      <c r="E26" s="419"/>
      <c r="F26" s="419"/>
      <c r="G26" s="120" t="s">
        <v>64</v>
      </c>
      <c r="H26" s="120"/>
      <c r="I26" s="28" t="n">
        <v>4</v>
      </c>
      <c r="J26" s="28"/>
      <c r="L26" s="130"/>
    </row>
    <row r="27" customFormat="false" ht="17.25" hidden="false" customHeight="true" outlineLevel="0" collapsed="false">
      <c r="A27" s="493" t="s">
        <v>725</v>
      </c>
      <c r="B27" s="419" t="s">
        <v>73</v>
      </c>
      <c r="C27" s="419"/>
      <c r="D27" s="419"/>
      <c r="E27" s="419"/>
      <c r="F27" s="419"/>
      <c r="G27" s="120" t="s">
        <v>64</v>
      </c>
      <c r="H27" s="120"/>
      <c r="I27" s="28" t="n">
        <v>3</v>
      </c>
      <c r="J27" s="28"/>
      <c r="K27" s="109"/>
      <c r="L27" s="108"/>
      <c r="M27" s="109"/>
    </row>
    <row r="28" customFormat="false" ht="17.25" hidden="false" customHeight="true" outlineLevel="0" collapsed="false">
      <c r="A28" s="493" t="s">
        <v>515</v>
      </c>
      <c r="B28" s="419" t="s">
        <v>518</v>
      </c>
      <c r="C28" s="419"/>
      <c r="D28" s="419"/>
      <c r="E28" s="419"/>
      <c r="F28" s="419"/>
      <c r="G28" s="120" t="s">
        <v>46</v>
      </c>
      <c r="H28" s="120"/>
      <c r="I28" s="28" t="n">
        <f aca="false">C7*D7</f>
        <v>2100</v>
      </c>
      <c r="J28" s="28"/>
      <c r="K28" s="108"/>
      <c r="L28" s="414"/>
      <c r="M28" s="109"/>
    </row>
    <row r="29" customFormat="false" ht="17.25" hidden="false" customHeight="true" outlineLevel="0" collapsed="false">
      <c r="A29" s="493"/>
      <c r="B29" s="419"/>
      <c r="C29" s="419"/>
      <c r="D29" s="419"/>
      <c r="E29" s="419"/>
      <c r="F29" s="419"/>
      <c r="G29" s="120"/>
      <c r="H29" s="120"/>
      <c r="I29" s="28"/>
      <c r="J29" s="28"/>
      <c r="K29" s="108"/>
      <c r="L29" s="414"/>
      <c r="M29" s="109"/>
    </row>
    <row r="30" customFormat="false" ht="17.25" hidden="false" customHeight="true" outlineLevel="0" collapsed="false">
      <c r="A30" s="493"/>
      <c r="B30" s="419"/>
      <c r="C30" s="419"/>
      <c r="D30" s="419"/>
      <c r="E30" s="419"/>
      <c r="F30" s="419"/>
      <c r="G30" s="120"/>
      <c r="H30" s="120"/>
      <c r="I30" s="28"/>
      <c r="J30" s="28"/>
      <c r="K30" s="651" t="n">
        <f aca="false">E11*F11+E12*F12</f>
        <v>4900</v>
      </c>
      <c r="L30" s="652" t="s">
        <v>728</v>
      </c>
      <c r="M30" s="93"/>
      <c r="N30" s="93"/>
      <c r="O30" s="93"/>
      <c r="P30" s="93"/>
      <c r="Q30" s="93"/>
      <c r="R30" s="93"/>
      <c r="S30" s="93"/>
      <c r="T30" s="93"/>
      <c r="U30" s="93"/>
    </row>
    <row r="31" customFormat="false" ht="17.25" hidden="false" customHeight="true" outlineLevel="0" collapsed="false">
      <c r="A31" s="493"/>
      <c r="B31" s="419"/>
      <c r="C31" s="419"/>
      <c r="D31" s="419"/>
      <c r="E31" s="419"/>
      <c r="F31" s="419"/>
      <c r="G31" s="120"/>
      <c r="H31" s="120"/>
      <c r="I31" s="28"/>
      <c r="J31" s="28"/>
      <c r="K31" s="651" t="n">
        <f aca="false">F13*E13+E14*F14</f>
        <v>5380</v>
      </c>
      <c r="L31" s="652" t="s">
        <v>731</v>
      </c>
      <c r="M31" s="93"/>
      <c r="N31" s="93"/>
      <c r="O31" s="93"/>
      <c r="P31" s="93"/>
      <c r="Q31" s="93"/>
      <c r="R31" s="93"/>
      <c r="S31" s="93"/>
      <c r="T31" s="93"/>
      <c r="U31" s="93"/>
    </row>
    <row r="32" customFormat="false" ht="17.25" hidden="false" customHeight="true" outlineLevel="0" collapsed="false">
      <c r="A32" s="493"/>
      <c r="B32" s="419"/>
      <c r="C32" s="419"/>
      <c r="D32" s="419"/>
      <c r="E32" s="419"/>
      <c r="F32" s="419"/>
      <c r="G32" s="120"/>
      <c r="H32" s="120"/>
      <c r="I32" s="28"/>
      <c r="J32" s="28"/>
      <c r="K32" s="651" t="n">
        <f aca="false">F15*E15</f>
        <v>2055</v>
      </c>
      <c r="L32" s="652" t="s">
        <v>732</v>
      </c>
      <c r="M32" s="93"/>
      <c r="N32" s="93"/>
      <c r="O32" s="93"/>
      <c r="P32" s="93"/>
      <c r="Q32" s="93"/>
      <c r="R32" s="93"/>
      <c r="S32" s="93"/>
      <c r="T32" s="93"/>
      <c r="U32" s="93"/>
    </row>
    <row r="33" customFormat="false" ht="17.25" hidden="false" customHeight="true" outlineLevel="0" collapsed="false">
      <c r="A33" s="493"/>
      <c r="B33" s="419"/>
      <c r="C33" s="419"/>
      <c r="D33" s="419"/>
      <c r="E33" s="419"/>
      <c r="F33" s="419"/>
      <c r="G33" s="120"/>
      <c r="H33" s="120"/>
      <c r="I33" s="28"/>
      <c r="J33" s="28"/>
      <c r="K33" s="651" t="n">
        <f aca="false">F16*E16+E17*F17</f>
        <v>5748</v>
      </c>
      <c r="L33" s="652" t="s">
        <v>733</v>
      </c>
      <c r="M33" s="93"/>
      <c r="N33" s="93"/>
      <c r="O33" s="93"/>
      <c r="P33" s="93"/>
      <c r="Q33" s="93"/>
      <c r="R33" s="93"/>
      <c r="S33" s="93"/>
      <c r="T33" s="93"/>
      <c r="U33" s="93"/>
    </row>
    <row r="34" customFormat="false" ht="17.25" hidden="false" customHeight="true" outlineLevel="0" collapsed="false">
      <c r="A34" s="493"/>
      <c r="B34" s="419"/>
      <c r="C34" s="419"/>
      <c r="D34" s="419"/>
      <c r="E34" s="419"/>
      <c r="F34" s="419"/>
      <c r="G34" s="120"/>
      <c r="H34" s="120"/>
      <c r="I34" s="28"/>
      <c r="J34" s="28"/>
      <c r="K34" s="658" t="n">
        <f aca="false">E18*F18</f>
        <v>19268.4210526316</v>
      </c>
      <c r="L34" s="652" t="s">
        <v>734</v>
      </c>
      <c r="M34" s="93"/>
      <c r="N34" s="93"/>
      <c r="O34" s="93"/>
      <c r="P34" s="93"/>
      <c r="Q34" s="93"/>
      <c r="R34" s="93"/>
      <c r="S34" s="93"/>
      <c r="T34" s="93"/>
      <c r="U34" s="93"/>
    </row>
    <row r="35" customFormat="false" ht="17.25" hidden="false" customHeight="true" outlineLevel="0" collapsed="false">
      <c r="A35" s="421"/>
      <c r="B35" s="550"/>
      <c r="C35" s="550"/>
      <c r="D35" s="550"/>
      <c r="E35" s="550"/>
      <c r="F35" s="550"/>
      <c r="G35" s="209"/>
      <c r="H35" s="209"/>
      <c r="I35" s="478"/>
      <c r="J35" s="478"/>
      <c r="K35" s="654" t="n">
        <f aca="false">F19*E19</f>
        <v>533</v>
      </c>
      <c r="L35" s="652" t="s">
        <v>128</v>
      </c>
      <c r="M35" s="93"/>
      <c r="N35" s="93"/>
      <c r="O35" s="93"/>
      <c r="P35" s="93"/>
      <c r="Q35" s="93"/>
      <c r="R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93"/>
      <c r="L36" s="496"/>
      <c r="M36" s="93"/>
      <c r="N36" s="93"/>
      <c r="O36" s="93"/>
      <c r="P36" s="93"/>
      <c r="Q36" s="93"/>
      <c r="R36" s="93"/>
      <c r="S36" s="93"/>
      <c r="T36" s="93"/>
      <c r="U36" s="93"/>
    </row>
  </sheetData>
  <mergeCells count="129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R12"/>
    <mergeCell ref="S12:T12"/>
    <mergeCell ref="B13:D13"/>
    <mergeCell ref="F13:G13"/>
    <mergeCell ref="H13:I13"/>
    <mergeCell ref="M13:N13"/>
    <mergeCell ref="P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665" t="s">
        <v>741</v>
      </c>
      <c r="B1" s="665"/>
      <c r="C1" s="665"/>
      <c r="D1" s="665"/>
      <c r="E1" s="665"/>
      <c r="F1" s="665"/>
      <c r="G1" s="665"/>
      <c r="H1" s="666" t="s">
        <v>742</v>
      </c>
      <c r="I1" s="666"/>
      <c r="J1" s="666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666"/>
      <c r="I2" s="666"/>
      <c r="J2" s="666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12"/>
      <c r="C3" s="12"/>
      <c r="D3" s="12"/>
      <c r="E3" s="12"/>
      <c r="F3" s="12"/>
      <c r="G3" s="12"/>
      <c r="H3" s="666"/>
      <c r="I3" s="666"/>
      <c r="J3" s="666"/>
      <c r="K3" s="22" t="str">
        <f aca="false">A11</f>
        <v>SU-001</v>
      </c>
      <c r="L3" s="667" t="n">
        <f aca="false">F11*E11</f>
        <v>1474</v>
      </c>
      <c r="M3" s="69" t="n">
        <f aca="false">ROUNDUP(N21,0)</f>
        <v>1</v>
      </c>
      <c r="N3" s="668" t="n">
        <f aca="false">0.762*6*K12</f>
        <v>219.456</v>
      </c>
      <c r="O3" s="668"/>
      <c r="P3" s="16" t="n">
        <f aca="false">N3*M3</f>
        <v>219.456</v>
      </c>
      <c r="Q3" s="16"/>
      <c r="R3" s="417" t="str">
        <f aca="false">F5</f>
        <v>BRANCO</v>
      </c>
      <c r="S3" s="17" t="n">
        <v>6000</v>
      </c>
      <c r="T3" s="669" t="n">
        <f aca="false">(((F11*E11)*0.762/1000))</f>
        <v>1.123188</v>
      </c>
      <c r="U3" s="670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12"/>
      <c r="C4" s="12"/>
      <c r="D4" s="264" t="s">
        <v>13</v>
      </c>
      <c r="E4" s="264"/>
      <c r="F4" s="21"/>
      <c r="G4" s="21"/>
      <c r="H4" s="666"/>
      <c r="I4" s="666"/>
      <c r="J4" s="666"/>
      <c r="K4" s="22" t="str">
        <f aca="false">A12</f>
        <v>SU-002</v>
      </c>
      <c r="L4" s="671" t="n">
        <f aca="false">F12*E12</f>
        <v>1474</v>
      </c>
      <c r="M4" s="46" t="n">
        <f aca="false">ROUNDUP(N22,0)</f>
        <v>1</v>
      </c>
      <c r="N4" s="25" t="n">
        <f aca="false">0.707*6*K12</f>
        <v>203.616</v>
      </c>
      <c r="O4" s="25"/>
      <c r="P4" s="25" t="n">
        <f aca="false">N4*M4</f>
        <v>203.616</v>
      </c>
      <c r="Q4" s="25"/>
      <c r="R4" s="47" t="str">
        <f aca="false">F5</f>
        <v>BRANCO</v>
      </c>
      <c r="S4" s="26" t="n">
        <v>6000</v>
      </c>
      <c r="T4" s="670" t="n">
        <f aca="false">(((F12*E12)*0.707/1000))</f>
        <v>1.042118</v>
      </c>
      <c r="U4" s="670" t="n">
        <f aca="false">M4*4.242</f>
        <v>4.242</v>
      </c>
    </row>
    <row r="5" customFormat="false" ht="19.5" hidden="false" customHeight="true" outlineLevel="0" collapsed="false">
      <c r="A5" s="254" t="s">
        <v>14</v>
      </c>
      <c r="B5" s="29"/>
      <c r="C5" s="29"/>
      <c r="D5" s="264" t="s">
        <v>8</v>
      </c>
      <c r="E5" s="264"/>
      <c r="F5" s="21" t="s">
        <v>15</v>
      </c>
      <c r="G5" s="21"/>
      <c r="H5" s="666"/>
      <c r="I5" s="666"/>
      <c r="J5" s="666"/>
      <c r="K5" s="22" t="str">
        <f aca="false">A13</f>
        <v>SU-003</v>
      </c>
      <c r="L5" s="671" t="n">
        <f aca="false">F13*E13</f>
        <v>2400</v>
      </c>
      <c r="M5" s="46" t="n">
        <f aca="false">ROUNDUP(N23,0)</f>
        <v>1</v>
      </c>
      <c r="N5" s="25" t="n">
        <f aca="false">0.523*6*K12</f>
        <v>150.624</v>
      </c>
      <c r="O5" s="25"/>
      <c r="P5" s="25" t="n">
        <f aca="false">N5*M5</f>
        <v>150.624</v>
      </c>
      <c r="Q5" s="25"/>
      <c r="R5" s="47" t="str">
        <f aca="false">F5</f>
        <v>BRANCO</v>
      </c>
      <c r="S5" s="26" t="n">
        <v>6000</v>
      </c>
      <c r="T5" s="670" t="n">
        <f aca="false">(((F13*E13)*0.523/1000))</f>
        <v>1.2552</v>
      </c>
      <c r="U5" s="670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22" t="str">
        <f aca="false">A14</f>
        <v>SU-039</v>
      </c>
      <c r="L6" s="671" t="n">
        <f aca="false">F14*E14</f>
        <v>2300</v>
      </c>
      <c r="M6" s="46" t="n">
        <f aca="false">ROUNDUP(N24,0)</f>
        <v>1</v>
      </c>
      <c r="N6" s="25" t="n">
        <f aca="false">0.52*6*K12</f>
        <v>149.76</v>
      </c>
      <c r="O6" s="25"/>
      <c r="P6" s="25" t="n">
        <f aca="false">N6*M6</f>
        <v>149.76</v>
      </c>
      <c r="Q6" s="25"/>
      <c r="R6" s="47" t="str">
        <f aca="false">F5</f>
        <v>BRANCO</v>
      </c>
      <c r="S6" s="26" t="n">
        <v>6000</v>
      </c>
      <c r="T6" s="670" t="n">
        <f aca="false">(((F14*E14)*0.52/1000))</f>
        <v>1.196</v>
      </c>
      <c r="U6" s="670" t="n">
        <f aca="false">M6*3.12</f>
        <v>3.12</v>
      </c>
    </row>
    <row r="7" customFormat="false" ht="27" hidden="false" customHeight="true" outlineLevel="0" collapsed="false">
      <c r="A7" s="672" t="n">
        <v>700</v>
      </c>
      <c r="B7" s="272" t="n">
        <v>1500</v>
      </c>
      <c r="C7" s="272" t="n">
        <v>1200</v>
      </c>
      <c r="D7" s="272" t="n">
        <v>1</v>
      </c>
      <c r="E7" s="673" t="n">
        <f aca="false">(B7*C7)/10^6</f>
        <v>1.8</v>
      </c>
      <c r="F7" s="673"/>
      <c r="G7" s="270"/>
      <c r="H7" s="270"/>
      <c r="I7" s="270"/>
      <c r="J7" s="270"/>
      <c r="K7" s="22" t="str">
        <f aca="false">A15</f>
        <v>SU-040</v>
      </c>
      <c r="L7" s="671" t="n">
        <f aca="false">F15*E15</f>
        <v>1150</v>
      </c>
      <c r="M7" s="46" t="n">
        <f aca="false">ROUNDUP(N25,0)</f>
        <v>1</v>
      </c>
      <c r="N7" s="25" t="n">
        <f aca="false">0.48*6*K12</f>
        <v>138.24</v>
      </c>
      <c r="O7" s="25"/>
      <c r="P7" s="25" t="n">
        <f aca="false">N7*M7</f>
        <v>138.24</v>
      </c>
      <c r="Q7" s="25"/>
      <c r="R7" s="47" t="str">
        <f aca="false">F5</f>
        <v>BRANCO</v>
      </c>
      <c r="S7" s="26" t="n">
        <v>6000</v>
      </c>
      <c r="T7" s="670" t="n">
        <f aca="false">(((F15*E15)*0.48/1000))</f>
        <v>0.552</v>
      </c>
      <c r="U7" s="670" t="n">
        <f aca="false">M7*2.88</f>
        <v>2.88</v>
      </c>
    </row>
    <row r="8" customFormat="false" ht="24" hidden="false" customHeight="true" outlineLevel="0" collapsed="false">
      <c r="A8" s="104" t="s">
        <v>120</v>
      </c>
      <c r="B8" s="104"/>
      <c r="C8" s="535" t="n">
        <f aca="false">D7*C9</f>
        <v>1260</v>
      </c>
      <c r="D8" s="535"/>
      <c r="E8" s="20" t="s">
        <v>16</v>
      </c>
      <c r="F8" s="39" t="n">
        <f aca="false">D7*2</f>
        <v>2</v>
      </c>
      <c r="G8" s="270"/>
      <c r="H8" s="270"/>
      <c r="I8" s="270"/>
      <c r="J8" s="270"/>
      <c r="K8" s="22" t="str">
        <f aca="false">A16</f>
        <v>SU-041</v>
      </c>
      <c r="L8" s="671" t="n">
        <f aca="false">F16*E16</f>
        <v>1150</v>
      </c>
      <c r="M8" s="46" t="n">
        <f aca="false">ROUNDUP(N26,0)</f>
        <v>1</v>
      </c>
      <c r="N8" s="25" t="n">
        <f aca="false">0.507*6*K12</f>
        <v>146.016</v>
      </c>
      <c r="O8" s="25"/>
      <c r="P8" s="25" t="n">
        <f aca="false">N8*M8</f>
        <v>146.016</v>
      </c>
      <c r="Q8" s="25"/>
      <c r="R8" s="47" t="str">
        <f aca="false">F5</f>
        <v>BRANCO</v>
      </c>
      <c r="S8" s="26" t="n">
        <v>6000</v>
      </c>
      <c r="T8" s="670" t="n">
        <f aca="false">(((F16*E16)*0.507/1000))</f>
        <v>0.58305</v>
      </c>
      <c r="U8" s="670" t="n">
        <f aca="false">M8*3.042</f>
        <v>3.042</v>
      </c>
    </row>
    <row r="9" customFormat="false" ht="26.25" hidden="false" customHeight="true" outlineLevel="0" collapsed="false">
      <c r="A9" s="11" t="s">
        <v>122</v>
      </c>
      <c r="B9" s="11"/>
      <c r="C9" s="536" t="n">
        <f aca="false">E7*A7</f>
        <v>1260</v>
      </c>
      <c r="D9" s="536"/>
      <c r="E9" s="389" t="n">
        <f aca="false">M24/2</f>
        <v>678.5</v>
      </c>
      <c r="F9" s="401" t="n">
        <f aca="false">C7-134</f>
        <v>1066</v>
      </c>
      <c r="G9" s="270"/>
      <c r="H9" s="270"/>
      <c r="I9" s="270"/>
      <c r="J9" s="270"/>
      <c r="K9" s="22" t="str">
        <f aca="false">A17</f>
        <v>SU-053</v>
      </c>
      <c r="L9" s="671" t="n">
        <f aca="false">F17*E17</f>
        <v>2736</v>
      </c>
      <c r="M9" s="46" t="n">
        <f aca="false">ROUNDUP(N27,0)</f>
        <v>1</v>
      </c>
      <c r="N9" s="25" t="n">
        <f aca="false">0.507*6*K12</f>
        <v>146.016</v>
      </c>
      <c r="O9" s="25"/>
      <c r="P9" s="25" t="n">
        <f aca="false">N9*M9</f>
        <v>146.016</v>
      </c>
      <c r="Q9" s="25"/>
      <c r="R9" s="47" t="str">
        <f aca="false">F5</f>
        <v>BRANCO</v>
      </c>
      <c r="S9" s="26" t="n">
        <v>6000</v>
      </c>
      <c r="T9" s="670" t="n">
        <f aca="false">(((F17*E17)*0.507/1000))</f>
        <v>1.387152</v>
      </c>
      <c r="U9" s="670" t="n">
        <f aca="false">M9*3.042</f>
        <v>3.042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61" t="str">
        <f aca="false">A18</f>
        <v>SU-102</v>
      </c>
      <c r="L10" s="62" t="n">
        <f aca="false">F18*E18+F19*E19</f>
        <v>6928</v>
      </c>
      <c r="M10" s="55" t="n">
        <f aca="false">ROUNDUP(N28,0)</f>
        <v>2</v>
      </c>
      <c r="N10" s="63" t="n">
        <f aca="false">0.111*6*K12</f>
        <v>31.968</v>
      </c>
      <c r="O10" s="63"/>
      <c r="P10" s="63" t="n">
        <f aca="false">N10*M10</f>
        <v>63.936</v>
      </c>
      <c r="Q10" s="63"/>
      <c r="R10" s="64" t="str">
        <f aca="false">F5</f>
        <v>BRANCO</v>
      </c>
      <c r="S10" s="209" t="n">
        <v>6000</v>
      </c>
      <c r="T10" s="674" t="n">
        <f aca="false">(((F18*E18+F19*E19)*0.111/1000))</f>
        <v>0.769008</v>
      </c>
      <c r="U10" s="674" t="n">
        <f aca="false">M10*0.606</f>
        <v>1.212</v>
      </c>
    </row>
    <row r="11" customFormat="false" ht="25.5" hidden="false" customHeight="true" outlineLevel="0" collapsed="false">
      <c r="A11" s="67" t="s">
        <v>186</v>
      </c>
      <c r="B11" s="68" t="s">
        <v>187</v>
      </c>
      <c r="C11" s="68"/>
      <c r="D11" s="68"/>
      <c r="E11" s="69" t="n">
        <f aca="false">D7*1</f>
        <v>1</v>
      </c>
      <c r="F11" s="69" t="n">
        <f aca="false">B7-26</f>
        <v>1474</v>
      </c>
      <c r="G11" s="69"/>
      <c r="H11" s="72" t="s">
        <v>17</v>
      </c>
      <c r="I11" s="72"/>
      <c r="J11" s="72" t="s">
        <v>42</v>
      </c>
      <c r="K11" s="675" t="s">
        <v>133</v>
      </c>
      <c r="L11" s="676" t="s">
        <v>134</v>
      </c>
      <c r="M11" s="73" t="s">
        <v>743</v>
      </c>
      <c r="N11" s="73"/>
      <c r="O11" s="73" t="s">
        <v>136</v>
      </c>
      <c r="P11" s="73"/>
      <c r="Q11" s="73"/>
      <c r="R11" s="73" t="s">
        <v>130</v>
      </c>
      <c r="S11" s="73"/>
      <c r="T11" s="73"/>
      <c r="U11" s="409" t="n">
        <f aca="false">T3+T4+T5+T6+T7+T8+T9+T10</f>
        <v>7.907716</v>
      </c>
      <c r="V11" s="78"/>
      <c r="W11" s="78"/>
    </row>
    <row r="12" customFormat="false" ht="25.5" hidden="false" customHeight="true" outlineLevel="0" collapsed="false">
      <c r="A12" s="79" t="s">
        <v>189</v>
      </c>
      <c r="B12" s="80" t="s">
        <v>190</v>
      </c>
      <c r="C12" s="80"/>
      <c r="D12" s="80"/>
      <c r="E12" s="46" t="n">
        <f aca="false">D7*1</f>
        <v>1</v>
      </c>
      <c r="F12" s="97" t="n">
        <f aca="false">B7-26</f>
        <v>1474</v>
      </c>
      <c r="G12" s="97"/>
      <c r="H12" s="83" t="s">
        <v>17</v>
      </c>
      <c r="I12" s="83"/>
      <c r="J12" s="83" t="s">
        <v>42</v>
      </c>
      <c r="K12" s="85" t="n">
        <v>48</v>
      </c>
      <c r="L12" s="183" t="n">
        <v>100</v>
      </c>
      <c r="M12" s="411" t="n">
        <f aca="false">U11*L12</f>
        <v>790.7716</v>
      </c>
      <c r="N12" s="411"/>
      <c r="O12" s="677" t="n">
        <v>0.5</v>
      </c>
      <c r="P12" s="678" t="n">
        <f aca="false">K16*O12+K16</f>
        <v>569.355552</v>
      </c>
      <c r="Q12" s="678"/>
      <c r="R12" s="73" t="s">
        <v>131</v>
      </c>
      <c r="S12" s="73"/>
      <c r="T12" s="73"/>
      <c r="U12" s="679" t="n">
        <f aca="false">U3+U4+U5+U6+U7+U8+U9+U10</f>
        <v>25.248</v>
      </c>
    </row>
    <row r="13" customFormat="false" ht="25.5" hidden="false" customHeight="true" outlineLevel="0" collapsed="false">
      <c r="A13" s="79" t="s">
        <v>191</v>
      </c>
      <c r="B13" s="80" t="s">
        <v>192</v>
      </c>
      <c r="C13" s="80"/>
      <c r="D13" s="80"/>
      <c r="E13" s="46" t="n">
        <f aca="false">D7*2</f>
        <v>2</v>
      </c>
      <c r="F13" s="97" t="n">
        <f aca="false">C7</f>
        <v>1200</v>
      </c>
      <c r="G13" s="97"/>
      <c r="H13" s="83" t="s">
        <v>18</v>
      </c>
      <c r="I13" s="83"/>
      <c r="J13" s="83" t="s">
        <v>42</v>
      </c>
      <c r="K13" s="73" t="s">
        <v>195</v>
      </c>
      <c r="L13" s="73"/>
      <c r="M13" s="88"/>
      <c r="N13" s="88"/>
      <c r="O13" s="88"/>
      <c r="P13" s="88"/>
      <c r="R13" s="73" t="s">
        <v>132</v>
      </c>
      <c r="S13" s="73"/>
      <c r="T13" s="73"/>
      <c r="U13" s="674" t="n">
        <f aca="false">U12-U11</f>
        <v>17.340284</v>
      </c>
    </row>
    <row r="14" customFormat="false" ht="25.5" hidden="false" customHeight="true" outlineLevel="0" collapsed="false">
      <c r="A14" s="79" t="s">
        <v>193</v>
      </c>
      <c r="B14" s="80" t="s">
        <v>194</v>
      </c>
      <c r="C14" s="80"/>
      <c r="D14" s="80"/>
      <c r="E14" s="46" t="n">
        <f aca="false">D7*2</f>
        <v>2</v>
      </c>
      <c r="F14" s="97" t="n">
        <f aca="false">C7-50</f>
        <v>1150</v>
      </c>
      <c r="G14" s="97"/>
      <c r="H14" s="83" t="s">
        <v>18</v>
      </c>
      <c r="I14" s="83"/>
      <c r="J14" s="83" t="s">
        <v>42</v>
      </c>
      <c r="K14" s="84" t="n">
        <f aca="false">P3+P4+P5+P6+P7+P8+P9+P10</f>
        <v>1217.664</v>
      </c>
      <c r="L14" s="84"/>
      <c r="N14" s="88"/>
      <c r="O14" s="88"/>
    </row>
    <row r="15" customFormat="false" ht="25.5" hidden="false" customHeight="true" outlineLevel="0" collapsed="false">
      <c r="A15" s="79" t="s">
        <v>197</v>
      </c>
      <c r="B15" s="80" t="s">
        <v>198</v>
      </c>
      <c r="C15" s="80"/>
      <c r="D15" s="80"/>
      <c r="E15" s="46" t="n">
        <f aca="false">D7*1</f>
        <v>1</v>
      </c>
      <c r="F15" s="97" t="n">
        <f aca="false">F14</f>
        <v>1150</v>
      </c>
      <c r="G15" s="97"/>
      <c r="H15" s="83" t="s">
        <v>18</v>
      </c>
      <c r="I15" s="83"/>
      <c r="J15" s="83" t="s">
        <v>42</v>
      </c>
      <c r="K15" s="73" t="s">
        <v>199</v>
      </c>
      <c r="L15" s="73"/>
    </row>
    <row r="16" customFormat="false" ht="25.5" hidden="false" customHeight="true" outlineLevel="0" collapsed="false">
      <c r="A16" s="79" t="s">
        <v>200</v>
      </c>
      <c r="B16" s="80" t="s">
        <v>198</v>
      </c>
      <c r="C16" s="80"/>
      <c r="D16" s="80"/>
      <c r="E16" s="46" t="n">
        <f aca="false">D7*1</f>
        <v>1</v>
      </c>
      <c r="F16" s="97" t="n">
        <f aca="false">C7-50</f>
        <v>1150</v>
      </c>
      <c r="G16" s="97"/>
      <c r="H16" s="83" t="s">
        <v>18</v>
      </c>
      <c r="I16" s="83"/>
      <c r="J16" s="83" t="s">
        <v>42</v>
      </c>
      <c r="K16" s="413" t="n">
        <f aca="false">U11*K12</f>
        <v>379.570368</v>
      </c>
      <c r="L16" s="413"/>
    </row>
    <row r="17" customFormat="false" ht="25.5" hidden="false" customHeight="true" outlineLevel="0" collapsed="false">
      <c r="A17" s="79" t="s">
        <v>201</v>
      </c>
      <c r="B17" s="80" t="s">
        <v>744</v>
      </c>
      <c r="C17" s="80"/>
      <c r="D17" s="80"/>
      <c r="E17" s="46" t="n">
        <f aca="false">D7*4</f>
        <v>4</v>
      </c>
      <c r="F17" s="24" t="n">
        <f aca="false">L22/2</f>
        <v>684</v>
      </c>
      <c r="G17" s="24"/>
      <c r="H17" s="83" t="s">
        <v>17</v>
      </c>
      <c r="I17" s="83"/>
      <c r="J17" s="83" t="s">
        <v>42</v>
      </c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D7*4</f>
        <v>4</v>
      </c>
      <c r="F18" s="24" t="n">
        <f aca="false">F17</f>
        <v>684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 t="s">
        <v>188</v>
      </c>
      <c r="B19" s="80" t="s">
        <v>203</v>
      </c>
      <c r="C19" s="80"/>
      <c r="D19" s="80"/>
      <c r="E19" s="46" t="n">
        <f aca="false">D7*4</f>
        <v>4</v>
      </c>
      <c r="F19" s="24" t="n">
        <f aca="false">C7-152</f>
        <v>1048</v>
      </c>
      <c r="G19" s="24"/>
      <c r="H19" s="83" t="s">
        <v>18</v>
      </c>
      <c r="I19" s="83"/>
      <c r="J19" s="83" t="s">
        <v>42</v>
      </c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246"/>
      <c r="G20" s="246"/>
      <c r="H20" s="103"/>
      <c r="I20" s="103"/>
      <c r="J20" s="31"/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160" t="s">
        <v>207</v>
      </c>
      <c r="J21" s="160"/>
      <c r="K21" s="109"/>
      <c r="L21" s="109"/>
      <c r="M21" s="109"/>
      <c r="N21" s="108" t="n">
        <f aca="false">IF(L3&gt;6000,L3/6000,1)</f>
        <v>1</v>
      </c>
      <c r="O21" s="109"/>
      <c r="P21" s="109"/>
      <c r="Q21" s="109"/>
      <c r="R21" s="109"/>
      <c r="S21" s="109"/>
      <c r="T21" s="109"/>
      <c r="U21" s="109"/>
    </row>
    <row r="22" customFormat="false" ht="17.25" hidden="false" customHeight="true" outlineLevel="0" collapsed="false">
      <c r="A22" s="417" t="s">
        <v>208</v>
      </c>
      <c r="B22" s="418" t="s">
        <v>209</v>
      </c>
      <c r="C22" s="418"/>
      <c r="D22" s="418"/>
      <c r="E22" s="418"/>
      <c r="F22" s="418"/>
      <c r="G22" s="19" t="s">
        <v>210</v>
      </c>
      <c r="H22" s="19"/>
      <c r="I22" s="221" t="n">
        <f aca="false">D7*2</f>
        <v>2</v>
      </c>
      <c r="J22" s="221"/>
      <c r="K22" s="109"/>
      <c r="L22" s="109" t="n">
        <f aca="false">B7-L23</f>
        <v>1368</v>
      </c>
      <c r="M22" s="109"/>
      <c r="N22" s="108" t="n">
        <f aca="false">IF(L4&gt;6000,L4/6000,1)</f>
        <v>1</v>
      </c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47" t="s">
        <v>211</v>
      </c>
      <c r="B23" s="419" t="s">
        <v>212</v>
      </c>
      <c r="C23" s="419"/>
      <c r="D23" s="419"/>
      <c r="E23" s="419"/>
      <c r="F23" s="419"/>
      <c r="G23" s="120" t="s">
        <v>210</v>
      </c>
      <c r="H23" s="120"/>
      <c r="I23" s="28" t="n">
        <f aca="false">D7*2</f>
        <v>2</v>
      </c>
      <c r="J23" s="28"/>
      <c r="K23" s="109"/>
      <c r="L23" s="109" t="n">
        <v>132</v>
      </c>
      <c r="M23" s="109"/>
      <c r="N23" s="109" t="n">
        <f aca="false">IF(L5&gt;6000,L5/6000,1)</f>
        <v>1</v>
      </c>
      <c r="O23" s="109"/>
      <c r="P23" s="109"/>
      <c r="Q23" s="109"/>
      <c r="R23" s="109"/>
      <c r="S23" s="109"/>
      <c r="T23" s="109"/>
      <c r="U23" s="109"/>
    </row>
    <row r="24" customFormat="false" ht="17.25" hidden="false" customHeight="true" outlineLevel="0" collapsed="false">
      <c r="A24" s="47" t="s">
        <v>213</v>
      </c>
      <c r="B24" s="419" t="s">
        <v>214</v>
      </c>
      <c r="C24" s="419"/>
      <c r="D24" s="419"/>
      <c r="E24" s="419"/>
      <c r="F24" s="419"/>
      <c r="G24" s="120" t="s">
        <v>46</v>
      </c>
      <c r="H24" s="120"/>
      <c r="I24" s="28" t="n">
        <f aca="false">B7*4*D7</f>
        <v>6000</v>
      </c>
      <c r="J24" s="28"/>
      <c r="K24" s="108" t="n">
        <f aca="false">F18*4*D7</f>
        <v>2736</v>
      </c>
      <c r="L24" s="109" t="n">
        <f aca="false">B7-257</f>
        <v>1243</v>
      </c>
      <c r="M24" s="109" t="n">
        <f aca="false">B7-143</f>
        <v>1357</v>
      </c>
      <c r="N24" s="109" t="n">
        <f aca="false">IF(L6&gt;6000,L6/6000,1)</f>
        <v>1</v>
      </c>
      <c r="O24" s="109"/>
      <c r="P24" s="109"/>
      <c r="Q24" s="109"/>
      <c r="R24" s="109"/>
      <c r="S24" s="109"/>
      <c r="T24" s="109"/>
      <c r="U24" s="109"/>
    </row>
    <row r="25" customFormat="false" ht="17.25" hidden="false" customHeight="true" outlineLevel="0" collapsed="false">
      <c r="A25" s="47" t="s">
        <v>215</v>
      </c>
      <c r="B25" s="419" t="s">
        <v>216</v>
      </c>
      <c r="C25" s="419"/>
      <c r="D25" s="419"/>
      <c r="E25" s="419"/>
      <c r="F25" s="419"/>
      <c r="G25" s="120" t="s">
        <v>46</v>
      </c>
      <c r="H25" s="120"/>
      <c r="I25" s="28" t="n">
        <f aca="false">I24</f>
        <v>6000</v>
      </c>
      <c r="J25" s="28"/>
      <c r="K25" s="108" t="n">
        <f aca="false">C7*4*D7</f>
        <v>4800</v>
      </c>
      <c r="L25" s="415" t="n">
        <f aca="false">B7-233.5</f>
        <v>1266.5</v>
      </c>
      <c r="M25" s="109"/>
      <c r="N25" s="108" t="n">
        <f aca="false">IF(L7&gt;6000,L7/6000,1)</f>
        <v>1</v>
      </c>
      <c r="O25" s="109"/>
      <c r="P25" s="109"/>
      <c r="Q25" s="109"/>
      <c r="R25" s="109"/>
      <c r="S25" s="109"/>
      <c r="T25" s="109"/>
      <c r="U25" s="109"/>
    </row>
    <row r="26" customFormat="false" ht="17.25" hidden="false" customHeight="true" outlineLevel="0" collapsed="false">
      <c r="A26" s="47" t="s">
        <v>217</v>
      </c>
      <c r="B26" s="419" t="s">
        <v>218</v>
      </c>
      <c r="C26" s="419"/>
      <c r="D26" s="419"/>
      <c r="E26" s="419"/>
      <c r="F26" s="419"/>
      <c r="G26" s="120" t="s">
        <v>46</v>
      </c>
      <c r="H26" s="120"/>
      <c r="I26" s="28" t="n">
        <f aca="false">I25</f>
        <v>6000</v>
      </c>
      <c r="J26" s="28"/>
      <c r="K26" s="108" t="n">
        <f aca="false">K25</f>
        <v>4800</v>
      </c>
      <c r="L26" s="108"/>
      <c r="M26" s="109"/>
      <c r="N26" s="108" t="n">
        <f aca="false">IF(L8&gt;6000,L8/6000,1)</f>
        <v>1</v>
      </c>
      <c r="O26" s="109"/>
      <c r="P26" s="109"/>
      <c r="Q26" s="109"/>
      <c r="R26" s="109"/>
      <c r="S26" s="109"/>
      <c r="T26" s="109"/>
      <c r="U26" s="109"/>
    </row>
    <row r="27" customFormat="false" ht="17.25" hidden="false" customHeight="true" outlineLevel="0" collapsed="false">
      <c r="A27" s="47" t="s">
        <v>219</v>
      </c>
      <c r="B27" s="419" t="s">
        <v>220</v>
      </c>
      <c r="C27" s="419"/>
      <c r="D27" s="419"/>
      <c r="E27" s="419"/>
      <c r="F27" s="419"/>
      <c r="G27" s="120" t="s">
        <v>46</v>
      </c>
      <c r="H27" s="120"/>
      <c r="I27" s="28" t="n">
        <f aca="false">I26*2</f>
        <v>12000</v>
      </c>
      <c r="J27" s="28"/>
      <c r="K27" s="108" t="n">
        <f aca="false">K26+K24*D7</f>
        <v>7536</v>
      </c>
      <c r="L27" s="108"/>
      <c r="M27" s="109"/>
      <c r="N27" s="108" t="n">
        <f aca="false">IF(L9&gt;6000,L9/6000,1)</f>
        <v>1</v>
      </c>
      <c r="O27" s="109"/>
      <c r="P27" s="109"/>
      <c r="Q27" s="109"/>
      <c r="R27" s="109"/>
      <c r="S27" s="109"/>
      <c r="T27" s="109"/>
      <c r="U27" s="109"/>
    </row>
    <row r="28" customFormat="false" ht="17.25" hidden="false" customHeight="true" outlineLevel="0" collapsed="false">
      <c r="A28" s="47" t="s">
        <v>221</v>
      </c>
      <c r="B28" s="419" t="s">
        <v>222</v>
      </c>
      <c r="C28" s="419"/>
      <c r="D28" s="419"/>
      <c r="E28" s="419"/>
      <c r="F28" s="419"/>
      <c r="G28" s="120" t="s">
        <v>46</v>
      </c>
      <c r="H28" s="120"/>
      <c r="I28" s="28" t="n">
        <f aca="false">K28*2</f>
        <v>4800</v>
      </c>
      <c r="J28" s="28"/>
      <c r="K28" s="108" t="n">
        <f aca="false">C7*2*D7</f>
        <v>2400</v>
      </c>
      <c r="L28" s="108"/>
      <c r="M28" s="109"/>
      <c r="N28" s="108" t="n">
        <f aca="false">IF(L10&gt;6000,L10/6000,1)</f>
        <v>1.15466666666667</v>
      </c>
      <c r="O28" s="109"/>
      <c r="P28" s="109"/>
      <c r="Q28" s="109"/>
      <c r="R28" s="109"/>
      <c r="S28" s="109"/>
      <c r="T28" s="109"/>
      <c r="U28" s="109"/>
    </row>
    <row r="29" customFormat="false" ht="17.25" hidden="false" customHeight="true" outlineLevel="0" collapsed="false">
      <c r="A29" s="47" t="s">
        <v>223</v>
      </c>
      <c r="B29" s="419" t="s">
        <v>224</v>
      </c>
      <c r="C29" s="419"/>
      <c r="D29" s="419"/>
      <c r="E29" s="419"/>
      <c r="F29" s="419"/>
      <c r="G29" s="120" t="s">
        <v>46</v>
      </c>
      <c r="H29" s="120"/>
      <c r="I29" s="28" t="n">
        <f aca="false">I28</f>
        <v>4800</v>
      </c>
      <c r="J29" s="28"/>
      <c r="K29" s="108" t="n">
        <f aca="false">K26</f>
        <v>4800</v>
      </c>
      <c r="L29" s="108"/>
      <c r="M29" s="109"/>
      <c r="N29" s="109"/>
      <c r="O29" s="109"/>
      <c r="P29" s="109"/>
      <c r="Q29" s="109"/>
      <c r="R29" s="109"/>
      <c r="S29" s="109"/>
      <c r="T29" s="109"/>
      <c r="U29" s="109"/>
    </row>
    <row r="30" customFormat="false" ht="17.25" hidden="false" customHeight="true" outlineLevel="0" collapsed="false">
      <c r="A30" s="47" t="s">
        <v>225</v>
      </c>
      <c r="B30" s="419" t="s">
        <v>226</v>
      </c>
      <c r="C30" s="419"/>
      <c r="D30" s="419"/>
      <c r="E30" s="419"/>
      <c r="F30" s="419"/>
      <c r="G30" s="120" t="s">
        <v>210</v>
      </c>
      <c r="H30" s="120"/>
      <c r="I30" s="28" t="n">
        <f aca="false">D7</f>
        <v>1</v>
      </c>
      <c r="J30" s="28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customFormat="false" ht="17.25" hidden="false" customHeight="true" outlineLevel="0" collapsed="false">
      <c r="A31" s="47" t="s">
        <v>227</v>
      </c>
      <c r="B31" s="419" t="s">
        <v>228</v>
      </c>
      <c r="C31" s="419"/>
      <c r="D31" s="419"/>
      <c r="E31" s="419"/>
      <c r="F31" s="419"/>
      <c r="G31" s="120" t="s">
        <v>210</v>
      </c>
      <c r="H31" s="120"/>
      <c r="I31" s="28" t="n">
        <f aca="false">D7*8</f>
        <v>8</v>
      </c>
      <c r="J31" s="28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customFormat="false" ht="17.25" hidden="false" customHeight="true" outlineLevel="0" collapsed="false">
      <c r="A32" s="47" t="s">
        <v>229</v>
      </c>
      <c r="B32" s="419" t="s">
        <v>230</v>
      </c>
      <c r="C32" s="419"/>
      <c r="D32" s="419"/>
      <c r="E32" s="419"/>
      <c r="F32" s="419"/>
      <c r="G32" s="120" t="s">
        <v>210</v>
      </c>
      <c r="H32" s="120"/>
      <c r="I32" s="28" t="n">
        <f aca="false">D7*1</f>
        <v>1</v>
      </c>
      <c r="J32" s="2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</row>
    <row r="33" customFormat="false" ht="17.25" hidden="false" customHeight="true" outlineLevel="0" collapsed="false">
      <c r="A33" s="47" t="s">
        <v>231</v>
      </c>
      <c r="B33" s="419" t="s">
        <v>232</v>
      </c>
      <c r="C33" s="419"/>
      <c r="D33" s="419"/>
      <c r="E33" s="419"/>
      <c r="F33" s="419"/>
      <c r="G33" s="120" t="s">
        <v>210</v>
      </c>
      <c r="H33" s="120"/>
      <c r="I33" s="28" t="n">
        <f aca="false">D7*2</f>
        <v>2</v>
      </c>
      <c r="J33" s="2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</row>
    <row r="34" customFormat="false" ht="17.25" hidden="false" customHeight="true" outlineLevel="0" collapsed="false">
      <c r="A34" s="47" t="s">
        <v>233</v>
      </c>
      <c r="B34" s="419" t="s">
        <v>234</v>
      </c>
      <c r="C34" s="419"/>
      <c r="D34" s="419"/>
      <c r="E34" s="419"/>
      <c r="F34" s="419"/>
      <c r="G34" s="120" t="s">
        <v>210</v>
      </c>
      <c r="H34" s="120"/>
      <c r="I34" s="28" t="n">
        <f aca="false">D7*16</f>
        <v>16</v>
      </c>
      <c r="J34" s="2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</row>
    <row r="35" customFormat="false" ht="17.25" hidden="false" customHeight="true" outlineLevel="0" collapsed="false">
      <c r="A35" s="64" t="s">
        <v>235</v>
      </c>
      <c r="B35" s="550" t="s">
        <v>236</v>
      </c>
      <c r="C35" s="550"/>
      <c r="D35" s="550"/>
      <c r="E35" s="550"/>
      <c r="F35" s="550"/>
      <c r="G35" s="209" t="s">
        <v>210</v>
      </c>
      <c r="H35" s="209"/>
      <c r="I35" s="478" t="n">
        <f aca="false">D7*4</f>
        <v>4</v>
      </c>
      <c r="J35" s="47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127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M11:N11"/>
    <mergeCell ref="O11:Q11"/>
    <mergeCell ref="R11:T11"/>
    <mergeCell ref="B12:D12"/>
    <mergeCell ref="F12:G12"/>
    <mergeCell ref="H12:I12"/>
    <mergeCell ref="M12:N12"/>
    <mergeCell ref="P12:Q12"/>
    <mergeCell ref="R12:T12"/>
    <mergeCell ref="B13:D13"/>
    <mergeCell ref="F13:G13"/>
    <mergeCell ref="H13:I13"/>
    <mergeCell ref="K13:L13"/>
    <mergeCell ref="R13:T13"/>
    <mergeCell ref="B14:D14"/>
    <mergeCell ref="F14:G14"/>
    <mergeCell ref="H14:I14"/>
    <mergeCell ref="K14:L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</cols>
  <sheetData>
    <row r="1" customFormat="false" ht="20.25" hidden="false" customHeight="true" outlineLevel="0" collapsed="false">
      <c r="A1" s="2" t="s">
        <v>184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108</v>
      </c>
      <c r="U2" s="392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393" t="str">
        <f aca="false">A11</f>
        <v>SU-001</v>
      </c>
      <c r="L3" s="394" t="n">
        <f aca="false">IF(L28&gt;6000,L28/6000,1)</f>
        <v>1</v>
      </c>
      <c r="M3" s="395" t="n">
        <f aca="false">ROUNDUP(L3,0)</f>
        <v>1</v>
      </c>
      <c r="N3" s="260" t="n">
        <f aca="false">0.762*6*K13</f>
        <v>228.6</v>
      </c>
      <c r="O3" s="260"/>
      <c r="P3" s="259" t="n">
        <f aca="false">N3*M3</f>
        <v>228.6</v>
      </c>
      <c r="Q3" s="259"/>
      <c r="R3" s="396" t="str">
        <f aca="false">F5</f>
        <v>BRANCO</v>
      </c>
      <c r="S3" s="397" t="n">
        <v>6000</v>
      </c>
      <c r="T3" s="398" t="n">
        <f aca="false">(((F11*E11)*0.762/1000))</f>
        <v>2.266188</v>
      </c>
      <c r="U3" s="399" t="n">
        <f aca="false">M3*4.572</f>
        <v>4.572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207" t="str">
        <f aca="false">A12</f>
        <v>SU-002</v>
      </c>
      <c r="L4" s="400" t="n">
        <f aca="false">IF(L29&gt;6000,L29/6000,1)</f>
        <v>1</v>
      </c>
      <c r="M4" s="91" t="n">
        <f aca="false">ROUNDUP(L4,0)</f>
        <v>1</v>
      </c>
      <c r="N4" s="267" t="n">
        <f aca="false">0.707*6*K13</f>
        <v>212.1</v>
      </c>
      <c r="O4" s="267"/>
      <c r="P4" s="266" t="n">
        <f aca="false">N4*M4</f>
        <v>212.1</v>
      </c>
      <c r="Q4" s="266"/>
      <c r="R4" s="357" t="str">
        <f aca="false">F5</f>
        <v>BRANCO</v>
      </c>
      <c r="S4" s="96" t="n">
        <v>6000</v>
      </c>
      <c r="T4" s="399" t="n">
        <f aca="false">(((F12*E12)*0.707/1000))</f>
        <v>2.102618</v>
      </c>
      <c r="U4" s="399" t="n">
        <f aca="false">M4*4.242</f>
        <v>4.242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12" t="s">
        <v>15</v>
      </c>
      <c r="G5" s="12"/>
      <c r="H5" s="391"/>
      <c r="I5" s="391"/>
      <c r="J5" s="391"/>
      <c r="K5" s="207" t="str">
        <f aca="false">A13</f>
        <v>SU-003</v>
      </c>
      <c r="L5" s="400" t="n">
        <f aca="false">IF(L30&gt;6000,L30/6000,1)</f>
        <v>1</v>
      </c>
      <c r="M5" s="91" t="n">
        <f aca="false">ROUNDUP(L5,0)</f>
        <v>1</v>
      </c>
      <c r="N5" s="267" t="n">
        <f aca="false">3.138*K13</f>
        <v>156.9</v>
      </c>
      <c r="O5" s="267"/>
      <c r="P5" s="266" t="n">
        <f aca="false">N5*M5</f>
        <v>156.9</v>
      </c>
      <c r="Q5" s="266"/>
      <c r="R5" s="357" t="str">
        <f aca="false">F5</f>
        <v>BRANCO</v>
      </c>
      <c r="S5" s="96" t="n">
        <v>6000</v>
      </c>
      <c r="T5" s="399" t="n">
        <f aca="false">(((F13*E13)*0.523/1000))</f>
        <v>1.046</v>
      </c>
      <c r="U5" s="399" t="n">
        <f aca="false">M5*3.138</f>
        <v>3.138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207" t="str">
        <f aca="false">A14</f>
        <v>SU-039</v>
      </c>
      <c r="L6" s="400" t="n">
        <f aca="false">IF(L31&gt;6000,L31/6000,1)</f>
        <v>1</v>
      </c>
      <c r="M6" s="91" t="n">
        <f aca="false">ROUNDUP(L6,0)</f>
        <v>1</v>
      </c>
      <c r="N6" s="267" t="n">
        <f aca="false">3.12*K13</f>
        <v>156</v>
      </c>
      <c r="O6" s="267"/>
      <c r="P6" s="266" t="n">
        <f aca="false">N6*M6</f>
        <v>156</v>
      </c>
      <c r="Q6" s="266"/>
      <c r="R6" s="357" t="str">
        <f aca="false">F5</f>
        <v>BRANCO</v>
      </c>
      <c r="S6" s="96" t="n">
        <v>6000</v>
      </c>
      <c r="T6" s="399" t="n">
        <f aca="false">(((F14*E14)*0.52/1000))</f>
        <v>1.976</v>
      </c>
      <c r="U6" s="399" t="n">
        <f aca="false">M6*3.12</f>
        <v>3.12</v>
      </c>
    </row>
    <row r="7" customFormat="false" ht="27" hidden="false" customHeight="true" outlineLevel="0" collapsed="false">
      <c r="A7" s="271" t="n">
        <v>500</v>
      </c>
      <c r="B7" s="272" t="n">
        <v>3000</v>
      </c>
      <c r="C7" s="272" t="n">
        <v>1000</v>
      </c>
      <c r="D7" s="272" t="n">
        <v>1</v>
      </c>
      <c r="E7" s="276" t="n">
        <f aca="false">(B7*C7)/10^6</f>
        <v>3</v>
      </c>
      <c r="F7" s="276"/>
      <c r="G7" s="270"/>
      <c r="H7" s="270"/>
      <c r="I7" s="270"/>
      <c r="J7" s="270"/>
      <c r="K7" s="207" t="str">
        <f aca="false">A15</f>
        <v>SU-291</v>
      </c>
      <c r="L7" s="400" t="n">
        <f aca="false">IF(L32&gt;6000,L32/6000,1)</f>
        <v>1</v>
      </c>
      <c r="M7" s="91" t="n">
        <f aca="false">ROUNDUP(L7,0)</f>
        <v>1</v>
      </c>
      <c r="N7" s="266" t="n">
        <f aca="false">1.578*K13</f>
        <v>78.9</v>
      </c>
      <c r="O7" s="266"/>
      <c r="P7" s="266" t="n">
        <f aca="false">N7*M7</f>
        <v>78.9</v>
      </c>
      <c r="Q7" s="266"/>
      <c r="R7" s="357" t="str">
        <f aca="false">F5</f>
        <v>BRANCO</v>
      </c>
      <c r="S7" s="96" t="n">
        <v>6000</v>
      </c>
      <c r="T7" s="399" t="n">
        <f aca="false">(((F15*E15)*0.263/1000))</f>
        <v>0.24985</v>
      </c>
      <c r="U7" s="399" t="n">
        <f aca="false">M7*1.578</f>
        <v>1.578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1500</v>
      </c>
      <c r="D8" s="274"/>
      <c r="E8" s="20" t="s">
        <v>16</v>
      </c>
      <c r="F8" s="39" t="n">
        <f aca="false">D7*4</f>
        <v>4</v>
      </c>
      <c r="G8" s="270"/>
      <c r="H8" s="270"/>
      <c r="I8" s="270"/>
      <c r="J8" s="270"/>
      <c r="K8" s="207" t="str">
        <f aca="false">A16</f>
        <v>SU-040</v>
      </c>
      <c r="L8" s="400" t="n">
        <f aca="false">IF(L33&gt;6000,L33/6000,1)</f>
        <v>1</v>
      </c>
      <c r="M8" s="91" t="n">
        <f aca="false">ROUNDUP(L8,0)</f>
        <v>1</v>
      </c>
      <c r="N8" s="267" t="n">
        <f aca="false">2.88*K13</f>
        <v>144</v>
      </c>
      <c r="O8" s="267"/>
      <c r="P8" s="266" t="n">
        <f aca="false">N8*M8</f>
        <v>144</v>
      </c>
      <c r="Q8" s="266"/>
      <c r="R8" s="357" t="str">
        <f aca="false">F5</f>
        <v>BRANCO</v>
      </c>
      <c r="S8" s="96" t="n">
        <v>6000</v>
      </c>
      <c r="T8" s="399" t="n">
        <f aca="false">(((F16*E16)*0.48/1000))</f>
        <v>0.912</v>
      </c>
      <c r="U8" s="399" t="n">
        <f aca="false">M8*2.88</f>
        <v>2.88</v>
      </c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1500</v>
      </c>
      <c r="D9" s="275"/>
      <c r="E9" s="389" t="n">
        <f aca="false">K34/4</f>
        <v>685.75</v>
      </c>
      <c r="F9" s="401" t="n">
        <f aca="false">C7-134</f>
        <v>866</v>
      </c>
      <c r="G9" s="270"/>
      <c r="H9" s="270"/>
      <c r="I9" s="270"/>
      <c r="J9" s="270"/>
      <c r="K9" s="207" t="str">
        <f aca="false">A17</f>
        <v>SU-041</v>
      </c>
      <c r="L9" s="400" t="n">
        <f aca="false">IF(L34&gt;6000,L34/6000,1)</f>
        <v>1</v>
      </c>
      <c r="M9" s="91" t="n">
        <f aca="false">ROUNDUP(L9,0)</f>
        <v>1</v>
      </c>
      <c r="N9" s="267" t="n">
        <f aca="false">3.042*K13</f>
        <v>152.1</v>
      </c>
      <c r="O9" s="267"/>
      <c r="P9" s="266" t="n">
        <f aca="false">N9*M9</f>
        <v>152.1</v>
      </c>
      <c r="Q9" s="266"/>
      <c r="R9" s="357" t="str">
        <f aca="false">F5</f>
        <v>BRANCO</v>
      </c>
      <c r="S9" s="96" t="n">
        <v>6000</v>
      </c>
      <c r="T9" s="399" t="n">
        <f aca="false">(((F17*E17)*0.507/1000))</f>
        <v>0.9633</v>
      </c>
      <c r="U9" s="399" t="n">
        <f aca="false">M9*3.042</f>
        <v>3.042</v>
      </c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207" t="str">
        <f aca="false">A18</f>
        <v>SU-053</v>
      </c>
      <c r="L10" s="400" t="n">
        <f aca="false">IF(L35&gt;6000,L35/6000,1)</f>
        <v>1</v>
      </c>
      <c r="M10" s="91" t="n">
        <f aca="false">ROUNDUP(L10,0)</f>
        <v>1</v>
      </c>
      <c r="N10" s="267" t="n">
        <f aca="false">3.042*K13</f>
        <v>152.1</v>
      </c>
      <c r="O10" s="267"/>
      <c r="P10" s="266" t="n">
        <f aca="false">N10*M10</f>
        <v>152.1</v>
      </c>
      <c r="Q10" s="266"/>
      <c r="R10" s="382" t="str">
        <f aca="false">F5</f>
        <v>BRANCO</v>
      </c>
      <c r="S10" s="290" t="n">
        <v>6000</v>
      </c>
      <c r="T10" s="402" t="n">
        <f aca="false">(((F18*E18)*0.507/1000))</f>
        <v>2.805231</v>
      </c>
      <c r="U10" s="402" t="n">
        <f aca="false">M10*3.042</f>
        <v>3.042</v>
      </c>
    </row>
    <row r="11" customFormat="false" ht="25.5" hidden="false" customHeight="true" outlineLevel="0" collapsed="false">
      <c r="A11" s="67" t="s">
        <v>186</v>
      </c>
      <c r="B11" s="68" t="s">
        <v>187</v>
      </c>
      <c r="C11" s="68"/>
      <c r="D11" s="68"/>
      <c r="E11" s="69" t="n">
        <f aca="false">D7*1</f>
        <v>1</v>
      </c>
      <c r="F11" s="69" t="n">
        <f aca="false">B7-26</f>
        <v>2974</v>
      </c>
      <c r="G11" s="69"/>
      <c r="H11" s="72" t="s">
        <v>17</v>
      </c>
      <c r="I11" s="72"/>
      <c r="J11" s="72" t="s">
        <v>42</v>
      </c>
      <c r="K11" s="53" t="s">
        <v>188</v>
      </c>
      <c r="L11" s="403" t="n">
        <f aca="false">IF(L36&gt;6000,L36/6000,1)</f>
        <v>2.05283333333333</v>
      </c>
      <c r="M11" s="404" t="n">
        <f aca="false">ROUNDUP(L11,0)</f>
        <v>3</v>
      </c>
      <c r="N11" s="405" t="n">
        <f aca="false">0.666*K13</f>
        <v>33.3</v>
      </c>
      <c r="O11" s="405"/>
      <c r="P11" s="406" t="n">
        <f aca="false">N11*M11</f>
        <v>99.9</v>
      </c>
      <c r="Q11" s="406"/>
      <c r="R11" s="407" t="str">
        <f aca="false">F5</f>
        <v>BRANCO</v>
      </c>
      <c r="S11" s="408" t="n">
        <v>6000</v>
      </c>
      <c r="T11" s="409" t="n">
        <f aca="false">(((F19*E19+E20*F20)*0.111/1000))</f>
        <v>1.367187</v>
      </c>
      <c r="U11" s="409" t="n">
        <f aca="false">M11*0.606</f>
        <v>1.818</v>
      </c>
    </row>
    <row r="12" customFormat="false" ht="25.5" hidden="false" customHeight="true" outlineLevel="0" collapsed="false">
      <c r="A12" s="79" t="s">
        <v>189</v>
      </c>
      <c r="B12" s="80" t="s">
        <v>190</v>
      </c>
      <c r="C12" s="80"/>
      <c r="D12" s="80"/>
      <c r="E12" s="46" t="n">
        <f aca="false">D7*1</f>
        <v>1</v>
      </c>
      <c r="F12" s="97" t="n">
        <f aca="false">B7-26</f>
        <v>2974</v>
      </c>
      <c r="G12" s="97"/>
      <c r="H12" s="83" t="s">
        <v>17</v>
      </c>
      <c r="I12" s="83"/>
      <c r="J12" s="83" t="s">
        <v>42</v>
      </c>
      <c r="K12" s="297" t="s">
        <v>133</v>
      </c>
      <c r="L12" s="298" t="s">
        <v>134</v>
      </c>
      <c r="M12" s="73" t="s">
        <v>135</v>
      </c>
      <c r="N12" s="73"/>
      <c r="O12" s="73" t="s">
        <v>136</v>
      </c>
      <c r="P12" s="73"/>
      <c r="Q12" s="73"/>
      <c r="R12" s="73" t="s">
        <v>130</v>
      </c>
      <c r="S12" s="73"/>
      <c r="T12" s="73"/>
      <c r="U12" s="409" t="n">
        <f aca="false">T3+T4+T5+T6+T7+T8+T9+T10+T11</f>
        <v>13.688374</v>
      </c>
    </row>
    <row r="13" customFormat="false" ht="25.5" hidden="false" customHeight="true" outlineLevel="0" collapsed="false">
      <c r="A13" s="79" t="s">
        <v>191</v>
      </c>
      <c r="B13" s="80" t="s">
        <v>192</v>
      </c>
      <c r="C13" s="80"/>
      <c r="D13" s="80"/>
      <c r="E13" s="46" t="n">
        <f aca="false">D7*2</f>
        <v>2</v>
      </c>
      <c r="F13" s="97" t="n">
        <f aca="false">C7</f>
        <v>1000</v>
      </c>
      <c r="G13" s="97"/>
      <c r="H13" s="83" t="s">
        <v>18</v>
      </c>
      <c r="I13" s="83"/>
      <c r="J13" s="83" t="s">
        <v>42</v>
      </c>
      <c r="K13" s="410" t="n">
        <v>50</v>
      </c>
      <c r="L13" s="410" t="n">
        <v>100</v>
      </c>
      <c r="M13" s="411" t="n">
        <f aca="false">U12*L13</f>
        <v>1368.8374</v>
      </c>
      <c r="N13" s="411"/>
      <c r="O13" s="412" t="n">
        <v>0.5</v>
      </c>
      <c r="P13" s="411" t="n">
        <f aca="false">K17*O13+K17</f>
        <v>1026.62805</v>
      </c>
      <c r="Q13" s="411"/>
      <c r="R13" s="73" t="s">
        <v>131</v>
      </c>
      <c r="S13" s="73"/>
      <c r="T13" s="73"/>
      <c r="U13" s="409" t="n">
        <f aca="false">U3+U4+U5+U6+U7+U8+U9+U10+U11</f>
        <v>27.432</v>
      </c>
    </row>
    <row r="14" customFormat="false" ht="25.5" hidden="false" customHeight="true" outlineLevel="0" collapsed="false">
      <c r="A14" s="79" t="s">
        <v>193</v>
      </c>
      <c r="B14" s="80" t="s">
        <v>194</v>
      </c>
      <c r="C14" s="80"/>
      <c r="D14" s="80"/>
      <c r="E14" s="46" t="n">
        <f aca="false">D7*4</f>
        <v>4</v>
      </c>
      <c r="F14" s="97" t="n">
        <f aca="false">C7-50</f>
        <v>950</v>
      </c>
      <c r="G14" s="97"/>
      <c r="H14" s="83" t="s">
        <v>18</v>
      </c>
      <c r="I14" s="83"/>
      <c r="J14" s="83" t="s">
        <v>42</v>
      </c>
      <c r="K14" s="73" t="s">
        <v>195</v>
      </c>
      <c r="L14" s="73"/>
      <c r="M14" s="296"/>
      <c r="N14" s="296"/>
      <c r="O14" s="296"/>
      <c r="P14" s="296"/>
      <c r="Q14" s="296"/>
      <c r="R14" s="73" t="s">
        <v>132</v>
      </c>
      <c r="S14" s="73"/>
      <c r="T14" s="73"/>
      <c r="U14" s="402" t="n">
        <f aca="false">U13-U12</f>
        <v>13.743626</v>
      </c>
    </row>
    <row r="15" customFormat="false" ht="25.5" hidden="false" customHeight="true" outlineLevel="0" collapsed="false">
      <c r="A15" s="79" t="s">
        <v>496</v>
      </c>
      <c r="B15" s="80" t="s">
        <v>196</v>
      </c>
      <c r="C15" s="80"/>
      <c r="D15" s="80"/>
      <c r="E15" s="46" t="n">
        <f aca="false">D7*1</f>
        <v>1</v>
      </c>
      <c r="F15" s="97" t="n">
        <f aca="false">F14</f>
        <v>950</v>
      </c>
      <c r="G15" s="97"/>
      <c r="H15" s="83" t="s">
        <v>18</v>
      </c>
      <c r="I15" s="83"/>
      <c r="J15" s="83" t="s">
        <v>42</v>
      </c>
      <c r="K15" s="84" t="n">
        <f aca="false">U13*K13</f>
        <v>1371.6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197</v>
      </c>
      <c r="B16" s="80" t="s">
        <v>198</v>
      </c>
      <c r="C16" s="80"/>
      <c r="D16" s="80"/>
      <c r="E16" s="46" t="n">
        <f aca="false">D7*2</f>
        <v>2</v>
      </c>
      <c r="F16" s="97" t="n">
        <f aca="false">C7-50</f>
        <v>950</v>
      </c>
      <c r="G16" s="97"/>
      <c r="H16" s="83" t="s">
        <v>18</v>
      </c>
      <c r="I16" s="83"/>
      <c r="J16" s="83" t="s">
        <v>42</v>
      </c>
      <c r="K16" s="73" t="s">
        <v>199</v>
      </c>
      <c r="L16" s="73"/>
    </row>
    <row r="17" customFormat="false" ht="25.5" hidden="false" customHeight="true" outlineLevel="0" collapsed="false">
      <c r="A17" s="79" t="s">
        <v>200</v>
      </c>
      <c r="B17" s="80" t="s">
        <v>198</v>
      </c>
      <c r="C17" s="80"/>
      <c r="D17" s="80"/>
      <c r="E17" s="46" t="n">
        <f aca="false">D7*2</f>
        <v>2</v>
      </c>
      <c r="F17" s="97" t="n">
        <f aca="false">C7-50</f>
        <v>950</v>
      </c>
      <c r="G17" s="97"/>
      <c r="H17" s="83" t="s">
        <v>18</v>
      </c>
      <c r="I17" s="83"/>
      <c r="J17" s="83" t="s">
        <v>42</v>
      </c>
      <c r="K17" s="413" t="n">
        <f aca="false">U12*K13</f>
        <v>684.4187</v>
      </c>
      <c r="L17" s="413"/>
    </row>
    <row r="18" customFormat="false" ht="25.5" hidden="false" customHeight="true" outlineLevel="0" collapsed="false">
      <c r="A18" s="79" t="s">
        <v>201</v>
      </c>
      <c r="B18" s="80" t="s">
        <v>202</v>
      </c>
      <c r="C18" s="80"/>
      <c r="D18" s="80"/>
      <c r="E18" s="46" t="n">
        <f aca="false">D7*8</f>
        <v>8</v>
      </c>
      <c r="F18" s="24" t="n">
        <f aca="false">K35/4</f>
        <v>691.625</v>
      </c>
      <c r="G18" s="24"/>
      <c r="H18" s="83" t="s">
        <v>17</v>
      </c>
      <c r="I18" s="83"/>
      <c r="J18" s="83" t="s">
        <v>42</v>
      </c>
    </row>
    <row r="19" customFormat="false" ht="22.5" hidden="false" customHeight="true" outlineLevel="0" collapsed="false">
      <c r="A19" s="79" t="s">
        <v>188</v>
      </c>
      <c r="B19" s="80" t="s">
        <v>203</v>
      </c>
      <c r="C19" s="80"/>
      <c r="D19" s="80"/>
      <c r="E19" s="46" t="n">
        <f aca="false">D7*8</f>
        <v>8</v>
      </c>
      <c r="F19" s="24" t="n">
        <f aca="false">K35/4</f>
        <v>691.625</v>
      </c>
      <c r="G19" s="24"/>
      <c r="H19" s="83" t="s">
        <v>17</v>
      </c>
      <c r="I19" s="83"/>
      <c r="J19" s="83" t="s">
        <v>42</v>
      </c>
    </row>
    <row r="20" customFormat="false" ht="22.5" hidden="false" customHeight="true" outlineLevel="0" collapsed="false">
      <c r="A20" s="99" t="s">
        <v>188</v>
      </c>
      <c r="B20" s="100" t="s">
        <v>204</v>
      </c>
      <c r="C20" s="100"/>
      <c r="D20" s="100"/>
      <c r="E20" s="55" t="n">
        <f aca="false">D7*8</f>
        <v>8</v>
      </c>
      <c r="F20" s="246" t="n">
        <f aca="false">C7-152</f>
        <v>848</v>
      </c>
      <c r="G20" s="246"/>
      <c r="H20" s="103" t="s">
        <v>18</v>
      </c>
      <c r="I20" s="103"/>
      <c r="J20" s="103" t="s">
        <v>42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17" t="s">
        <v>208</v>
      </c>
      <c r="B22" s="418" t="s">
        <v>209</v>
      </c>
      <c r="C22" s="418"/>
      <c r="D22" s="418"/>
      <c r="E22" s="418"/>
      <c r="F22" s="418"/>
      <c r="G22" s="19" t="s">
        <v>210</v>
      </c>
      <c r="H22" s="19"/>
      <c r="I22" s="221" t="n">
        <f aca="false">D7*3</f>
        <v>3</v>
      </c>
      <c r="J22" s="221"/>
    </row>
    <row r="23" customFormat="false" ht="17.25" hidden="false" customHeight="true" outlineLevel="0" collapsed="false">
      <c r="A23" s="47" t="s">
        <v>211</v>
      </c>
      <c r="B23" s="419" t="s">
        <v>212</v>
      </c>
      <c r="C23" s="419"/>
      <c r="D23" s="419"/>
      <c r="E23" s="419"/>
      <c r="F23" s="419"/>
      <c r="G23" s="120" t="s">
        <v>210</v>
      </c>
      <c r="H23" s="120"/>
      <c r="I23" s="28" t="n">
        <f aca="false">D7*4</f>
        <v>4</v>
      </c>
      <c r="J23" s="28"/>
    </row>
    <row r="24" customFormat="false" ht="17.25" hidden="false" customHeight="true" outlineLevel="0" collapsed="false">
      <c r="A24" s="47" t="s">
        <v>213</v>
      </c>
      <c r="B24" s="419" t="s">
        <v>214</v>
      </c>
      <c r="C24" s="419"/>
      <c r="D24" s="419"/>
      <c r="E24" s="419"/>
      <c r="F24" s="419"/>
      <c r="G24" s="120" t="s">
        <v>46</v>
      </c>
      <c r="H24" s="120"/>
      <c r="I24" s="28" t="n">
        <f aca="false">K28*2</f>
        <v>5533</v>
      </c>
      <c r="J24" s="28"/>
      <c r="L24" s="130"/>
    </row>
    <row r="25" customFormat="false" ht="17.25" hidden="false" customHeight="true" outlineLevel="0" collapsed="false">
      <c r="A25" s="47" t="s">
        <v>215</v>
      </c>
      <c r="B25" s="419" t="s">
        <v>216</v>
      </c>
      <c r="C25" s="419"/>
      <c r="D25" s="419"/>
      <c r="E25" s="419"/>
      <c r="F25" s="419"/>
      <c r="G25" s="120" t="s">
        <v>46</v>
      </c>
      <c r="H25" s="120"/>
      <c r="I25" s="28" t="n">
        <f aca="false">K29*2</f>
        <v>8000</v>
      </c>
      <c r="J25" s="28"/>
      <c r="L25" s="130"/>
    </row>
    <row r="26" customFormat="false" ht="17.25" hidden="false" customHeight="true" outlineLevel="0" collapsed="false">
      <c r="A26" s="47" t="s">
        <v>217</v>
      </c>
      <c r="B26" s="419" t="s">
        <v>218</v>
      </c>
      <c r="C26" s="419"/>
      <c r="D26" s="419"/>
      <c r="E26" s="419"/>
      <c r="F26" s="419"/>
      <c r="G26" s="120" t="s">
        <v>46</v>
      </c>
      <c r="H26" s="120"/>
      <c r="I26" s="28" t="n">
        <f aca="false">K30*2</f>
        <v>8000</v>
      </c>
      <c r="J26" s="28"/>
      <c r="L26" s="130"/>
    </row>
    <row r="27" customFormat="false" ht="17.25" hidden="false" customHeight="true" outlineLevel="0" collapsed="false">
      <c r="A27" s="47" t="s">
        <v>219</v>
      </c>
      <c r="B27" s="419" t="s">
        <v>220</v>
      </c>
      <c r="C27" s="419"/>
      <c r="D27" s="419"/>
      <c r="E27" s="419"/>
      <c r="F27" s="419"/>
      <c r="G27" s="120" t="s">
        <v>46</v>
      </c>
      <c r="H27" s="120"/>
      <c r="I27" s="28" t="n">
        <f aca="false">K31*2</f>
        <v>13533</v>
      </c>
      <c r="J27" s="28"/>
      <c r="K27" s="109"/>
      <c r="L27" s="108"/>
      <c r="M27" s="109"/>
    </row>
    <row r="28" customFormat="false" ht="17.25" hidden="false" customHeight="true" outlineLevel="0" collapsed="false">
      <c r="A28" s="47" t="s">
        <v>221</v>
      </c>
      <c r="B28" s="419" t="s">
        <v>222</v>
      </c>
      <c r="C28" s="419"/>
      <c r="D28" s="419"/>
      <c r="E28" s="419"/>
      <c r="F28" s="419"/>
      <c r="G28" s="120" t="s">
        <v>46</v>
      </c>
      <c r="H28" s="120"/>
      <c r="I28" s="28" t="n">
        <f aca="false">K32*2</f>
        <v>4000</v>
      </c>
      <c r="J28" s="28"/>
      <c r="K28" s="108" t="n">
        <f aca="false">F18*4*D7</f>
        <v>2766.5</v>
      </c>
      <c r="L28" s="414" t="n">
        <f aca="false">F11*E11</f>
        <v>2974</v>
      </c>
      <c r="M28" s="109"/>
    </row>
    <row r="29" customFormat="false" ht="17.25" hidden="false" customHeight="true" outlineLevel="0" collapsed="false">
      <c r="A29" s="47" t="s">
        <v>223</v>
      </c>
      <c r="B29" s="419" t="s">
        <v>224</v>
      </c>
      <c r="C29" s="419"/>
      <c r="D29" s="419"/>
      <c r="E29" s="419"/>
      <c r="F29" s="419"/>
      <c r="G29" s="120" t="s">
        <v>46</v>
      </c>
      <c r="H29" s="120"/>
      <c r="I29" s="28" t="n">
        <f aca="false">K33*2</f>
        <v>8000</v>
      </c>
      <c r="J29" s="28"/>
      <c r="K29" s="108" t="n">
        <f aca="false">C7*4*D7</f>
        <v>4000</v>
      </c>
      <c r="L29" s="414" t="n">
        <f aca="false">F12*E12</f>
        <v>2974</v>
      </c>
      <c r="M29" s="109"/>
    </row>
    <row r="30" customFormat="false" ht="17.25" hidden="false" customHeight="true" outlineLevel="0" collapsed="false">
      <c r="A30" s="47" t="s">
        <v>225</v>
      </c>
      <c r="B30" s="419" t="s">
        <v>226</v>
      </c>
      <c r="C30" s="419"/>
      <c r="D30" s="419"/>
      <c r="E30" s="419"/>
      <c r="F30" s="419"/>
      <c r="G30" s="120" t="s">
        <v>210</v>
      </c>
      <c r="H30" s="120"/>
      <c r="I30" s="28" t="n">
        <f aca="false">D7</f>
        <v>1</v>
      </c>
      <c r="J30" s="28"/>
      <c r="K30" s="108" t="n">
        <f aca="false">K29</f>
        <v>4000</v>
      </c>
      <c r="L30" s="414" t="n">
        <f aca="false">F13*E13</f>
        <v>2000</v>
      </c>
      <c r="M30" s="109"/>
    </row>
    <row r="31" customFormat="false" ht="17.25" hidden="false" customHeight="true" outlineLevel="0" collapsed="false">
      <c r="A31" s="47" t="s">
        <v>227</v>
      </c>
      <c r="B31" s="419" t="s">
        <v>228</v>
      </c>
      <c r="C31" s="419"/>
      <c r="D31" s="419"/>
      <c r="E31" s="419"/>
      <c r="F31" s="419"/>
      <c r="G31" s="120" t="s">
        <v>210</v>
      </c>
      <c r="H31" s="120"/>
      <c r="I31" s="28" t="n">
        <f aca="false">D7*16</f>
        <v>16</v>
      </c>
      <c r="J31" s="28"/>
      <c r="K31" s="108" t="n">
        <f aca="false">K30+K28*D7</f>
        <v>6766.5</v>
      </c>
      <c r="L31" s="414" t="n">
        <f aca="false">F14*E14</f>
        <v>3800</v>
      </c>
      <c r="M31" s="109"/>
    </row>
    <row r="32" customFormat="false" ht="17.25" hidden="false" customHeight="true" outlineLevel="0" collapsed="false">
      <c r="A32" s="47" t="s">
        <v>229</v>
      </c>
      <c r="B32" s="419" t="s">
        <v>230</v>
      </c>
      <c r="C32" s="419"/>
      <c r="D32" s="419"/>
      <c r="E32" s="419"/>
      <c r="F32" s="419"/>
      <c r="G32" s="120" t="s">
        <v>210</v>
      </c>
      <c r="H32" s="120"/>
      <c r="I32" s="28" t="n">
        <f aca="false">D7*1</f>
        <v>1</v>
      </c>
      <c r="J32" s="28"/>
      <c r="K32" s="108" t="n">
        <f aca="false">C7*2*D7</f>
        <v>2000</v>
      </c>
      <c r="L32" s="414" t="n">
        <f aca="false">F15*E15</f>
        <v>950</v>
      </c>
      <c r="M32" s="109"/>
    </row>
    <row r="33" customFormat="false" ht="17.25" hidden="false" customHeight="true" outlineLevel="0" collapsed="false">
      <c r="A33" s="47" t="s">
        <v>231</v>
      </c>
      <c r="B33" s="419" t="s">
        <v>232</v>
      </c>
      <c r="C33" s="419"/>
      <c r="D33" s="419"/>
      <c r="E33" s="419"/>
      <c r="F33" s="419"/>
      <c r="G33" s="120" t="s">
        <v>210</v>
      </c>
      <c r="H33" s="120"/>
      <c r="I33" s="28" t="n">
        <f aca="false">D7*4</f>
        <v>4</v>
      </c>
      <c r="J33" s="28"/>
      <c r="K33" s="108" t="n">
        <f aca="false">K30</f>
        <v>4000</v>
      </c>
      <c r="L33" s="414" t="n">
        <f aca="false">F16*E16</f>
        <v>1900</v>
      </c>
      <c r="M33" s="109"/>
    </row>
    <row r="34" customFormat="false" ht="17.25" hidden="false" customHeight="true" outlineLevel="0" collapsed="false">
      <c r="A34" s="47" t="s">
        <v>233</v>
      </c>
      <c r="B34" s="419" t="s">
        <v>234</v>
      </c>
      <c r="C34" s="419"/>
      <c r="D34" s="419"/>
      <c r="E34" s="419"/>
      <c r="F34" s="419"/>
      <c r="G34" s="120" t="s">
        <v>210</v>
      </c>
      <c r="H34" s="120"/>
      <c r="I34" s="28" t="n">
        <f aca="false">D7*16</f>
        <v>16</v>
      </c>
      <c r="J34" s="28"/>
      <c r="K34" s="109" t="n">
        <f aca="false">B7-257</f>
        <v>2743</v>
      </c>
      <c r="L34" s="414" t="n">
        <f aca="false">F17*E17</f>
        <v>1900</v>
      </c>
      <c r="M34" s="109"/>
    </row>
    <row r="35" customFormat="false" ht="17.25" hidden="false" customHeight="true" outlineLevel="0" collapsed="false">
      <c r="A35" s="64" t="s">
        <v>235</v>
      </c>
      <c r="B35" s="550" t="s">
        <v>236</v>
      </c>
      <c r="C35" s="550"/>
      <c r="D35" s="550"/>
      <c r="E35" s="550"/>
      <c r="F35" s="550"/>
      <c r="G35" s="209" t="s">
        <v>210</v>
      </c>
      <c r="H35" s="209"/>
      <c r="I35" s="478" t="n">
        <f aca="false">D7*8</f>
        <v>8</v>
      </c>
      <c r="J35" s="478"/>
      <c r="K35" s="415" t="n">
        <f aca="false">B7-233.5</f>
        <v>2766.5</v>
      </c>
      <c r="L35" s="414" t="n">
        <f aca="false">F18*E18</f>
        <v>5533</v>
      </c>
      <c r="M35" s="109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414" t="n">
        <f aca="false">E19*F19+E20*F20</f>
        <v>12317</v>
      </c>
      <c r="M36" s="109"/>
    </row>
  </sheetData>
  <mergeCells count="129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Q12"/>
    <mergeCell ref="R12:T12"/>
    <mergeCell ref="B13:D13"/>
    <mergeCell ref="F13:G13"/>
    <mergeCell ref="H13:I13"/>
    <mergeCell ref="M13:N13"/>
    <mergeCell ref="P13:Q13"/>
    <mergeCell ref="R13:T13"/>
    <mergeCell ref="B14:D14"/>
    <mergeCell ref="F14:G14"/>
    <mergeCell ref="H14:I14"/>
    <mergeCell ref="K14:L14"/>
    <mergeCell ref="R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0:D20"/>
    <mergeCell ref="F20:G20"/>
    <mergeCell ref="H20:I20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9" min="9" style="1" width="8.42"/>
    <col collapsed="false" customWidth="true" hidden="false" outlineLevel="0" max="10" min="10" style="1" width="5.71"/>
    <col collapsed="false" customWidth="true" hidden="false" outlineLevel="0" max="11" min="11" style="1" width="8.29"/>
    <col collapsed="false" customWidth="true" hidden="false" outlineLevel="0" max="12" min="12" style="1" width="9.14"/>
    <col collapsed="false" customWidth="true" hidden="false" outlineLevel="0" max="13" min="13" style="1" width="7.86"/>
    <col collapsed="false" customWidth="true" hidden="false" outlineLevel="0" max="15" min="15" style="1" width="4.14"/>
    <col collapsed="false" customWidth="true" hidden="false" outlineLevel="0" max="16" min="16" style="1" width="10.71"/>
    <col collapsed="false" customWidth="true" hidden="false" outlineLevel="0" max="17" min="17" style="1" width="5.14"/>
    <col collapsed="false" customWidth="true" hidden="false" outlineLevel="0" max="18" min="18" style="1" width="10.71"/>
    <col collapsed="false" customWidth="true" hidden="false" outlineLevel="0" max="19" min="19" style="1" width="8.42"/>
  </cols>
  <sheetData>
    <row r="1" customFormat="false" ht="20.25" hidden="false" customHeight="true" outlineLevel="0" collapsed="false">
      <c r="A1" s="2" t="s">
        <v>745</v>
      </c>
      <c r="B1" s="2"/>
      <c r="C1" s="2"/>
      <c r="D1" s="2"/>
      <c r="E1" s="2"/>
      <c r="F1" s="2"/>
      <c r="G1" s="2"/>
      <c r="H1" s="222" t="s">
        <v>1</v>
      </c>
      <c r="I1" s="222"/>
      <c r="J1" s="222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222"/>
      <c r="I2" s="222"/>
      <c r="J2" s="222"/>
      <c r="K2" s="521" t="s">
        <v>4</v>
      </c>
      <c r="L2" s="521"/>
      <c r="M2" s="529" t="s">
        <v>5</v>
      </c>
      <c r="N2" s="529" t="s">
        <v>6</v>
      </c>
      <c r="O2" s="529"/>
      <c r="P2" s="529" t="s">
        <v>7</v>
      </c>
      <c r="Q2" s="529"/>
      <c r="R2" s="529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222"/>
      <c r="I3" s="222"/>
      <c r="J3" s="222"/>
      <c r="K3" s="393" t="str">
        <f aca="false">A11</f>
        <v>SU-079</v>
      </c>
      <c r="L3" s="394" t="n">
        <f aca="false">IF(K21&gt;6000,K21/6000,1)</f>
        <v>5.25</v>
      </c>
      <c r="M3" s="395" t="n">
        <f aca="false">ROUNDUP(L3,0)</f>
        <v>6</v>
      </c>
      <c r="N3" s="260" t="n">
        <f aca="false">0.341*6*K13</f>
        <v>102.3</v>
      </c>
      <c r="O3" s="260"/>
      <c r="P3" s="530" t="n">
        <f aca="false">N3*M3</f>
        <v>613.8</v>
      </c>
      <c r="Q3" s="530"/>
      <c r="R3" s="531" t="str">
        <f aca="false">F5</f>
        <v>BRANCO</v>
      </c>
      <c r="S3" s="425" t="n">
        <v>6000</v>
      </c>
      <c r="T3" s="440" t="n">
        <f aca="false">K21*0.341/1000</f>
        <v>10.7415</v>
      </c>
      <c r="U3" s="440" t="n">
        <f aca="false">M3*2.046</f>
        <v>12.276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1"/>
      <c r="G4" s="21"/>
      <c r="H4" s="222"/>
      <c r="I4" s="222"/>
      <c r="J4" s="222"/>
      <c r="K4" s="207" t="str">
        <f aca="false">A13</f>
        <v>SU-276</v>
      </c>
      <c r="L4" s="400" t="n">
        <f aca="false">IF(K24&gt;6000,K24/6000,1)</f>
        <v>1.25</v>
      </c>
      <c r="M4" s="91" t="n">
        <f aca="false">ROUNDUP(L4,0)</f>
        <v>2</v>
      </c>
      <c r="N4" s="267" t="n">
        <f aca="false">0.168*6*K13</f>
        <v>50.4</v>
      </c>
      <c r="O4" s="267"/>
      <c r="P4" s="532" t="n">
        <f aca="false">N4*M4</f>
        <v>100.8</v>
      </c>
      <c r="Q4" s="532"/>
      <c r="R4" s="363" t="str">
        <f aca="false">F5</f>
        <v>BRANCO</v>
      </c>
      <c r="S4" s="280" t="n">
        <v>6000</v>
      </c>
      <c r="T4" s="439" t="n">
        <f aca="false">K24*0.168/1000</f>
        <v>1.26</v>
      </c>
      <c r="U4" s="439" t="n">
        <f aca="false">M4*1.008</f>
        <v>2.016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15</v>
      </c>
      <c r="G5" s="21"/>
      <c r="H5" s="222"/>
      <c r="I5" s="222"/>
      <c r="J5" s="222"/>
      <c r="K5" s="207" t="str">
        <f aca="false">A14</f>
        <v>SU-082</v>
      </c>
      <c r="L5" s="400" t="n">
        <f aca="false">IF(K25&gt;6000,K25/6000,1)</f>
        <v>1.02</v>
      </c>
      <c r="M5" s="551" t="n">
        <f aca="false">ROUNDUP(L5,0)</f>
        <v>2</v>
      </c>
      <c r="N5" s="267" t="n">
        <f aca="false">0.312*6*K13</f>
        <v>93.6</v>
      </c>
      <c r="O5" s="267"/>
      <c r="P5" s="532" t="n">
        <f aca="false">N5*M5</f>
        <v>187.2</v>
      </c>
      <c r="Q5" s="532"/>
      <c r="R5" s="363" t="str">
        <f aca="false">F5</f>
        <v>BRANCO</v>
      </c>
      <c r="S5" s="280" t="n">
        <v>6000</v>
      </c>
      <c r="T5" s="534" t="n">
        <f aca="false">K25*0.312/1000</f>
        <v>1.90944</v>
      </c>
      <c r="U5" s="439" t="n">
        <f aca="false">M5*1.872</f>
        <v>3.744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207" t="str">
        <f aca="false">A15</f>
        <v>SU-200</v>
      </c>
      <c r="L6" s="400" t="n">
        <f aca="false">IF(K22&gt;6000,K22/6000,1)</f>
        <v>3.7325</v>
      </c>
      <c r="M6" s="91" t="n">
        <f aca="false">ROUNDUP(L6,0)</f>
        <v>4</v>
      </c>
      <c r="N6" s="267" t="n">
        <f aca="false">0.444*6*K13</f>
        <v>133.2</v>
      </c>
      <c r="O6" s="267"/>
      <c r="P6" s="532" t="n">
        <f aca="false">N6*M6</f>
        <v>532.8</v>
      </c>
      <c r="Q6" s="532"/>
      <c r="R6" s="363" t="str">
        <f aca="false">F5</f>
        <v>BRANCO</v>
      </c>
      <c r="S6" s="280" t="n">
        <v>6000</v>
      </c>
      <c r="T6" s="439" t="n">
        <f aca="false">K22*0.444/1000</f>
        <v>9.94338</v>
      </c>
      <c r="U6" s="439" t="n">
        <f aca="false">M6*2.644</f>
        <v>10.576</v>
      </c>
    </row>
    <row r="7" customFormat="false" ht="27" hidden="false" customHeight="true" outlineLevel="0" collapsed="false">
      <c r="A7" s="271" t="n">
        <v>600</v>
      </c>
      <c r="B7" s="272" t="n">
        <v>500</v>
      </c>
      <c r="C7" s="272" t="n">
        <v>550</v>
      </c>
      <c r="D7" s="272" t="n">
        <v>15</v>
      </c>
      <c r="E7" s="276" t="n">
        <f aca="false">(B7*C7)/10^6</f>
        <v>0.275</v>
      </c>
      <c r="F7" s="276"/>
      <c r="G7" s="270"/>
      <c r="H7" s="270"/>
      <c r="I7" s="270"/>
      <c r="J7" s="270"/>
      <c r="K7" s="116" t="s">
        <v>188</v>
      </c>
      <c r="L7" s="400" t="n">
        <f aca="false">IF(K23&gt;6000,K23/6000,1)</f>
        <v>4.2</v>
      </c>
      <c r="M7" s="91" t="n">
        <f aca="false">ROUNDUP(L7,0)</f>
        <v>5</v>
      </c>
      <c r="N7" s="266" t="n">
        <f aca="false">0.111*6*K13</f>
        <v>33.3</v>
      </c>
      <c r="O7" s="266"/>
      <c r="P7" s="532" t="n">
        <f aca="false">N7*M7</f>
        <v>166.5</v>
      </c>
      <c r="Q7" s="532"/>
      <c r="R7" s="363" t="str">
        <f aca="false">F5</f>
        <v>BRANCO</v>
      </c>
      <c r="S7" s="280" t="n">
        <v>6000</v>
      </c>
      <c r="T7" s="439" t="n">
        <f aca="false">K23*0.111/1000</f>
        <v>2.7972</v>
      </c>
      <c r="U7" s="439" t="n">
        <f aca="false">M7*0.666</f>
        <v>3.33</v>
      </c>
    </row>
    <row r="8" customFormat="false" ht="24" hidden="false" customHeight="true" outlineLevel="0" collapsed="false">
      <c r="A8" s="104" t="s">
        <v>120</v>
      </c>
      <c r="B8" s="104"/>
      <c r="C8" s="535" t="n">
        <f aca="false">E7*A7</f>
        <v>165</v>
      </c>
      <c r="D8" s="535"/>
      <c r="E8" s="20" t="s">
        <v>16</v>
      </c>
      <c r="F8" s="39" t="n">
        <f aca="false">D7*1</f>
        <v>15</v>
      </c>
      <c r="G8" s="270"/>
      <c r="H8" s="270"/>
      <c r="I8" s="270"/>
      <c r="J8" s="270"/>
      <c r="K8" s="207"/>
      <c r="L8" s="400" t="n">
        <f aca="false">IF(L33&gt;6000,L33/6000,1)</f>
        <v>1</v>
      </c>
      <c r="M8" s="552"/>
      <c r="N8" s="267"/>
      <c r="O8" s="267"/>
      <c r="P8" s="532"/>
      <c r="Q8" s="532"/>
      <c r="R8" s="363"/>
      <c r="S8" s="280"/>
      <c r="T8" s="399"/>
      <c r="U8" s="399"/>
    </row>
    <row r="9" customFormat="false" ht="26.25" hidden="false" customHeight="true" outlineLevel="0" collapsed="false">
      <c r="A9" s="104" t="s">
        <v>122</v>
      </c>
      <c r="B9" s="104"/>
      <c r="C9" s="536" t="n">
        <f aca="false">C8*D7</f>
        <v>2475</v>
      </c>
      <c r="D9" s="536"/>
      <c r="E9" s="537" t="n">
        <f aca="false">B7-98</f>
        <v>402</v>
      </c>
      <c r="F9" s="401" t="n">
        <f aca="false">C7-99</f>
        <v>451</v>
      </c>
      <c r="G9" s="270"/>
      <c r="H9" s="270"/>
      <c r="I9" s="270"/>
      <c r="J9" s="270"/>
      <c r="K9" s="207"/>
      <c r="L9" s="400" t="n">
        <f aca="false">IF(L34&gt;6000,L34/6000,1)</f>
        <v>1</v>
      </c>
      <c r="M9" s="552"/>
      <c r="N9" s="267"/>
      <c r="O9" s="267"/>
      <c r="P9" s="532"/>
      <c r="Q9" s="532"/>
      <c r="R9" s="363"/>
      <c r="S9" s="280"/>
      <c r="T9" s="399"/>
      <c r="U9" s="39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538" t="s">
        <v>30</v>
      </c>
      <c r="K10" s="207"/>
      <c r="L10" s="400" t="n">
        <f aca="false">IF(L35&gt;6000,L35/6000,1)</f>
        <v>1</v>
      </c>
      <c r="M10" s="552"/>
      <c r="N10" s="267"/>
      <c r="O10" s="267"/>
      <c r="P10" s="532"/>
      <c r="Q10" s="532"/>
      <c r="R10" s="363"/>
      <c r="S10" s="280"/>
      <c r="T10" s="399"/>
      <c r="U10" s="399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30</v>
      </c>
      <c r="F11" s="69" t="n">
        <f aca="false">B7</f>
        <v>500</v>
      </c>
      <c r="G11" s="69"/>
      <c r="H11" s="71" t="s">
        <v>17</v>
      </c>
      <c r="I11" s="71"/>
      <c r="J11" s="72" t="s">
        <v>33</v>
      </c>
      <c r="K11" s="139"/>
      <c r="L11" s="403" t="n">
        <f aca="false">IF(L36&gt;6000,L36/6000,1)</f>
        <v>1</v>
      </c>
      <c r="M11" s="553"/>
      <c r="N11" s="405"/>
      <c r="O11" s="405"/>
      <c r="P11" s="540"/>
      <c r="Q11" s="540"/>
      <c r="R11" s="383"/>
      <c r="S11" s="382"/>
      <c r="T11" s="402"/>
      <c r="U11" s="402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30</v>
      </c>
      <c r="F12" s="97" t="n">
        <f aca="false">C7</f>
        <v>550</v>
      </c>
      <c r="G12" s="97"/>
      <c r="H12" s="82" t="s">
        <v>18</v>
      </c>
      <c r="I12" s="82"/>
      <c r="J12" s="83" t="s">
        <v>33</v>
      </c>
      <c r="K12" s="541" t="s">
        <v>656</v>
      </c>
      <c r="L12" s="541"/>
      <c r="M12" s="542" t="s">
        <v>657</v>
      </c>
      <c r="N12" s="542"/>
      <c r="O12" s="77" t="s">
        <v>658</v>
      </c>
      <c r="P12" s="77"/>
      <c r="Q12" s="73" t="s">
        <v>659</v>
      </c>
      <c r="R12" s="73"/>
      <c r="S12" s="73" t="s">
        <v>130</v>
      </c>
      <c r="T12" s="73"/>
      <c r="U12" s="402" t="n">
        <f aca="false">T3+T4+T5+T6+T7</f>
        <v>26.65152</v>
      </c>
    </row>
    <row r="13" customFormat="false" ht="25.5" hidden="false" customHeight="true" outlineLevel="0" collapsed="false">
      <c r="A13" s="79" t="s">
        <v>671</v>
      </c>
      <c r="B13" s="80" t="s">
        <v>360</v>
      </c>
      <c r="C13" s="80"/>
      <c r="D13" s="80"/>
      <c r="E13" s="46" t="n">
        <f aca="false">D7*1</f>
        <v>15</v>
      </c>
      <c r="F13" s="97" t="n">
        <f aca="false">B7</f>
        <v>500</v>
      </c>
      <c r="G13" s="97"/>
      <c r="H13" s="82" t="s">
        <v>17</v>
      </c>
      <c r="I13" s="82"/>
      <c r="J13" s="83" t="s">
        <v>42</v>
      </c>
      <c r="K13" s="84" t="n">
        <v>50</v>
      </c>
      <c r="L13" s="84"/>
      <c r="M13" s="84" t="n">
        <v>100</v>
      </c>
      <c r="N13" s="84"/>
      <c r="O13" s="543" t="n">
        <f aca="false">U12*M13</f>
        <v>2665.152</v>
      </c>
      <c r="P13" s="543"/>
      <c r="Q13" s="543" t="n">
        <f aca="false">K17*R14+K17</f>
        <v>2132.1216</v>
      </c>
      <c r="R13" s="543"/>
      <c r="S13" s="73" t="s">
        <v>131</v>
      </c>
      <c r="T13" s="73"/>
      <c r="U13" s="409" t="n">
        <f aca="false">U3+U4+U5+U6+U7</f>
        <v>31.942</v>
      </c>
    </row>
    <row r="14" customFormat="false" ht="25.5" hidden="false" customHeight="true" outlineLevel="0" collapsed="false">
      <c r="A14" s="79" t="s">
        <v>672</v>
      </c>
      <c r="B14" s="80" t="s">
        <v>673</v>
      </c>
      <c r="C14" s="80"/>
      <c r="D14" s="80"/>
      <c r="E14" s="46" t="n">
        <f aca="false">D7*1</f>
        <v>15</v>
      </c>
      <c r="F14" s="97" t="n">
        <f aca="false">B7-92</f>
        <v>408</v>
      </c>
      <c r="G14" s="97"/>
      <c r="H14" s="82" t="s">
        <v>17</v>
      </c>
      <c r="I14" s="82"/>
      <c r="J14" s="83" t="s">
        <v>42</v>
      </c>
      <c r="K14" s="73" t="s">
        <v>195</v>
      </c>
      <c r="L14" s="73"/>
      <c r="M14" s="296"/>
      <c r="N14" s="296"/>
      <c r="O14" s="230" t="s">
        <v>661</v>
      </c>
      <c r="P14" s="230"/>
      <c r="Q14" s="230"/>
      <c r="R14" s="544" t="n">
        <v>0.6</v>
      </c>
      <c r="S14" s="181" t="s">
        <v>132</v>
      </c>
      <c r="T14" s="181"/>
      <c r="U14" s="402" t="n">
        <f aca="false">U13-U12</f>
        <v>5.29048</v>
      </c>
    </row>
    <row r="15" customFormat="false" ht="25.5" hidden="false" customHeight="true" outlineLevel="0" collapsed="false">
      <c r="A15" s="79" t="s">
        <v>674</v>
      </c>
      <c r="B15" s="80" t="s">
        <v>675</v>
      </c>
      <c r="C15" s="80"/>
      <c r="D15" s="80"/>
      <c r="E15" s="46" t="n">
        <f aca="false">D7*1</f>
        <v>15</v>
      </c>
      <c r="F15" s="97" t="n">
        <f aca="false">B7-25</f>
        <v>475</v>
      </c>
      <c r="G15" s="97"/>
      <c r="H15" s="82" t="s">
        <v>17</v>
      </c>
      <c r="I15" s="82"/>
      <c r="J15" s="83" t="s">
        <v>33</v>
      </c>
      <c r="K15" s="84" t="n">
        <f aca="false">U13*K13</f>
        <v>1597.1</v>
      </c>
      <c r="L15" s="84"/>
      <c r="M15" s="296"/>
      <c r="N15" s="296"/>
      <c r="O15" s="296"/>
      <c r="P15" s="545"/>
      <c r="Q15" s="296"/>
      <c r="R15" s="296"/>
      <c r="S15" s="296"/>
      <c r="T15" s="331"/>
      <c r="U15" s="331"/>
    </row>
    <row r="16" customFormat="false" ht="25.5" hidden="false" customHeight="true" outlineLevel="0" collapsed="false">
      <c r="A16" s="79" t="s">
        <v>674</v>
      </c>
      <c r="B16" s="80" t="s">
        <v>676</v>
      </c>
      <c r="C16" s="80"/>
      <c r="D16" s="80"/>
      <c r="E16" s="46" t="n">
        <f aca="false">D7*2</f>
        <v>30</v>
      </c>
      <c r="F16" s="97" t="n">
        <f aca="false">C7-41</f>
        <v>509</v>
      </c>
      <c r="G16" s="97"/>
      <c r="H16" s="82" t="s">
        <v>18</v>
      </c>
      <c r="I16" s="82"/>
      <c r="J16" s="83" t="s">
        <v>245</v>
      </c>
      <c r="K16" s="73" t="s">
        <v>199</v>
      </c>
      <c r="L16" s="73"/>
      <c r="P16" s="88"/>
      <c r="R16" s="88"/>
    </row>
    <row r="17" customFormat="false" ht="25.5" hidden="false" customHeight="true" outlineLevel="0" collapsed="false">
      <c r="A17" s="79" t="s">
        <v>188</v>
      </c>
      <c r="B17" s="80" t="s">
        <v>203</v>
      </c>
      <c r="C17" s="80"/>
      <c r="D17" s="80"/>
      <c r="E17" s="46" t="n">
        <f aca="false">D7*1</f>
        <v>15</v>
      </c>
      <c r="F17" s="24" t="n">
        <f aca="false">B7-93</f>
        <v>407</v>
      </c>
      <c r="G17" s="24"/>
      <c r="H17" s="82" t="s">
        <v>17</v>
      </c>
      <c r="I17" s="82"/>
      <c r="J17" s="83" t="s">
        <v>42</v>
      </c>
      <c r="K17" s="546" t="n">
        <f aca="false">U12*K13</f>
        <v>1332.576</v>
      </c>
      <c r="L17" s="546"/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D7*2</f>
        <v>30</v>
      </c>
      <c r="F18" s="24" t="n">
        <f aca="false">J20/2</f>
        <v>203.5</v>
      </c>
      <c r="G18" s="24"/>
      <c r="H18" s="82" t="s">
        <v>17</v>
      </c>
      <c r="I18" s="82"/>
      <c r="J18" s="83" t="s">
        <v>42</v>
      </c>
    </row>
    <row r="19" customFormat="false" ht="27" hidden="false" customHeight="true" outlineLevel="0" collapsed="false">
      <c r="A19" s="99" t="s">
        <v>188</v>
      </c>
      <c r="B19" s="100" t="s">
        <v>203</v>
      </c>
      <c r="C19" s="100"/>
      <c r="D19" s="100"/>
      <c r="E19" s="55" t="n">
        <f aca="false">D7*2</f>
        <v>30</v>
      </c>
      <c r="F19" s="246" t="n">
        <f aca="false">C7-117</f>
        <v>433</v>
      </c>
      <c r="G19" s="246"/>
      <c r="H19" s="102" t="s">
        <v>18</v>
      </c>
      <c r="I19" s="102"/>
      <c r="J19" s="103" t="s">
        <v>42</v>
      </c>
    </row>
    <row r="20" customFormat="false" ht="15.75" hidden="false" customHeight="false" outlineLevel="0" collapsed="false">
      <c r="A20" s="52"/>
      <c r="I20" s="109"/>
      <c r="J20" s="547" t="n">
        <f aca="false">B7-93</f>
        <v>407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  <c r="K21" s="109" t="n">
        <f aca="false">F11*E11+E12*F12</f>
        <v>31500</v>
      </c>
      <c r="L21" s="109" t="n">
        <v>79</v>
      </c>
      <c r="M21" s="109"/>
      <c r="N21" s="109" t="n">
        <f aca="false">IF(K25&gt;6000,K25/6000,1)</f>
        <v>1.02</v>
      </c>
    </row>
    <row r="22" customFormat="false" ht="17.25" hidden="false" customHeight="true" outlineLevel="0" collapsed="false">
      <c r="A22" s="417" t="s">
        <v>681</v>
      </c>
      <c r="B22" s="418" t="s">
        <v>682</v>
      </c>
      <c r="C22" s="418"/>
      <c r="D22" s="418"/>
      <c r="E22" s="418"/>
      <c r="F22" s="418"/>
      <c r="G22" s="221" t="s">
        <v>64</v>
      </c>
      <c r="H22" s="221"/>
      <c r="I22" s="221" t="n">
        <f aca="false">D7*1</f>
        <v>15</v>
      </c>
      <c r="J22" s="221"/>
      <c r="K22" s="109" t="n">
        <f aca="false">F15*E15+E16*F16</f>
        <v>22395</v>
      </c>
      <c r="L22" s="109" t="n">
        <v>200</v>
      </c>
      <c r="M22" s="109"/>
      <c r="N22" s="109"/>
    </row>
    <row r="23" customFormat="false" ht="17.25" hidden="false" customHeight="true" outlineLevel="0" collapsed="false">
      <c r="A23" s="47" t="s">
        <v>683</v>
      </c>
      <c r="B23" s="419" t="s">
        <v>424</v>
      </c>
      <c r="C23" s="419"/>
      <c r="D23" s="419"/>
      <c r="E23" s="419"/>
      <c r="F23" s="419"/>
      <c r="G23" s="28" t="s">
        <v>46</v>
      </c>
      <c r="H23" s="28"/>
      <c r="I23" s="28" t="n">
        <f aca="false">B7</f>
        <v>500</v>
      </c>
      <c r="J23" s="28"/>
      <c r="K23" s="109" t="n">
        <f aca="false">F17*E17+E18*F18+F19*E19</f>
        <v>25200</v>
      </c>
      <c r="L23" s="109" t="n">
        <v>102</v>
      </c>
      <c r="M23" s="109"/>
      <c r="N23" s="109"/>
    </row>
    <row r="24" customFormat="false" ht="17.25" hidden="false" customHeight="true" outlineLevel="0" collapsed="false">
      <c r="A24" s="47" t="s">
        <v>684</v>
      </c>
      <c r="B24" s="419" t="s">
        <v>685</v>
      </c>
      <c r="C24" s="419"/>
      <c r="D24" s="419"/>
      <c r="E24" s="419"/>
      <c r="F24" s="419"/>
      <c r="G24" s="28" t="s">
        <v>46</v>
      </c>
      <c r="H24" s="28"/>
      <c r="I24" s="28" t="n">
        <f aca="false">F15*4</f>
        <v>1900</v>
      </c>
      <c r="J24" s="28"/>
      <c r="K24" s="109" t="n">
        <f aca="false">F13*E13</f>
        <v>7500</v>
      </c>
      <c r="L24" s="109" t="n">
        <v>276</v>
      </c>
      <c r="M24" s="109"/>
      <c r="N24" s="109"/>
    </row>
    <row r="25" customFormat="false" ht="17.25" hidden="false" customHeight="true" outlineLevel="0" collapsed="false">
      <c r="A25" s="47" t="s">
        <v>686</v>
      </c>
      <c r="B25" s="419" t="s">
        <v>687</v>
      </c>
      <c r="C25" s="419"/>
      <c r="D25" s="419"/>
      <c r="E25" s="419"/>
      <c r="F25" s="419"/>
      <c r="G25" s="28" t="s">
        <v>46</v>
      </c>
      <c r="H25" s="28"/>
      <c r="I25" s="28" t="n">
        <f aca="false">F12*4*D7</f>
        <v>33000</v>
      </c>
      <c r="J25" s="28"/>
      <c r="K25" s="109" t="n">
        <f aca="false">F14*E14</f>
        <v>6120</v>
      </c>
      <c r="L25" s="109" t="n">
        <v>82</v>
      </c>
      <c r="M25" s="109"/>
      <c r="N25" s="109"/>
    </row>
    <row r="26" customFormat="false" ht="17.25" hidden="false" customHeight="true" outlineLevel="0" collapsed="false">
      <c r="A26" s="47" t="s">
        <v>688</v>
      </c>
      <c r="B26" s="419" t="s">
        <v>340</v>
      </c>
      <c r="C26" s="419"/>
      <c r="D26" s="419"/>
      <c r="E26" s="419"/>
      <c r="F26" s="419"/>
      <c r="G26" s="28" t="s">
        <v>64</v>
      </c>
      <c r="H26" s="28"/>
      <c r="I26" s="28" t="n">
        <f aca="false">D7*2</f>
        <v>30</v>
      </c>
      <c r="J26" s="28"/>
      <c r="K26" s="109"/>
      <c r="L26" s="109"/>
      <c r="M26" s="109"/>
      <c r="N26" s="109"/>
    </row>
    <row r="27" customFormat="false" ht="17.25" hidden="false" customHeight="true" outlineLevel="0" collapsed="false">
      <c r="A27" s="47" t="s">
        <v>233</v>
      </c>
      <c r="B27" s="419" t="s">
        <v>689</v>
      </c>
      <c r="C27" s="419"/>
      <c r="D27" s="419"/>
      <c r="E27" s="419"/>
      <c r="F27" s="419"/>
      <c r="G27" s="28" t="s">
        <v>64</v>
      </c>
      <c r="H27" s="28"/>
      <c r="I27" s="28" t="n">
        <f aca="false">D7*2</f>
        <v>30</v>
      </c>
      <c r="J27" s="28"/>
      <c r="K27" s="109"/>
      <c r="L27" s="109"/>
      <c r="M27" s="109"/>
      <c r="N27" s="109"/>
    </row>
    <row r="28" customFormat="false" ht="17.25" hidden="false" customHeight="true" outlineLevel="0" collapsed="false">
      <c r="A28" s="47" t="s">
        <v>690</v>
      </c>
      <c r="B28" s="419" t="s">
        <v>691</v>
      </c>
      <c r="C28" s="419"/>
      <c r="D28" s="419"/>
      <c r="E28" s="419"/>
      <c r="F28" s="419"/>
      <c r="G28" s="28" t="s">
        <v>64</v>
      </c>
      <c r="H28" s="28"/>
      <c r="I28" s="28" t="n">
        <f aca="false">I27</f>
        <v>30</v>
      </c>
      <c r="J28" s="28"/>
      <c r="K28" s="109"/>
      <c r="L28" s="109"/>
      <c r="M28" s="109"/>
      <c r="N28" s="109"/>
    </row>
    <row r="29" customFormat="false" ht="17.25" hidden="false" customHeight="true" outlineLevel="0" collapsed="false">
      <c r="A29" s="47"/>
      <c r="B29" s="419"/>
      <c r="C29" s="419"/>
      <c r="D29" s="419"/>
      <c r="E29" s="419"/>
      <c r="F29" s="419"/>
      <c r="G29" s="28"/>
      <c r="H29" s="28"/>
      <c r="I29" s="28"/>
      <c r="J29" s="28"/>
      <c r="K29" s="109"/>
      <c r="L29" s="109"/>
      <c r="M29" s="109"/>
      <c r="N29" s="109"/>
    </row>
    <row r="30" customFormat="false" ht="17.25" hidden="false" customHeight="true" outlineLevel="0" collapsed="false">
      <c r="A30" s="47"/>
      <c r="B30" s="419"/>
      <c r="C30" s="419"/>
      <c r="D30" s="419"/>
      <c r="E30" s="419"/>
      <c r="F30" s="419"/>
      <c r="G30" s="28"/>
      <c r="H30" s="28"/>
      <c r="I30" s="28"/>
      <c r="J30" s="28"/>
      <c r="K30" s="109"/>
      <c r="L30" s="109"/>
      <c r="M30" s="109"/>
      <c r="N30" s="109"/>
    </row>
    <row r="31" customFormat="false" ht="17.25" hidden="false" customHeight="true" outlineLevel="0" collapsed="false">
      <c r="A31" s="47"/>
      <c r="B31" s="419"/>
      <c r="C31" s="419"/>
      <c r="D31" s="419"/>
      <c r="E31" s="419"/>
      <c r="F31" s="419"/>
      <c r="G31" s="28"/>
      <c r="H31" s="28"/>
      <c r="I31" s="28"/>
      <c r="J31" s="28"/>
      <c r="K31" s="109"/>
      <c r="L31" s="109"/>
      <c r="M31" s="109"/>
      <c r="N31" s="109"/>
    </row>
    <row r="32" customFormat="false" ht="17.25" hidden="false" customHeight="true" outlineLevel="0" collapsed="false">
      <c r="A32" s="47"/>
      <c r="B32" s="419"/>
      <c r="C32" s="419"/>
      <c r="D32" s="419"/>
      <c r="E32" s="419"/>
      <c r="F32" s="419"/>
      <c r="G32" s="28"/>
      <c r="H32" s="28"/>
      <c r="I32" s="28"/>
      <c r="J32" s="28"/>
    </row>
    <row r="33" customFormat="false" ht="17.25" hidden="false" customHeight="true" outlineLevel="0" collapsed="false">
      <c r="A33" s="47"/>
      <c r="B33" s="419"/>
      <c r="C33" s="419"/>
      <c r="D33" s="419"/>
      <c r="E33" s="419"/>
      <c r="F33" s="419"/>
      <c r="G33" s="28"/>
      <c r="H33" s="28"/>
      <c r="I33" s="28"/>
      <c r="J33" s="28"/>
    </row>
    <row r="34" customFormat="false" ht="17.25" hidden="false" customHeight="true" outlineLevel="0" collapsed="false">
      <c r="A34" s="47"/>
      <c r="B34" s="419"/>
      <c r="C34" s="419"/>
      <c r="D34" s="419"/>
      <c r="E34" s="419"/>
      <c r="F34" s="419"/>
      <c r="G34" s="28"/>
      <c r="H34" s="28"/>
      <c r="I34" s="28"/>
      <c r="J34" s="28"/>
    </row>
    <row r="35" customFormat="false" ht="17.25" hidden="false" customHeight="true" outlineLevel="0" collapsed="false">
      <c r="A35" s="64"/>
      <c r="B35" s="550"/>
      <c r="C35" s="550"/>
      <c r="D35" s="550"/>
      <c r="E35" s="550"/>
      <c r="F35" s="550"/>
      <c r="G35" s="478"/>
      <c r="H35" s="478"/>
      <c r="I35" s="478"/>
      <c r="J35" s="478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</row>
  </sheetData>
  <mergeCells count="132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O14:Q14"/>
    <mergeCell ref="S14:T14"/>
    <mergeCell ref="B15:D15"/>
    <mergeCell ref="F15:G15"/>
    <mergeCell ref="H15:I15"/>
    <mergeCell ref="K15:L15"/>
    <mergeCell ref="T15:U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B27:F27"/>
    <mergeCell ref="G27:H27"/>
    <mergeCell ref="I27:J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2" min="12" style="1" width="7.57"/>
    <col collapsed="false" customWidth="true" hidden="false" outlineLevel="0" max="13" min="13" style="1" width="8.29"/>
    <col collapsed="false" customWidth="true" hidden="false" outlineLevel="0" max="15" min="15" style="1" width="5.86"/>
    <col collapsed="false" customWidth="true" hidden="false" outlineLevel="0" max="17" min="17" style="1" width="7"/>
    <col collapsed="false" customWidth="true" hidden="false" outlineLevel="0" max="19" min="19" style="1" width="8.29"/>
  </cols>
  <sheetData>
    <row r="1" customFormat="false" ht="20.25" hidden="false" customHeight="true" outlineLevel="0" collapsed="false">
      <c r="A1" s="2" t="s">
        <v>746</v>
      </c>
      <c r="B1" s="2"/>
      <c r="C1" s="2"/>
      <c r="D1" s="2"/>
      <c r="E1" s="2"/>
      <c r="F1" s="2"/>
      <c r="G1" s="2"/>
      <c r="H1" s="391" t="s">
        <v>1</v>
      </c>
      <c r="I1" s="391"/>
      <c r="J1" s="391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391"/>
      <c r="I2" s="391"/>
      <c r="J2" s="391"/>
      <c r="K2" s="521" t="s">
        <v>4</v>
      </c>
      <c r="L2" s="521"/>
      <c r="M2" s="523" t="s">
        <v>5</v>
      </c>
      <c r="N2" s="529" t="s">
        <v>6</v>
      </c>
      <c r="O2" s="529"/>
      <c r="P2" s="529" t="s">
        <v>7</v>
      </c>
      <c r="Q2" s="529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391"/>
      <c r="I3" s="391"/>
      <c r="J3" s="391"/>
      <c r="K3" s="393" t="str">
        <f aca="false">A11</f>
        <v>SU-079</v>
      </c>
      <c r="L3" s="394" t="n">
        <f aca="false">IF(K28&gt;6000,K28/6000,1)</f>
        <v>1</v>
      </c>
      <c r="M3" s="395" t="n">
        <f aca="false">ROUNDUP(L3,0)</f>
        <v>1</v>
      </c>
      <c r="N3" s="260" t="n">
        <f aca="false">0.341*6*K13</f>
        <v>102.3</v>
      </c>
      <c r="O3" s="260"/>
      <c r="P3" s="530" t="n">
        <f aca="false">N3*M3</f>
        <v>102.3</v>
      </c>
      <c r="Q3" s="530"/>
      <c r="R3" s="531" t="str">
        <f aca="false">F5</f>
        <v>PRETO</v>
      </c>
      <c r="S3" s="425" t="n">
        <v>6000</v>
      </c>
      <c r="T3" s="440" t="n">
        <f aca="false">K28*0.341/1000</f>
        <v>1.023</v>
      </c>
      <c r="U3" s="440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391"/>
      <c r="I4" s="391"/>
      <c r="J4" s="391"/>
      <c r="K4" s="207" t="str">
        <f aca="false">A13</f>
        <v>SU-276</v>
      </c>
      <c r="L4" s="400" t="n">
        <f aca="false">IF(K29&gt;6000,K29/6000,1)</f>
        <v>1</v>
      </c>
      <c r="M4" s="91" t="n">
        <f aca="false">ROUNDUP(L4,0)</f>
        <v>1</v>
      </c>
      <c r="N4" s="267" t="n">
        <f aca="false">0.168*6*K13</f>
        <v>50.4</v>
      </c>
      <c r="O4" s="267"/>
      <c r="P4" s="532" t="n">
        <f aca="false">N4*M4</f>
        <v>50.4</v>
      </c>
      <c r="Q4" s="532"/>
      <c r="R4" s="363" t="str">
        <f aca="false">F5</f>
        <v>PRETO</v>
      </c>
      <c r="S4" s="280" t="n">
        <v>6000</v>
      </c>
      <c r="T4" s="439" t="n">
        <f aca="false">K29*0.168/1000</f>
        <v>0.168</v>
      </c>
      <c r="U4" s="439" t="n">
        <f aca="false">M4*1.008</f>
        <v>1.008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1" t="s">
        <v>69</v>
      </c>
      <c r="G5" s="21"/>
      <c r="H5" s="391"/>
      <c r="I5" s="391"/>
      <c r="J5" s="391"/>
      <c r="K5" s="207" t="str">
        <f aca="false">A14</f>
        <v>SU-082</v>
      </c>
      <c r="L5" s="400" t="n">
        <f aca="false">IF(K30&gt;6000,K30/6000,1)</f>
        <v>1</v>
      </c>
      <c r="M5" s="551" t="n">
        <f aca="false">ROUNDUP(L5,0)</f>
        <v>1</v>
      </c>
      <c r="N5" s="267" t="n">
        <f aca="false">0.312*6*K13</f>
        <v>93.6</v>
      </c>
      <c r="O5" s="267"/>
      <c r="P5" s="532" t="n">
        <f aca="false">N5*M5</f>
        <v>93.6</v>
      </c>
      <c r="Q5" s="532"/>
      <c r="R5" s="363" t="str">
        <f aca="false">F5</f>
        <v>PRETO</v>
      </c>
      <c r="S5" s="280" t="n">
        <v>6000</v>
      </c>
      <c r="T5" s="534" t="n">
        <f aca="false">K34*0.312/1000</f>
        <v>0.624</v>
      </c>
      <c r="U5" s="439" t="n">
        <f aca="false">M5*1.872</f>
        <v>1.872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207" t="str">
        <f aca="false">A15</f>
        <v>SU-200</v>
      </c>
      <c r="L6" s="400" t="n">
        <f aca="false">IF(K31&gt;2000,K31/6000,1)</f>
        <v>0.4665</v>
      </c>
      <c r="M6" s="91" t="n">
        <f aca="false">ROUNDUP(L6,0)</f>
        <v>1</v>
      </c>
      <c r="N6" s="267" t="n">
        <f aca="false">0.444*6*K13</f>
        <v>133.2</v>
      </c>
      <c r="O6" s="267"/>
      <c r="P6" s="532" t="n">
        <f aca="false">N6*M6</f>
        <v>133.2</v>
      </c>
      <c r="Q6" s="532"/>
      <c r="R6" s="363" t="str">
        <f aca="false">F5</f>
        <v>PRETO</v>
      </c>
      <c r="S6" s="280" t="n">
        <v>6000</v>
      </c>
      <c r="T6" s="439" t="n">
        <f aca="false">K31*0.444/1000</f>
        <v>1.242756</v>
      </c>
      <c r="U6" s="439" t="n">
        <f aca="false">M6*2.644</f>
        <v>2.644</v>
      </c>
    </row>
    <row r="7" customFormat="false" ht="27" hidden="false" customHeight="true" outlineLevel="0" collapsed="false">
      <c r="A7" s="271" t="n">
        <v>600</v>
      </c>
      <c r="B7" s="272" t="n">
        <v>1000</v>
      </c>
      <c r="C7" s="272" t="n">
        <v>500</v>
      </c>
      <c r="D7" s="272" t="n">
        <v>1</v>
      </c>
      <c r="E7" s="276" t="n">
        <f aca="false">(B7*C7)/10^6</f>
        <v>0.5</v>
      </c>
      <c r="F7" s="276"/>
      <c r="G7" s="270"/>
      <c r="H7" s="270"/>
      <c r="I7" s="270"/>
      <c r="J7" s="270"/>
      <c r="K7" s="116" t="s">
        <v>188</v>
      </c>
      <c r="L7" s="400" t="n">
        <f aca="false">IF(K32&gt;6000,K32/6000,1)</f>
        <v>1</v>
      </c>
      <c r="M7" s="91" t="n">
        <f aca="false">ROUNDUP(L7,0)</f>
        <v>1</v>
      </c>
      <c r="N7" s="266" t="n">
        <f aca="false">0.111*6*K13</f>
        <v>33.3</v>
      </c>
      <c r="O7" s="266"/>
      <c r="P7" s="532" t="n">
        <f aca="false">N7*M7</f>
        <v>33.3</v>
      </c>
      <c r="Q7" s="532"/>
      <c r="R7" s="363" t="str">
        <f aca="false">F5</f>
        <v>PRETO</v>
      </c>
      <c r="S7" s="280" t="n">
        <v>6000</v>
      </c>
      <c r="T7" s="439" t="n">
        <f aca="false">K32*0.111/1000</f>
        <v>0.353424</v>
      </c>
      <c r="U7" s="439" t="n">
        <f aca="false">M7*0.666</f>
        <v>0.666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300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207" t="s">
        <v>668</v>
      </c>
      <c r="L8" s="400" t="n">
        <f aca="false">IF(K33&gt;6000,K33/6000,1)</f>
        <v>1</v>
      </c>
      <c r="M8" s="91" t="n">
        <f aca="false">ROUNDUP(L8,0)</f>
        <v>1</v>
      </c>
      <c r="N8" s="267" t="n">
        <f aca="false">0.596*6*K13</f>
        <v>178.8</v>
      </c>
      <c r="O8" s="267"/>
      <c r="P8" s="532" t="n">
        <f aca="false">N8*M8</f>
        <v>178.8</v>
      </c>
      <c r="Q8" s="532"/>
      <c r="R8" s="363" t="str">
        <f aca="false">F5</f>
        <v>PRETO</v>
      </c>
      <c r="S8" s="280" t="n">
        <f aca="false">S7</f>
        <v>6000</v>
      </c>
      <c r="T8" s="439" t="n">
        <f aca="false">K33/0.596/1000</f>
        <v>0.771812080536913</v>
      </c>
      <c r="U8" s="439" t="n">
        <f aca="false">M8*3.576</f>
        <v>3.576</v>
      </c>
    </row>
    <row r="9" customFormat="false" ht="26.25" hidden="false" customHeight="true" outlineLevel="0" collapsed="false">
      <c r="A9" s="104" t="s">
        <v>122</v>
      </c>
      <c r="B9" s="104"/>
      <c r="C9" s="275" t="n">
        <f aca="false">C8*D7</f>
        <v>300</v>
      </c>
      <c r="D9" s="275"/>
      <c r="E9" s="537" t="n">
        <f aca="false">((B7-186)/2)</f>
        <v>407</v>
      </c>
      <c r="F9" s="401" t="n">
        <f aca="false">C7-99</f>
        <v>401</v>
      </c>
      <c r="G9" s="270"/>
      <c r="H9" s="270"/>
      <c r="I9" s="270"/>
      <c r="J9" s="270"/>
      <c r="K9" s="207"/>
      <c r="L9" s="657"/>
      <c r="M9" s="552"/>
      <c r="N9" s="267"/>
      <c r="O9" s="267"/>
      <c r="P9" s="532"/>
      <c r="Q9" s="532"/>
      <c r="R9" s="363"/>
      <c r="S9" s="280"/>
      <c r="T9" s="399"/>
      <c r="U9" s="439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207"/>
      <c r="L10" s="657"/>
      <c r="M10" s="552"/>
      <c r="N10" s="267"/>
      <c r="O10" s="267"/>
      <c r="P10" s="532"/>
      <c r="Q10" s="532"/>
      <c r="R10" s="363"/>
      <c r="S10" s="280"/>
      <c r="T10" s="399"/>
      <c r="U10" s="439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1000</v>
      </c>
      <c r="G11" s="69"/>
      <c r="H11" s="71" t="s">
        <v>17</v>
      </c>
      <c r="I11" s="71"/>
      <c r="J11" s="72" t="s">
        <v>33</v>
      </c>
      <c r="K11" s="139"/>
      <c r="L11" s="644"/>
      <c r="M11" s="553"/>
      <c r="N11" s="405"/>
      <c r="O11" s="405"/>
      <c r="P11" s="656"/>
      <c r="Q11" s="656"/>
      <c r="R11" s="363"/>
      <c r="S11" s="382"/>
      <c r="T11" s="402"/>
      <c r="U11" s="292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500</v>
      </c>
      <c r="G12" s="97"/>
      <c r="H12" s="82" t="s">
        <v>18</v>
      </c>
      <c r="I12" s="82"/>
      <c r="J12" s="83" t="s">
        <v>33</v>
      </c>
      <c r="K12" s="680" t="s">
        <v>669</v>
      </c>
      <c r="L12" s="681"/>
      <c r="M12" s="592" t="s">
        <v>670</v>
      </c>
      <c r="N12" s="592"/>
      <c r="O12" s="73" t="s">
        <v>135</v>
      </c>
      <c r="P12" s="73"/>
      <c r="Q12" s="682" t="s">
        <v>136</v>
      </c>
      <c r="R12" s="682"/>
      <c r="S12" s="73" t="s">
        <v>130</v>
      </c>
      <c r="T12" s="73"/>
      <c r="U12" s="402" t="n">
        <f aca="false">T3+T4+T5+T6+T7+T8</f>
        <v>4.18299208053691</v>
      </c>
    </row>
    <row r="13" customFormat="false" ht="25.5" hidden="false" customHeight="true" outlineLevel="0" collapsed="false">
      <c r="A13" s="79" t="s">
        <v>671</v>
      </c>
      <c r="B13" s="80" t="s">
        <v>360</v>
      </c>
      <c r="C13" s="80"/>
      <c r="D13" s="80"/>
      <c r="E13" s="46" t="n">
        <f aca="false">D7*1</f>
        <v>1</v>
      </c>
      <c r="F13" s="97" t="n">
        <f aca="false">B7</f>
        <v>1000</v>
      </c>
      <c r="G13" s="97"/>
      <c r="H13" s="82" t="s">
        <v>17</v>
      </c>
      <c r="I13" s="82"/>
      <c r="J13" s="83" t="s">
        <v>42</v>
      </c>
      <c r="K13" s="84" t="n">
        <v>50</v>
      </c>
      <c r="L13" s="84"/>
      <c r="M13" s="84" t="n">
        <v>100</v>
      </c>
      <c r="N13" s="84"/>
      <c r="O13" s="491" t="n">
        <f aca="false">U12*M13</f>
        <v>418.299208053691</v>
      </c>
      <c r="P13" s="491"/>
      <c r="Q13" s="491" t="n">
        <f aca="false">K17*R14+K17</f>
        <v>418.299208053691</v>
      </c>
      <c r="R13" s="491"/>
      <c r="S13" s="73" t="s">
        <v>131</v>
      </c>
      <c r="T13" s="73"/>
      <c r="U13" s="409" t="n">
        <f aca="false">U3+U4+U5+U6+U7+U8</f>
        <v>11.812</v>
      </c>
    </row>
    <row r="14" customFormat="false" ht="25.5" hidden="false" customHeight="true" outlineLevel="0" collapsed="false">
      <c r="A14" s="79" t="s">
        <v>672</v>
      </c>
      <c r="B14" s="80" t="s">
        <v>673</v>
      </c>
      <c r="C14" s="80"/>
      <c r="D14" s="80"/>
      <c r="E14" s="46" t="n">
        <f aca="false">D7*2</f>
        <v>2</v>
      </c>
      <c r="F14" s="97" t="n">
        <f aca="false">((B7-172)/2)</f>
        <v>414</v>
      </c>
      <c r="G14" s="97"/>
      <c r="H14" s="82" t="s">
        <v>17</v>
      </c>
      <c r="I14" s="82"/>
      <c r="J14" s="83" t="s">
        <v>42</v>
      </c>
      <c r="K14" s="73" t="s">
        <v>195</v>
      </c>
      <c r="L14" s="73"/>
      <c r="M14" s="296"/>
      <c r="N14" s="296"/>
      <c r="O14" s="296"/>
      <c r="P14" s="296"/>
      <c r="Q14" s="296"/>
      <c r="R14" s="303" t="n">
        <v>1</v>
      </c>
      <c r="S14" s="73" t="s">
        <v>132</v>
      </c>
      <c r="T14" s="73"/>
      <c r="U14" s="402" t="n">
        <f aca="false">U13-U12</f>
        <v>7.62900791946309</v>
      </c>
    </row>
    <row r="15" customFormat="false" ht="25.5" hidden="false" customHeight="true" outlineLevel="0" collapsed="false">
      <c r="A15" s="79" t="s">
        <v>674</v>
      </c>
      <c r="B15" s="80" t="s">
        <v>675</v>
      </c>
      <c r="C15" s="80"/>
      <c r="D15" s="80"/>
      <c r="E15" s="46" t="n">
        <f aca="false">D7*2</f>
        <v>2</v>
      </c>
      <c r="F15" s="24" t="n">
        <f aca="false">((B7-37)/2)</f>
        <v>481.5</v>
      </c>
      <c r="G15" s="24"/>
      <c r="H15" s="82" t="s">
        <v>17</v>
      </c>
      <c r="I15" s="82"/>
      <c r="J15" s="83" t="s">
        <v>33</v>
      </c>
      <c r="K15" s="84" t="n">
        <f aca="false">U13*K13</f>
        <v>590.6</v>
      </c>
      <c r="L15" s="84"/>
      <c r="M15" s="296"/>
      <c r="N15" s="296"/>
      <c r="O15" s="296"/>
      <c r="P15" s="296"/>
      <c r="Q15" s="296"/>
      <c r="R15" s="296"/>
      <c r="S15" s="296"/>
      <c r="T15" s="296"/>
      <c r="U15" s="296"/>
    </row>
    <row r="16" customFormat="false" ht="25.5" hidden="false" customHeight="true" outlineLevel="0" collapsed="false">
      <c r="A16" s="79" t="s">
        <v>674</v>
      </c>
      <c r="B16" s="80" t="s">
        <v>676</v>
      </c>
      <c r="C16" s="80"/>
      <c r="D16" s="80"/>
      <c r="E16" s="46" t="n">
        <f aca="false">D7*4</f>
        <v>4</v>
      </c>
      <c r="F16" s="97" t="n">
        <f aca="false">C7-41</f>
        <v>459</v>
      </c>
      <c r="G16" s="97"/>
      <c r="H16" s="82" t="s">
        <v>18</v>
      </c>
      <c r="I16" s="82"/>
      <c r="J16" s="83" t="s">
        <v>245</v>
      </c>
      <c r="K16" s="73" t="s">
        <v>199</v>
      </c>
      <c r="L16" s="73"/>
    </row>
    <row r="17" customFormat="false" ht="25.5" hidden="false" customHeight="true" outlineLevel="0" collapsed="false">
      <c r="A17" s="79" t="s">
        <v>188</v>
      </c>
      <c r="B17" s="80" t="s">
        <v>203</v>
      </c>
      <c r="C17" s="80"/>
      <c r="D17" s="80"/>
      <c r="E17" s="46" t="n">
        <f aca="false">D7*4</f>
        <v>4</v>
      </c>
      <c r="F17" s="24" t="n">
        <f aca="false">F14-1</f>
        <v>413</v>
      </c>
      <c r="G17" s="24"/>
      <c r="H17" s="82" t="s">
        <v>17</v>
      </c>
      <c r="I17" s="82"/>
      <c r="J17" s="83" t="s">
        <v>42</v>
      </c>
      <c r="K17" s="413" t="n">
        <f aca="false">U12*K13</f>
        <v>209.149604026846</v>
      </c>
      <c r="L17" s="413"/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D7*4</f>
        <v>4</v>
      </c>
      <c r="F18" s="24" t="n">
        <f aca="false">C7-117</f>
        <v>383</v>
      </c>
      <c r="G18" s="24"/>
      <c r="H18" s="82" t="s">
        <v>18</v>
      </c>
      <c r="I18" s="82"/>
      <c r="J18" s="83" t="s">
        <v>42</v>
      </c>
    </row>
    <row r="19" customFormat="false" ht="27" hidden="false" customHeight="true" outlineLevel="0" collapsed="false">
      <c r="A19" s="99" t="s">
        <v>668</v>
      </c>
      <c r="B19" s="100" t="s">
        <v>677</v>
      </c>
      <c r="C19" s="100"/>
      <c r="D19" s="100"/>
      <c r="E19" s="55" t="n">
        <f aca="false">D7*1</f>
        <v>1</v>
      </c>
      <c r="F19" s="246" t="n">
        <f aca="false">C7-40</f>
        <v>460</v>
      </c>
      <c r="G19" s="246"/>
      <c r="H19" s="102" t="s">
        <v>18</v>
      </c>
      <c r="I19" s="102"/>
      <c r="J19" s="103" t="s">
        <v>747</v>
      </c>
    </row>
    <row r="20" customFormat="false" ht="15.75" hidden="false" customHeight="false" outlineLevel="0" collapsed="false">
      <c r="I20" s="109"/>
      <c r="J20" s="683" t="n">
        <f aca="false">B7-93</f>
        <v>907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</row>
    <row r="22" customFormat="false" ht="17.25" hidden="false" customHeight="true" outlineLevel="0" collapsed="false">
      <c r="A22" s="417" t="s">
        <v>681</v>
      </c>
      <c r="B22" s="418" t="s">
        <v>682</v>
      </c>
      <c r="C22" s="418"/>
      <c r="D22" s="418"/>
      <c r="E22" s="418"/>
      <c r="F22" s="418"/>
      <c r="G22" s="221" t="s">
        <v>64</v>
      </c>
      <c r="H22" s="221"/>
      <c r="I22" s="684" t="n">
        <f aca="false">D7*2</f>
        <v>2</v>
      </c>
      <c r="J22" s="684"/>
    </row>
    <row r="23" customFormat="false" ht="17.25" hidden="false" customHeight="true" outlineLevel="0" collapsed="false">
      <c r="A23" s="47" t="s">
        <v>683</v>
      </c>
      <c r="B23" s="419" t="s">
        <v>424</v>
      </c>
      <c r="C23" s="419"/>
      <c r="D23" s="419"/>
      <c r="E23" s="419"/>
      <c r="F23" s="419"/>
      <c r="G23" s="28" t="s">
        <v>46</v>
      </c>
      <c r="H23" s="28"/>
      <c r="I23" s="685" t="n">
        <f aca="false">B7</f>
        <v>1000</v>
      </c>
      <c r="J23" s="685"/>
      <c r="K23" s="109"/>
      <c r="L23" s="109"/>
      <c r="M23" s="109"/>
      <c r="N23" s="109"/>
      <c r="O23" s="109"/>
      <c r="P23" s="109"/>
    </row>
    <row r="24" customFormat="false" ht="17.25" hidden="false" customHeight="true" outlineLevel="0" collapsed="false">
      <c r="A24" s="47" t="s">
        <v>684</v>
      </c>
      <c r="B24" s="419" t="s">
        <v>685</v>
      </c>
      <c r="C24" s="419"/>
      <c r="D24" s="419"/>
      <c r="E24" s="419"/>
      <c r="F24" s="419"/>
      <c r="G24" s="28" t="s">
        <v>46</v>
      </c>
      <c r="H24" s="28"/>
      <c r="I24" s="686"/>
      <c r="J24" s="687" t="n">
        <f aca="false">K24*2</f>
        <v>0</v>
      </c>
      <c r="K24" s="688"/>
      <c r="L24" s="688"/>
      <c r="M24" s="109"/>
      <c r="N24" s="109"/>
      <c r="O24" s="109"/>
      <c r="P24" s="109"/>
    </row>
    <row r="25" customFormat="false" ht="17.25" hidden="false" customHeight="true" outlineLevel="0" collapsed="false">
      <c r="A25" s="47" t="s">
        <v>686</v>
      </c>
      <c r="B25" s="419" t="s">
        <v>687</v>
      </c>
      <c r="C25" s="419"/>
      <c r="D25" s="419"/>
      <c r="E25" s="419"/>
      <c r="F25" s="419"/>
      <c r="G25" s="28" t="s">
        <v>46</v>
      </c>
      <c r="H25" s="28"/>
      <c r="I25" s="686"/>
      <c r="J25" s="687" t="n">
        <f aca="false">K34*2</f>
        <v>4000</v>
      </c>
      <c r="M25" s="109"/>
      <c r="N25" s="109"/>
      <c r="O25" s="109"/>
      <c r="P25" s="109"/>
    </row>
    <row r="26" customFormat="false" ht="17.25" hidden="false" customHeight="true" outlineLevel="0" collapsed="false">
      <c r="A26" s="47" t="s">
        <v>688</v>
      </c>
      <c r="B26" s="419" t="s">
        <v>340</v>
      </c>
      <c r="C26" s="419"/>
      <c r="D26" s="419"/>
      <c r="E26" s="419"/>
      <c r="F26" s="419"/>
      <c r="G26" s="28" t="s">
        <v>64</v>
      </c>
      <c r="H26" s="28"/>
      <c r="I26" s="686"/>
      <c r="J26" s="687" t="n">
        <f aca="false">D7*4</f>
        <v>4</v>
      </c>
      <c r="K26" s="688"/>
      <c r="L26" s="688"/>
      <c r="O26" s="109"/>
      <c r="P26" s="109"/>
    </row>
    <row r="27" customFormat="false" ht="17.25" hidden="false" customHeight="true" outlineLevel="0" collapsed="false">
      <c r="A27" s="47" t="s">
        <v>233</v>
      </c>
      <c r="B27" s="419" t="s">
        <v>689</v>
      </c>
      <c r="C27" s="419"/>
      <c r="D27" s="419"/>
      <c r="E27" s="419"/>
      <c r="F27" s="419"/>
      <c r="G27" s="28" t="s">
        <v>64</v>
      </c>
      <c r="H27" s="28"/>
      <c r="I27" s="686"/>
      <c r="J27" s="687" t="n">
        <f aca="false">D7*8</f>
        <v>8</v>
      </c>
      <c r="K27" s="688"/>
      <c r="L27" s="688"/>
      <c r="O27" s="109"/>
      <c r="P27" s="109"/>
    </row>
    <row r="28" customFormat="false" ht="17.25" hidden="false" customHeight="true" outlineLevel="0" collapsed="false">
      <c r="A28" s="47" t="s">
        <v>690</v>
      </c>
      <c r="B28" s="419" t="s">
        <v>691</v>
      </c>
      <c r="C28" s="419"/>
      <c r="D28" s="419"/>
      <c r="E28" s="419"/>
      <c r="F28" s="419"/>
      <c r="G28" s="28" t="s">
        <v>64</v>
      </c>
      <c r="H28" s="28"/>
      <c r="I28" s="686"/>
      <c r="J28" s="687" t="n">
        <f aca="false">D7*4</f>
        <v>4</v>
      </c>
      <c r="K28" s="109" t="n">
        <f aca="false">F11*E11+E12*F12</f>
        <v>3000</v>
      </c>
      <c r="L28" s="109" t="s">
        <v>748</v>
      </c>
      <c r="O28" s="109"/>
      <c r="P28" s="109"/>
    </row>
    <row r="29" customFormat="false" ht="17.25" hidden="false" customHeight="true" outlineLevel="0" collapsed="false">
      <c r="A29" s="47"/>
      <c r="B29" s="419"/>
      <c r="C29" s="419"/>
      <c r="D29" s="419"/>
      <c r="E29" s="419"/>
      <c r="F29" s="419"/>
      <c r="G29" s="28"/>
      <c r="H29" s="28"/>
      <c r="I29" s="28"/>
      <c r="J29" s="28"/>
      <c r="K29" s="109" t="n">
        <f aca="false">F13*E13</f>
        <v>1000</v>
      </c>
      <c r="L29" s="109" t="s">
        <v>360</v>
      </c>
      <c r="O29" s="109"/>
      <c r="P29" s="109"/>
    </row>
    <row r="30" customFormat="false" ht="17.25" hidden="false" customHeight="true" outlineLevel="0" collapsed="false">
      <c r="A30" s="47"/>
      <c r="B30" s="419"/>
      <c r="C30" s="419"/>
      <c r="D30" s="419"/>
      <c r="E30" s="419"/>
      <c r="F30" s="419"/>
      <c r="G30" s="28"/>
      <c r="H30" s="28"/>
      <c r="I30" s="28"/>
      <c r="J30" s="28"/>
      <c r="K30" s="109" t="n">
        <f aca="false">F14*E14</f>
        <v>828</v>
      </c>
      <c r="L30" s="109" t="s">
        <v>749</v>
      </c>
      <c r="O30" s="109"/>
      <c r="P30" s="109"/>
    </row>
    <row r="31" customFormat="false" ht="17.25" hidden="false" customHeight="true" outlineLevel="0" collapsed="false">
      <c r="A31" s="47"/>
      <c r="B31" s="419"/>
      <c r="C31" s="419"/>
      <c r="D31" s="419"/>
      <c r="E31" s="419"/>
      <c r="F31" s="419"/>
      <c r="G31" s="28"/>
      <c r="H31" s="28"/>
      <c r="I31" s="28"/>
      <c r="J31" s="28"/>
      <c r="K31" s="109" t="n">
        <f aca="false">F15*E15+E16*F16</f>
        <v>2799</v>
      </c>
      <c r="L31" s="109" t="s">
        <v>750</v>
      </c>
      <c r="O31" s="109"/>
      <c r="P31" s="109"/>
    </row>
    <row r="32" customFormat="false" ht="17.25" hidden="false" customHeight="true" outlineLevel="0" collapsed="false">
      <c r="A32" s="47"/>
      <c r="B32" s="419"/>
      <c r="C32" s="419"/>
      <c r="D32" s="419"/>
      <c r="E32" s="419"/>
      <c r="F32" s="419"/>
      <c r="G32" s="28"/>
      <c r="H32" s="28"/>
      <c r="I32" s="28"/>
      <c r="J32" s="28"/>
      <c r="K32" s="109" t="n">
        <f aca="false">F17*E17+E18*F18</f>
        <v>3184</v>
      </c>
      <c r="L32" s="109" t="s">
        <v>733</v>
      </c>
      <c r="O32" s="109"/>
      <c r="P32" s="109"/>
    </row>
    <row r="33" customFormat="false" ht="17.25" hidden="false" customHeight="true" outlineLevel="0" collapsed="false">
      <c r="A33" s="47"/>
      <c r="B33" s="419"/>
      <c r="C33" s="419"/>
      <c r="D33" s="419"/>
      <c r="E33" s="419"/>
      <c r="F33" s="419"/>
      <c r="G33" s="28"/>
      <c r="H33" s="28"/>
      <c r="I33" s="28"/>
      <c r="J33" s="28"/>
      <c r="K33" s="109" t="n">
        <f aca="false">F19*E19</f>
        <v>460</v>
      </c>
      <c r="L33" s="109" t="s">
        <v>751</v>
      </c>
      <c r="M33" s="109"/>
      <c r="N33" s="109"/>
      <c r="O33" s="109"/>
      <c r="P33" s="109"/>
    </row>
    <row r="34" customFormat="false" ht="17.25" hidden="false" customHeight="true" outlineLevel="0" collapsed="false">
      <c r="A34" s="47"/>
      <c r="B34" s="419"/>
      <c r="C34" s="419"/>
      <c r="D34" s="419"/>
      <c r="E34" s="419"/>
      <c r="F34" s="419"/>
      <c r="G34" s="28"/>
      <c r="H34" s="28"/>
      <c r="I34" s="28"/>
      <c r="J34" s="28"/>
      <c r="K34" s="688" t="n">
        <f aca="false">F12*4</f>
        <v>2000</v>
      </c>
      <c r="L34" s="688"/>
    </row>
    <row r="35" customFormat="false" ht="17.25" hidden="false" customHeight="true" outlineLevel="0" collapsed="false">
      <c r="A35" s="64"/>
      <c r="B35" s="550"/>
      <c r="C35" s="550"/>
      <c r="D35" s="550"/>
      <c r="E35" s="550"/>
      <c r="F35" s="550"/>
      <c r="G35" s="478"/>
      <c r="H35" s="478"/>
      <c r="I35" s="478"/>
      <c r="J35" s="478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</row>
  </sheetData>
  <mergeCells count="12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K24:L24"/>
    <mergeCell ref="B25:F25"/>
    <mergeCell ref="G25:H25"/>
    <mergeCell ref="B26:F26"/>
    <mergeCell ref="G26:H26"/>
    <mergeCell ref="K26:L26"/>
    <mergeCell ref="B27:F27"/>
    <mergeCell ref="G27:H27"/>
    <mergeCell ref="K27:L27"/>
    <mergeCell ref="B28:F28"/>
    <mergeCell ref="G28:H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B32:F32"/>
    <mergeCell ref="G32:H32"/>
    <mergeCell ref="I32:J32"/>
    <mergeCell ref="B33:F33"/>
    <mergeCell ref="G33:H33"/>
    <mergeCell ref="I33:J33"/>
    <mergeCell ref="B34:F34"/>
    <mergeCell ref="G34:H34"/>
    <mergeCell ref="I34:J34"/>
    <mergeCell ref="K34:L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false" showRowColHeaders="fals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8.29"/>
    <col collapsed="false" customWidth="true" hidden="false" outlineLevel="0" max="12" min="12" style="1" width="7.29"/>
    <col collapsed="false" customWidth="true" hidden="false" outlineLevel="0" max="15" min="15" style="1" width="5.86"/>
    <col collapsed="false" customWidth="true" hidden="false" outlineLevel="0" max="17" min="17" style="1" width="6.57"/>
  </cols>
  <sheetData>
    <row r="1" customFormat="false" ht="20.25" hidden="false" customHeight="true" outlineLevel="0" collapsed="false">
      <c r="A1" s="2" t="s">
        <v>752</v>
      </c>
      <c r="B1" s="2"/>
      <c r="C1" s="2"/>
      <c r="D1" s="2"/>
      <c r="E1" s="2"/>
      <c r="F1" s="2"/>
      <c r="G1" s="2"/>
      <c r="H1" s="554" t="s">
        <v>1</v>
      </c>
      <c r="I1" s="554"/>
      <c r="J1" s="55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251"/>
      <c r="C2" s="251"/>
      <c r="D2" s="251"/>
      <c r="E2" s="251"/>
      <c r="F2" s="251"/>
      <c r="G2" s="251"/>
      <c r="H2" s="554"/>
      <c r="I2" s="554"/>
      <c r="J2" s="554"/>
      <c r="K2" s="521" t="s">
        <v>4</v>
      </c>
      <c r="L2" s="521"/>
      <c r="M2" s="523" t="s">
        <v>5</v>
      </c>
      <c r="N2" s="529" t="s">
        <v>6</v>
      </c>
      <c r="O2" s="529"/>
      <c r="P2" s="529" t="s">
        <v>7</v>
      </c>
      <c r="Q2" s="529"/>
      <c r="R2" s="523" t="s">
        <v>8</v>
      </c>
      <c r="S2" s="524" t="s">
        <v>9</v>
      </c>
      <c r="T2" s="522" t="s">
        <v>108</v>
      </c>
      <c r="U2" s="525" t="s">
        <v>109</v>
      </c>
    </row>
    <row r="3" customFormat="false" ht="19.5" hidden="false" customHeight="true" outlineLevel="0" collapsed="false">
      <c r="A3" s="254" t="s">
        <v>11</v>
      </c>
      <c r="B3" s="255"/>
      <c r="C3" s="255"/>
      <c r="D3" s="255"/>
      <c r="E3" s="255"/>
      <c r="F3" s="255"/>
      <c r="G3" s="255"/>
      <c r="H3" s="554"/>
      <c r="I3" s="554"/>
      <c r="J3" s="554"/>
      <c r="K3" s="555" t="str">
        <f aca="false">A11</f>
        <v>SU-079</v>
      </c>
      <c r="L3" s="556" t="n">
        <f aca="false">IF(M31&gt;6000,M31/6000,1)</f>
        <v>1</v>
      </c>
      <c r="M3" s="689" t="n">
        <f aca="false">ROUNDUP(L3,0)</f>
        <v>1</v>
      </c>
      <c r="N3" s="558" t="n">
        <f aca="false">0.341*6*K13</f>
        <v>102.3</v>
      </c>
      <c r="O3" s="558"/>
      <c r="P3" s="559" t="n">
        <f aca="false">N3*M3</f>
        <v>102.3</v>
      </c>
      <c r="Q3" s="559"/>
      <c r="R3" s="315" t="str">
        <f aca="false">F5</f>
        <v>BRANCO</v>
      </c>
      <c r="S3" s="560" t="n">
        <v>6000</v>
      </c>
      <c r="T3" s="561" t="n">
        <f aca="false">M31*0.341/1000</f>
        <v>1.023</v>
      </c>
      <c r="U3" s="561" t="n">
        <f aca="false">M3*2.046</f>
        <v>2.046</v>
      </c>
    </row>
    <row r="4" customFormat="false" ht="19.5" hidden="false" customHeight="true" outlineLevel="0" collapsed="false">
      <c r="A4" s="254" t="s">
        <v>12</v>
      </c>
      <c r="B4" s="255"/>
      <c r="C4" s="255"/>
      <c r="D4" s="264" t="s">
        <v>13</v>
      </c>
      <c r="E4" s="264"/>
      <c r="F4" s="255"/>
      <c r="G4" s="255"/>
      <c r="H4" s="554"/>
      <c r="I4" s="554"/>
      <c r="J4" s="554"/>
      <c r="K4" s="562" t="str">
        <f aca="false">A13</f>
        <v>SU-276</v>
      </c>
      <c r="L4" s="563" t="n">
        <f aca="false">IF(M32&gt;6000,M32/6000,1)</f>
        <v>1</v>
      </c>
      <c r="M4" s="690" t="n">
        <f aca="false">ROUNDUP(L4,0)</f>
        <v>1</v>
      </c>
      <c r="N4" s="565" t="n">
        <f aca="false">0.168*6*K13</f>
        <v>50.4</v>
      </c>
      <c r="O4" s="565"/>
      <c r="P4" s="566" t="n">
        <f aca="false">N4*M4</f>
        <v>50.4</v>
      </c>
      <c r="Q4" s="566"/>
      <c r="R4" s="321" t="str">
        <f aca="false">F5</f>
        <v>BRANCO</v>
      </c>
      <c r="S4" s="567" t="n">
        <v>6000</v>
      </c>
      <c r="T4" s="568" t="n">
        <f aca="false">M32*0.168/1000</f>
        <v>0.168</v>
      </c>
      <c r="U4" s="568" t="n">
        <f aca="false">M4*1.008</f>
        <v>1.008</v>
      </c>
    </row>
    <row r="5" customFormat="false" ht="19.5" hidden="false" customHeight="true" outlineLevel="0" collapsed="false">
      <c r="A5" s="254" t="s">
        <v>14</v>
      </c>
      <c r="B5" s="269"/>
      <c r="C5" s="269"/>
      <c r="D5" s="264" t="s">
        <v>8</v>
      </c>
      <c r="E5" s="264"/>
      <c r="F5" s="255" t="s">
        <v>15</v>
      </c>
      <c r="G5" s="255"/>
      <c r="H5" s="554"/>
      <c r="I5" s="554"/>
      <c r="J5" s="554"/>
      <c r="K5" s="562" t="str">
        <f aca="false">A14</f>
        <v>SU-082</v>
      </c>
      <c r="L5" s="563" t="n">
        <f aca="false">IF(M33&gt;6000,M33/6000,1)</f>
        <v>1</v>
      </c>
      <c r="M5" s="571" t="n">
        <f aca="false">ROUNDUP(L5,0)</f>
        <v>1</v>
      </c>
      <c r="N5" s="565" t="n">
        <f aca="false">0.312*6*K13</f>
        <v>93.6</v>
      </c>
      <c r="O5" s="565"/>
      <c r="P5" s="566" t="n">
        <f aca="false">N5*M5</f>
        <v>93.6</v>
      </c>
      <c r="Q5" s="566"/>
      <c r="R5" s="321" t="str">
        <f aca="false">F5</f>
        <v>BRANCO</v>
      </c>
      <c r="S5" s="567" t="n">
        <v>6000</v>
      </c>
      <c r="T5" s="691" t="n">
        <f aca="false">M33*0.312/1000</f>
        <v>0.258336</v>
      </c>
      <c r="U5" s="568" t="n">
        <f aca="false">M5*1.872</f>
        <v>1.872</v>
      </c>
    </row>
    <row r="6" customFormat="false" ht="22.5" hidden="false" customHeight="true" outlineLevel="0" collapsed="false">
      <c r="A6" s="11" t="s">
        <v>117</v>
      </c>
      <c r="B6" s="20" t="s">
        <v>17</v>
      </c>
      <c r="C6" s="20" t="s">
        <v>18</v>
      </c>
      <c r="D6" s="20" t="s">
        <v>5</v>
      </c>
      <c r="E6" s="30" t="s">
        <v>121</v>
      </c>
      <c r="F6" s="30"/>
      <c r="G6" s="270"/>
      <c r="H6" s="270"/>
      <c r="I6" s="270"/>
      <c r="J6" s="270"/>
      <c r="K6" s="562" t="str">
        <f aca="false">A15</f>
        <v>SU-200</v>
      </c>
      <c r="L6" s="563" t="n">
        <f aca="false">IF(M34&gt;6000,M34/6000,1)</f>
        <v>1</v>
      </c>
      <c r="M6" s="690" t="n">
        <f aca="false">ROUNDUP(L6,0)</f>
        <v>1</v>
      </c>
      <c r="N6" s="565" t="n">
        <f aca="false">0.444*6*K13</f>
        <v>133.2</v>
      </c>
      <c r="O6" s="565"/>
      <c r="P6" s="566" t="n">
        <f aca="false">N6*M6</f>
        <v>133.2</v>
      </c>
      <c r="Q6" s="566"/>
      <c r="R6" s="321" t="str">
        <f aca="false">F5</f>
        <v>BRANCO</v>
      </c>
      <c r="S6" s="567" t="n">
        <v>6000</v>
      </c>
      <c r="T6" s="568" t="n">
        <f aca="false">M34*0.444/1000</f>
        <v>1.242756</v>
      </c>
      <c r="U6" s="568" t="n">
        <f aca="false">M6*2.644</f>
        <v>2.644</v>
      </c>
    </row>
    <row r="7" customFormat="false" ht="27" hidden="false" customHeight="true" outlineLevel="0" collapsed="false">
      <c r="A7" s="271" t="n">
        <v>600</v>
      </c>
      <c r="B7" s="272" t="n">
        <v>1000</v>
      </c>
      <c r="C7" s="272" t="n">
        <v>500</v>
      </c>
      <c r="D7" s="272" t="n">
        <v>1</v>
      </c>
      <c r="E7" s="276" t="n">
        <f aca="false">(B7*C7)/10^6</f>
        <v>0.5</v>
      </c>
      <c r="F7" s="276"/>
      <c r="G7" s="270"/>
      <c r="H7" s="270"/>
      <c r="I7" s="270"/>
      <c r="J7" s="270"/>
      <c r="K7" s="577" t="s">
        <v>188</v>
      </c>
      <c r="L7" s="563" t="n">
        <f aca="false">IF(M35&gt;6000,M35/6000,1)</f>
        <v>1</v>
      </c>
      <c r="M7" s="690" t="n">
        <f aca="false">ROUNDUP(L7,0)</f>
        <v>1</v>
      </c>
      <c r="N7" s="692" t="n">
        <f aca="false">0.111*6*K13</f>
        <v>33.3</v>
      </c>
      <c r="O7" s="692"/>
      <c r="P7" s="566" t="n">
        <f aca="false">N7*M7</f>
        <v>33.3</v>
      </c>
      <c r="Q7" s="566"/>
      <c r="R7" s="321" t="str">
        <f aca="false">F5</f>
        <v>BRANCO</v>
      </c>
      <c r="S7" s="567" t="n">
        <v>6000</v>
      </c>
      <c r="T7" s="568" t="n">
        <f aca="false">M35*0.111/1000</f>
        <v>0.353424</v>
      </c>
      <c r="U7" s="568" t="n">
        <f aca="false">M7*0.666</f>
        <v>0.666</v>
      </c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300</v>
      </c>
      <c r="D8" s="274"/>
      <c r="E8" s="20" t="s">
        <v>16</v>
      </c>
      <c r="F8" s="39" t="n">
        <f aca="false">D7*2</f>
        <v>2</v>
      </c>
      <c r="G8" s="270"/>
      <c r="H8" s="270"/>
      <c r="I8" s="270"/>
      <c r="J8" s="270"/>
      <c r="K8" s="562" t="s">
        <v>668</v>
      </c>
      <c r="L8" s="563" t="n">
        <f aca="false">IF(M36&gt;6000,M36/6000,1)</f>
        <v>1</v>
      </c>
      <c r="M8" s="690" t="n">
        <f aca="false">ROUNDUP(L8,0)</f>
        <v>1</v>
      </c>
      <c r="N8" s="565" t="n">
        <f aca="false">0.596*6*K13</f>
        <v>178.8</v>
      </c>
      <c r="O8" s="565"/>
      <c r="P8" s="566" t="n">
        <f aca="false">N8*M8</f>
        <v>178.8</v>
      </c>
      <c r="Q8" s="566"/>
      <c r="R8" s="321" t="str">
        <f aca="false">F5</f>
        <v>BRANCO</v>
      </c>
      <c r="S8" s="567" t="n">
        <f aca="false">S7</f>
        <v>6000</v>
      </c>
      <c r="T8" s="568" t="n">
        <f aca="false">M36*0.596/1000</f>
        <v>0.57216</v>
      </c>
      <c r="U8" s="568" t="n">
        <f aca="false">M8*3.576</f>
        <v>3.576</v>
      </c>
    </row>
    <row r="9" customFormat="false" ht="26.25" hidden="false" customHeight="true" outlineLevel="0" collapsed="false">
      <c r="A9" s="104" t="s">
        <v>122</v>
      </c>
      <c r="B9" s="104"/>
      <c r="C9" s="275" t="n">
        <f aca="false">C8*D7</f>
        <v>300</v>
      </c>
      <c r="D9" s="275"/>
      <c r="E9" s="537" t="n">
        <f aca="false">B7-98</f>
        <v>902</v>
      </c>
      <c r="F9" s="401" t="n">
        <f aca="false">C7-99</f>
        <v>401</v>
      </c>
      <c r="G9" s="270"/>
      <c r="H9" s="270"/>
      <c r="I9" s="270"/>
      <c r="J9" s="270"/>
      <c r="K9" s="562"/>
      <c r="L9" s="563"/>
      <c r="M9" s="693"/>
      <c r="N9" s="565"/>
      <c r="O9" s="565"/>
      <c r="P9" s="566"/>
      <c r="Q9" s="566"/>
      <c r="R9" s="321"/>
      <c r="S9" s="567"/>
      <c r="T9" s="583"/>
      <c r="U9" s="568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562"/>
      <c r="L10" s="563"/>
      <c r="M10" s="693"/>
      <c r="N10" s="565"/>
      <c r="O10" s="565"/>
      <c r="P10" s="566"/>
      <c r="Q10" s="566"/>
      <c r="R10" s="321"/>
      <c r="S10" s="567"/>
      <c r="T10" s="583"/>
      <c r="U10" s="568"/>
    </row>
    <row r="11" customFormat="false" ht="25.5" hidden="false" customHeight="true" outlineLevel="0" collapsed="false">
      <c r="A11" s="67" t="s">
        <v>653</v>
      </c>
      <c r="B11" s="68" t="s">
        <v>654</v>
      </c>
      <c r="C11" s="68"/>
      <c r="D11" s="68"/>
      <c r="E11" s="69" t="n">
        <f aca="false">D7*2</f>
        <v>2</v>
      </c>
      <c r="F11" s="69" t="n">
        <f aca="false">B7</f>
        <v>1000</v>
      </c>
      <c r="G11" s="69"/>
      <c r="H11" s="71" t="s">
        <v>17</v>
      </c>
      <c r="I11" s="71"/>
      <c r="J11" s="72" t="s">
        <v>33</v>
      </c>
      <c r="K11" s="136"/>
      <c r="L11" s="584"/>
      <c r="M11" s="694"/>
      <c r="N11" s="586"/>
      <c r="O11" s="586"/>
      <c r="P11" s="587"/>
      <c r="Q11" s="587"/>
      <c r="R11" s="321"/>
      <c r="S11" s="588"/>
      <c r="T11" s="589"/>
      <c r="U11" s="590"/>
    </row>
    <row r="12" customFormat="false" ht="25.5" hidden="false" customHeight="true" outlineLevel="0" collapsed="false">
      <c r="A12" s="79" t="s">
        <v>653</v>
      </c>
      <c r="B12" s="80" t="s">
        <v>655</v>
      </c>
      <c r="C12" s="80"/>
      <c r="D12" s="80"/>
      <c r="E12" s="46" t="n">
        <f aca="false">D7*2</f>
        <v>2</v>
      </c>
      <c r="F12" s="97" t="n">
        <f aca="false">C7</f>
        <v>500</v>
      </c>
      <c r="G12" s="97"/>
      <c r="H12" s="82" t="s">
        <v>18</v>
      </c>
      <c r="I12" s="82"/>
      <c r="J12" s="83" t="s">
        <v>33</v>
      </c>
      <c r="K12" s="591" t="s">
        <v>669</v>
      </c>
      <c r="L12" s="591"/>
      <c r="M12" s="592" t="s">
        <v>670</v>
      </c>
      <c r="N12" s="592"/>
      <c r="O12" s="592" t="s">
        <v>135</v>
      </c>
      <c r="P12" s="592"/>
      <c r="Q12" s="592" t="s">
        <v>136</v>
      </c>
      <c r="R12" s="592"/>
      <c r="S12" s="593" t="s">
        <v>130</v>
      </c>
      <c r="T12" s="593"/>
      <c r="U12" s="589" t="n">
        <f aca="false">T3+T4+T5+T6+T7+T8</f>
        <v>3.617676</v>
      </c>
    </row>
    <row r="13" customFormat="false" ht="25.5" hidden="false" customHeight="true" outlineLevel="0" collapsed="false">
      <c r="A13" s="79" t="s">
        <v>671</v>
      </c>
      <c r="B13" s="80" t="s">
        <v>360</v>
      </c>
      <c r="C13" s="80"/>
      <c r="D13" s="80"/>
      <c r="E13" s="46" t="n">
        <f aca="false">D7*1</f>
        <v>1</v>
      </c>
      <c r="F13" s="97" t="n">
        <f aca="false">B7</f>
        <v>1000</v>
      </c>
      <c r="G13" s="97"/>
      <c r="H13" s="82" t="s">
        <v>17</v>
      </c>
      <c r="I13" s="82"/>
      <c r="J13" s="83" t="s">
        <v>42</v>
      </c>
      <c r="K13" s="410" t="n">
        <v>50</v>
      </c>
      <c r="L13" s="410"/>
      <c r="M13" s="410" t="n">
        <v>100</v>
      </c>
      <c r="N13" s="410"/>
      <c r="O13" s="594" t="n">
        <f aca="false">U12*M13</f>
        <v>361.7676</v>
      </c>
      <c r="P13" s="594"/>
      <c r="Q13" s="595" t="n">
        <f aca="false">K17*R14+K17</f>
        <v>198.97218</v>
      </c>
      <c r="R13" s="595"/>
      <c r="S13" s="593" t="s">
        <v>131</v>
      </c>
      <c r="T13" s="593"/>
      <c r="U13" s="596" t="n">
        <f aca="false">U3+U4+U5+U6+U7+U8</f>
        <v>11.812</v>
      </c>
    </row>
    <row r="14" customFormat="false" ht="25.5" hidden="false" customHeight="true" outlineLevel="0" collapsed="false">
      <c r="A14" s="79" t="s">
        <v>672</v>
      </c>
      <c r="B14" s="80" t="s">
        <v>673</v>
      </c>
      <c r="C14" s="80"/>
      <c r="D14" s="80"/>
      <c r="E14" s="46" t="n">
        <f aca="false">D7*2</f>
        <v>2</v>
      </c>
      <c r="F14" s="97" t="n">
        <f aca="false">K33/2</f>
        <v>414</v>
      </c>
      <c r="G14" s="97"/>
      <c r="H14" s="82" t="s">
        <v>17</v>
      </c>
      <c r="I14" s="82"/>
      <c r="J14" s="83" t="s">
        <v>42</v>
      </c>
      <c r="K14" s="592" t="s">
        <v>195</v>
      </c>
      <c r="L14" s="592"/>
      <c r="M14" s="336"/>
      <c r="N14" s="336"/>
      <c r="O14" s="336"/>
      <c r="P14" s="336"/>
      <c r="Q14" s="336"/>
      <c r="R14" s="597" t="n">
        <v>0.1</v>
      </c>
      <c r="S14" s="593" t="s">
        <v>132</v>
      </c>
      <c r="T14" s="593"/>
      <c r="U14" s="589" t="n">
        <f aca="false">U13-U12</f>
        <v>8.194324</v>
      </c>
    </row>
    <row r="15" customFormat="false" ht="25.5" hidden="false" customHeight="true" outlineLevel="0" collapsed="false">
      <c r="A15" s="79" t="s">
        <v>674</v>
      </c>
      <c r="B15" s="80" t="s">
        <v>675</v>
      </c>
      <c r="C15" s="80"/>
      <c r="D15" s="80"/>
      <c r="E15" s="46" t="n">
        <f aca="false">D7*2</f>
        <v>2</v>
      </c>
      <c r="F15" s="24" t="n">
        <f aca="false">K34/2</f>
        <v>481.5</v>
      </c>
      <c r="G15" s="24"/>
      <c r="H15" s="82" t="s">
        <v>17</v>
      </c>
      <c r="I15" s="82"/>
      <c r="J15" s="83" t="s">
        <v>33</v>
      </c>
      <c r="K15" s="410" t="n">
        <f aca="false">U13*K13</f>
        <v>590.6</v>
      </c>
      <c r="L15" s="410"/>
      <c r="M15" s="336"/>
      <c r="N15" s="336"/>
      <c r="O15" s="336"/>
      <c r="P15" s="336"/>
      <c r="Q15" s="336"/>
      <c r="R15" s="336"/>
      <c r="S15" s="336"/>
      <c r="T15" s="336"/>
      <c r="U15" s="336"/>
    </row>
    <row r="16" customFormat="false" ht="25.5" hidden="false" customHeight="true" outlineLevel="0" collapsed="false">
      <c r="A16" s="79" t="s">
        <v>674</v>
      </c>
      <c r="B16" s="80" t="s">
        <v>676</v>
      </c>
      <c r="C16" s="80"/>
      <c r="D16" s="80"/>
      <c r="E16" s="46" t="n">
        <f aca="false">D7*4</f>
        <v>4</v>
      </c>
      <c r="F16" s="97" t="n">
        <f aca="false">C7-41</f>
        <v>459</v>
      </c>
      <c r="G16" s="97"/>
      <c r="H16" s="82" t="s">
        <v>18</v>
      </c>
      <c r="I16" s="82"/>
      <c r="J16" s="83" t="s">
        <v>245</v>
      </c>
      <c r="K16" s="592" t="s">
        <v>199</v>
      </c>
      <c r="L16" s="592"/>
      <c r="M16" s="132"/>
      <c r="N16" s="132"/>
      <c r="O16" s="132"/>
      <c r="P16" s="132"/>
      <c r="Q16" s="132"/>
      <c r="R16" s="132"/>
      <c r="S16" s="132"/>
      <c r="T16" s="132"/>
      <c r="U16" s="132"/>
    </row>
    <row r="17" customFormat="false" ht="25.5" hidden="false" customHeight="true" outlineLevel="0" collapsed="false">
      <c r="A17" s="79" t="s">
        <v>188</v>
      </c>
      <c r="B17" s="80" t="s">
        <v>203</v>
      </c>
      <c r="C17" s="80"/>
      <c r="D17" s="80"/>
      <c r="E17" s="46" t="n">
        <f aca="false">D7*4</f>
        <v>4</v>
      </c>
      <c r="F17" s="24" t="n">
        <f aca="false">F14-1</f>
        <v>413</v>
      </c>
      <c r="G17" s="24"/>
      <c r="H17" s="82" t="s">
        <v>17</v>
      </c>
      <c r="I17" s="82"/>
      <c r="J17" s="83" t="s">
        <v>42</v>
      </c>
      <c r="K17" s="598" t="n">
        <f aca="false">U12*K13</f>
        <v>180.8838</v>
      </c>
      <c r="L17" s="598"/>
      <c r="M17" s="132"/>
      <c r="N17" s="132"/>
      <c r="O17" s="132"/>
      <c r="P17" s="132"/>
      <c r="Q17" s="132"/>
      <c r="R17" s="132"/>
      <c r="S17" s="132"/>
      <c r="T17" s="132"/>
      <c r="U17" s="132"/>
    </row>
    <row r="18" customFormat="false" ht="25.5" hidden="false" customHeight="true" outlineLevel="0" collapsed="false">
      <c r="A18" s="79" t="s">
        <v>188</v>
      </c>
      <c r="B18" s="80" t="s">
        <v>203</v>
      </c>
      <c r="C18" s="80"/>
      <c r="D18" s="80"/>
      <c r="E18" s="46" t="n">
        <f aca="false">D7*4</f>
        <v>4</v>
      </c>
      <c r="F18" s="24" t="n">
        <f aca="false">C7-117</f>
        <v>383</v>
      </c>
      <c r="G18" s="24"/>
      <c r="H18" s="82" t="s">
        <v>18</v>
      </c>
      <c r="I18" s="82"/>
      <c r="J18" s="83" t="s">
        <v>42</v>
      </c>
      <c r="M18" s="132"/>
      <c r="N18" s="132"/>
      <c r="O18" s="132"/>
      <c r="P18" s="132"/>
      <c r="Q18" s="132"/>
      <c r="R18" s="132"/>
      <c r="S18" s="132"/>
      <c r="T18" s="132"/>
      <c r="U18" s="132"/>
    </row>
    <row r="19" customFormat="false" ht="27" hidden="false" customHeight="true" outlineLevel="0" collapsed="false">
      <c r="A19" s="99" t="s">
        <v>668</v>
      </c>
      <c r="B19" s="100" t="s">
        <v>677</v>
      </c>
      <c r="C19" s="100"/>
      <c r="D19" s="100"/>
      <c r="E19" s="55" t="n">
        <f aca="false">D7*1</f>
        <v>1</v>
      </c>
      <c r="F19" s="246" t="n">
        <f aca="false">B7-40</f>
        <v>960</v>
      </c>
      <c r="G19" s="246"/>
      <c r="H19" s="102" t="s">
        <v>17</v>
      </c>
      <c r="I19" s="102"/>
      <c r="J19" s="103" t="s">
        <v>42</v>
      </c>
      <c r="M19" s="132"/>
      <c r="N19" s="132"/>
      <c r="O19" s="132"/>
      <c r="P19" s="132"/>
      <c r="Q19" s="132"/>
      <c r="R19" s="132"/>
      <c r="S19" s="132"/>
      <c r="T19" s="132"/>
      <c r="U19" s="132"/>
    </row>
    <row r="20" customFormat="false" ht="15.75" hidden="false" customHeight="false" outlineLevel="0" collapsed="false">
      <c r="I20" s="109"/>
      <c r="J20" s="683" t="n">
        <f aca="false">B7-93</f>
        <v>907</v>
      </c>
    </row>
    <row r="21" customFormat="false" ht="21" hidden="false" customHeight="true" outlineLevel="0" collapsed="false">
      <c r="A21" s="104" t="s">
        <v>51</v>
      </c>
      <c r="B21" s="160" t="s">
        <v>26</v>
      </c>
      <c r="C21" s="160"/>
      <c r="D21" s="160"/>
      <c r="E21" s="160"/>
      <c r="F21" s="160"/>
      <c r="G21" s="160" t="s">
        <v>206</v>
      </c>
      <c r="H21" s="160"/>
      <c r="I21" s="416" t="s">
        <v>207</v>
      </c>
      <c r="J21" s="416"/>
      <c r="K21" s="93"/>
      <c r="L21" s="93"/>
      <c r="M21" s="93"/>
    </row>
    <row r="22" customFormat="false" ht="17.25" hidden="false" customHeight="true" outlineLevel="0" collapsed="false">
      <c r="A22" s="417" t="s">
        <v>681</v>
      </c>
      <c r="B22" s="418" t="s">
        <v>682</v>
      </c>
      <c r="C22" s="418"/>
      <c r="D22" s="418"/>
      <c r="E22" s="418"/>
      <c r="F22" s="418"/>
      <c r="G22" s="221" t="s">
        <v>64</v>
      </c>
      <c r="H22" s="221"/>
      <c r="I22" s="684" t="n">
        <f aca="false">D7*2</f>
        <v>2</v>
      </c>
      <c r="J22" s="684"/>
      <c r="M22" s="93"/>
    </row>
    <row r="23" customFormat="false" ht="17.25" hidden="false" customHeight="true" outlineLevel="0" collapsed="false">
      <c r="A23" s="47" t="s">
        <v>683</v>
      </c>
      <c r="B23" s="419" t="s">
        <v>424</v>
      </c>
      <c r="C23" s="419"/>
      <c r="D23" s="419"/>
      <c r="E23" s="419"/>
      <c r="F23" s="419"/>
      <c r="G23" s="28" t="s">
        <v>46</v>
      </c>
      <c r="H23" s="28"/>
      <c r="I23" s="685" t="n">
        <f aca="false">B7</f>
        <v>1000</v>
      </c>
      <c r="J23" s="685"/>
      <c r="M23" s="93"/>
      <c r="N23" s="109"/>
      <c r="O23" s="109"/>
      <c r="P23" s="109"/>
    </row>
    <row r="24" customFormat="false" ht="17.25" hidden="false" customHeight="true" outlineLevel="0" collapsed="false">
      <c r="A24" s="47" t="s">
        <v>684</v>
      </c>
      <c r="B24" s="419" t="s">
        <v>685</v>
      </c>
      <c r="C24" s="419"/>
      <c r="D24" s="419"/>
      <c r="E24" s="419"/>
      <c r="F24" s="419"/>
      <c r="G24" s="28" t="s">
        <v>46</v>
      </c>
      <c r="H24" s="28"/>
      <c r="I24" s="686"/>
      <c r="J24" s="687" t="n">
        <f aca="false">K31*2</f>
        <v>3852</v>
      </c>
      <c r="M24" s="93"/>
      <c r="N24" s="109"/>
      <c r="O24" s="109"/>
      <c r="P24" s="109"/>
    </row>
    <row r="25" customFormat="false" ht="17.25" hidden="false" customHeight="true" outlineLevel="0" collapsed="false">
      <c r="A25" s="47" t="s">
        <v>686</v>
      </c>
      <c r="B25" s="419" t="s">
        <v>687</v>
      </c>
      <c r="C25" s="419"/>
      <c r="D25" s="419"/>
      <c r="E25" s="419"/>
      <c r="F25" s="419"/>
      <c r="G25" s="28" t="s">
        <v>46</v>
      </c>
      <c r="H25" s="28"/>
      <c r="I25" s="686"/>
      <c r="J25" s="687" t="n">
        <f aca="false">K32*2</f>
        <v>4000</v>
      </c>
      <c r="M25" s="93"/>
      <c r="N25" s="109"/>
      <c r="O25" s="109"/>
      <c r="P25" s="109"/>
    </row>
    <row r="26" customFormat="false" ht="17.25" hidden="false" customHeight="true" outlineLevel="0" collapsed="false">
      <c r="A26" s="47" t="s">
        <v>688</v>
      </c>
      <c r="B26" s="419" t="s">
        <v>340</v>
      </c>
      <c r="C26" s="419"/>
      <c r="D26" s="419"/>
      <c r="E26" s="419"/>
      <c r="F26" s="419"/>
      <c r="G26" s="28" t="s">
        <v>64</v>
      </c>
      <c r="H26" s="28"/>
      <c r="I26" s="686"/>
      <c r="J26" s="687" t="n">
        <f aca="false">D7*4</f>
        <v>4</v>
      </c>
      <c r="M26" s="93"/>
      <c r="O26" s="109"/>
      <c r="P26" s="109"/>
    </row>
    <row r="27" customFormat="false" ht="17.25" hidden="false" customHeight="true" outlineLevel="0" collapsed="false">
      <c r="A27" s="47" t="s">
        <v>233</v>
      </c>
      <c r="B27" s="419" t="s">
        <v>689</v>
      </c>
      <c r="C27" s="419"/>
      <c r="D27" s="419"/>
      <c r="E27" s="419"/>
      <c r="F27" s="419"/>
      <c r="G27" s="28" t="s">
        <v>64</v>
      </c>
      <c r="H27" s="28"/>
      <c r="I27" s="686"/>
      <c r="J27" s="687" t="n">
        <f aca="false">D7*8</f>
        <v>8</v>
      </c>
      <c r="M27" s="93"/>
      <c r="N27" s="93"/>
      <c r="O27" s="93"/>
      <c r="P27" s="93"/>
      <c r="Q27" s="93"/>
      <c r="R27" s="93"/>
      <c r="S27" s="93"/>
    </row>
    <row r="28" customFormat="false" ht="17.25" hidden="false" customHeight="true" outlineLevel="0" collapsed="false">
      <c r="A28" s="47" t="s">
        <v>690</v>
      </c>
      <c r="B28" s="419" t="s">
        <v>691</v>
      </c>
      <c r="C28" s="419"/>
      <c r="D28" s="419"/>
      <c r="E28" s="419"/>
      <c r="F28" s="419"/>
      <c r="G28" s="28" t="s">
        <v>64</v>
      </c>
      <c r="H28" s="28"/>
      <c r="I28" s="686"/>
      <c r="J28" s="687" t="n">
        <f aca="false">D7*4</f>
        <v>4</v>
      </c>
      <c r="K28" s="614"/>
      <c r="L28" s="614"/>
      <c r="M28" s="93"/>
      <c r="N28" s="93"/>
      <c r="O28" s="93"/>
      <c r="P28" s="93"/>
      <c r="Q28" s="93"/>
      <c r="R28" s="93"/>
      <c r="S28" s="93"/>
    </row>
    <row r="29" customFormat="false" ht="17.25" hidden="false" customHeight="true" outlineLevel="0" collapsed="false">
      <c r="A29" s="47"/>
      <c r="B29" s="419"/>
      <c r="C29" s="419"/>
      <c r="D29" s="419"/>
      <c r="E29" s="419"/>
      <c r="F29" s="419"/>
      <c r="G29" s="28"/>
      <c r="H29" s="28"/>
      <c r="I29" s="28"/>
      <c r="J29" s="28"/>
      <c r="K29" s="109"/>
      <c r="L29" s="109"/>
      <c r="M29" s="109"/>
      <c r="N29" s="109"/>
      <c r="O29" s="109"/>
      <c r="P29" s="93"/>
      <c r="Q29" s="93"/>
      <c r="R29" s="93"/>
      <c r="S29" s="93"/>
    </row>
    <row r="30" customFormat="false" ht="17.25" hidden="false" customHeight="true" outlineLevel="0" collapsed="false">
      <c r="A30" s="47"/>
      <c r="B30" s="419"/>
      <c r="C30" s="419"/>
      <c r="D30" s="419"/>
      <c r="E30" s="419"/>
      <c r="F30" s="419"/>
      <c r="G30" s="28"/>
      <c r="H30" s="28"/>
      <c r="I30" s="28"/>
      <c r="J30" s="28"/>
      <c r="K30" s="109"/>
      <c r="L30" s="109"/>
      <c r="M30" s="109"/>
      <c r="N30" s="109"/>
      <c r="O30" s="109"/>
      <c r="P30" s="93"/>
      <c r="Q30" s="93"/>
      <c r="R30" s="93"/>
      <c r="S30" s="93"/>
    </row>
    <row r="31" customFormat="false" ht="17.25" hidden="false" customHeight="true" outlineLevel="0" collapsed="false">
      <c r="A31" s="47"/>
      <c r="B31" s="419"/>
      <c r="C31" s="419"/>
      <c r="D31" s="419"/>
      <c r="E31" s="419"/>
      <c r="F31" s="419"/>
      <c r="G31" s="28"/>
      <c r="H31" s="28"/>
      <c r="I31" s="28"/>
      <c r="J31" s="28"/>
      <c r="K31" s="688" t="n">
        <f aca="false">F15*4</f>
        <v>1926</v>
      </c>
      <c r="L31" s="688"/>
      <c r="M31" s="109" t="n">
        <f aca="false">F11*E11+E12*F12</f>
        <v>3000</v>
      </c>
      <c r="N31" s="109" t="s">
        <v>748</v>
      </c>
      <c r="O31" s="109"/>
      <c r="P31" s="93"/>
      <c r="Q31" s="93"/>
      <c r="R31" s="93"/>
      <c r="S31" s="93"/>
    </row>
    <row r="32" customFormat="false" ht="17.25" hidden="false" customHeight="true" outlineLevel="0" collapsed="false">
      <c r="A32" s="47"/>
      <c r="B32" s="419"/>
      <c r="C32" s="419"/>
      <c r="D32" s="419"/>
      <c r="E32" s="419"/>
      <c r="F32" s="419"/>
      <c r="G32" s="28"/>
      <c r="H32" s="28"/>
      <c r="I32" s="28"/>
      <c r="J32" s="28"/>
      <c r="K32" s="688" t="n">
        <f aca="false">F12*4</f>
        <v>2000</v>
      </c>
      <c r="L32" s="688"/>
      <c r="M32" s="109" t="n">
        <f aca="false">F13*E13</f>
        <v>1000</v>
      </c>
      <c r="N32" s="109" t="s">
        <v>753</v>
      </c>
      <c r="O32" s="109"/>
      <c r="P32" s="93"/>
      <c r="Q32" s="93"/>
      <c r="R32" s="93"/>
      <c r="S32" s="93"/>
    </row>
    <row r="33" customFormat="false" ht="17.25" hidden="false" customHeight="true" outlineLevel="0" collapsed="false">
      <c r="A33" s="47"/>
      <c r="B33" s="419"/>
      <c r="C33" s="419"/>
      <c r="D33" s="419"/>
      <c r="E33" s="419"/>
      <c r="F33" s="419"/>
      <c r="G33" s="28"/>
      <c r="H33" s="28"/>
      <c r="I33" s="28"/>
      <c r="J33" s="28"/>
      <c r="K33" s="695" t="n">
        <f aca="false">B7-172</f>
        <v>828</v>
      </c>
      <c r="L33" s="109"/>
      <c r="M33" s="109" t="n">
        <f aca="false">F14*E14</f>
        <v>828</v>
      </c>
      <c r="N33" s="108" t="s">
        <v>749</v>
      </c>
      <c r="O33" s="109"/>
      <c r="P33" s="93"/>
      <c r="Q33" s="93"/>
      <c r="R33" s="93"/>
      <c r="S33" s="93"/>
    </row>
    <row r="34" customFormat="false" ht="17.25" hidden="false" customHeight="true" outlineLevel="0" collapsed="false">
      <c r="A34" s="47"/>
      <c r="B34" s="419"/>
      <c r="C34" s="419"/>
      <c r="D34" s="419"/>
      <c r="E34" s="419"/>
      <c r="F34" s="419"/>
      <c r="G34" s="28"/>
      <c r="H34" s="28"/>
      <c r="I34" s="28"/>
      <c r="J34" s="28"/>
      <c r="K34" s="695" t="n">
        <f aca="false">B7-37</f>
        <v>963</v>
      </c>
      <c r="L34" s="109"/>
      <c r="M34" s="109" t="n">
        <f aca="false">F15*E15+E16*F16</f>
        <v>2799</v>
      </c>
      <c r="N34" s="109" t="s">
        <v>750</v>
      </c>
      <c r="O34" s="109"/>
      <c r="P34" s="93"/>
      <c r="Q34" s="93"/>
      <c r="R34" s="93"/>
      <c r="S34" s="93"/>
    </row>
    <row r="35" customFormat="false" ht="17.25" hidden="false" customHeight="true" outlineLevel="0" collapsed="false">
      <c r="A35" s="64"/>
      <c r="B35" s="550"/>
      <c r="C35" s="550"/>
      <c r="D35" s="550"/>
      <c r="E35" s="550"/>
      <c r="F35" s="550"/>
      <c r="G35" s="478"/>
      <c r="H35" s="478"/>
      <c r="I35" s="478"/>
      <c r="J35" s="478"/>
      <c r="K35" s="109"/>
      <c r="L35" s="109"/>
      <c r="M35" s="109" t="n">
        <f aca="false">F17*E17+E18*F18</f>
        <v>3184</v>
      </c>
      <c r="N35" s="108" t="s">
        <v>733</v>
      </c>
      <c r="O35" s="109"/>
      <c r="P35" s="93"/>
      <c r="Q35" s="93"/>
      <c r="R35" s="93"/>
      <c r="S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 t="n">
        <f aca="false">F19*E19</f>
        <v>960</v>
      </c>
      <c r="N36" s="108" t="s">
        <v>751</v>
      </c>
      <c r="O36" s="109"/>
    </row>
  </sheetData>
  <mergeCells count="12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K12:L12"/>
    <mergeCell ref="M12:N12"/>
    <mergeCell ref="O12:P12"/>
    <mergeCell ref="Q12:R12"/>
    <mergeCell ref="S12:T12"/>
    <mergeCell ref="B13:D13"/>
    <mergeCell ref="F13:G13"/>
    <mergeCell ref="H13:I13"/>
    <mergeCell ref="K13:L13"/>
    <mergeCell ref="M13:N13"/>
    <mergeCell ref="O13:P13"/>
    <mergeCell ref="Q13:R13"/>
    <mergeCell ref="S13:T13"/>
    <mergeCell ref="B14:D14"/>
    <mergeCell ref="F14:G14"/>
    <mergeCell ref="H14:I14"/>
    <mergeCell ref="K14:L14"/>
    <mergeCell ref="S14:T14"/>
    <mergeCell ref="B15:D15"/>
    <mergeCell ref="F15:G15"/>
    <mergeCell ref="H15:I15"/>
    <mergeCell ref="K15:L15"/>
    <mergeCell ref="B16:D16"/>
    <mergeCell ref="F16:G16"/>
    <mergeCell ref="H16:I16"/>
    <mergeCell ref="K16:L16"/>
    <mergeCell ref="B17:D17"/>
    <mergeCell ref="F17:G17"/>
    <mergeCell ref="H17:I17"/>
    <mergeCell ref="K17:L17"/>
    <mergeCell ref="B18:D18"/>
    <mergeCell ref="F18:G18"/>
    <mergeCell ref="H18:I18"/>
    <mergeCell ref="B19:D19"/>
    <mergeCell ref="F19:G19"/>
    <mergeCell ref="H19:I19"/>
    <mergeCell ref="B21:F21"/>
    <mergeCell ref="G21:H21"/>
    <mergeCell ref="I21:J21"/>
    <mergeCell ref="B22:F22"/>
    <mergeCell ref="G22:H22"/>
    <mergeCell ref="I22:J22"/>
    <mergeCell ref="B23:F23"/>
    <mergeCell ref="G23:H23"/>
    <mergeCell ref="I23:J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K28:L28"/>
    <mergeCell ref="B29:F29"/>
    <mergeCell ref="G29:H29"/>
    <mergeCell ref="I29:J29"/>
    <mergeCell ref="B30:F30"/>
    <mergeCell ref="G30:H30"/>
    <mergeCell ref="I30:J30"/>
    <mergeCell ref="B31:F31"/>
    <mergeCell ref="G31:H31"/>
    <mergeCell ref="I31:J31"/>
    <mergeCell ref="K31:L31"/>
    <mergeCell ref="B32:F32"/>
    <mergeCell ref="G32:H32"/>
    <mergeCell ref="I32:J32"/>
    <mergeCell ref="K32:L32"/>
    <mergeCell ref="B33:F33"/>
    <mergeCell ref="G33:H33"/>
    <mergeCell ref="I33:J33"/>
    <mergeCell ref="B34:F34"/>
    <mergeCell ref="G34:H34"/>
    <mergeCell ref="I34:J34"/>
    <mergeCell ref="B35:F35"/>
    <mergeCell ref="G35:H35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7" min="7" style="1" width="8"/>
    <col collapsed="false" customWidth="true" hidden="false" outlineLevel="0" max="11" min="11" style="1" width="9.14"/>
    <col collapsed="false" customWidth="true" hidden="true" outlineLevel="0" max="19" min="19" style="1" width="11.53"/>
  </cols>
  <sheetData>
    <row r="1" customFormat="false" ht="20.25" hidden="false" customHeight="true" outlineLevel="0" collapsed="false">
      <c r="A1" s="2" t="s">
        <v>103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9.5" hidden="false" customHeight="true" outlineLevel="0" collapsed="false">
      <c r="A2" s="5" t="s">
        <v>3</v>
      </c>
      <c r="B2" s="6" t="s">
        <v>104</v>
      </c>
      <c r="C2" s="6"/>
      <c r="D2" s="6"/>
      <c r="E2" s="6"/>
      <c r="F2" s="6"/>
      <c r="G2" s="6"/>
      <c r="H2" s="3"/>
      <c r="I2" s="3"/>
      <c r="J2" s="3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10" t="s">
        <v>9</v>
      </c>
      <c r="T2" s="4" t="s">
        <v>10</v>
      </c>
      <c r="U2" s="4"/>
    </row>
    <row r="3" customFormat="false" ht="19.5" hidden="false" customHeight="true" outlineLevel="0" collapsed="false">
      <c r="A3" s="11" t="s">
        <v>11</v>
      </c>
      <c r="B3" s="12"/>
      <c r="C3" s="12"/>
      <c r="D3" s="12"/>
      <c r="E3" s="12"/>
      <c r="F3" s="12"/>
      <c r="G3" s="12"/>
      <c r="H3" s="3"/>
      <c r="I3" s="3"/>
      <c r="J3" s="3"/>
      <c r="K3" s="13" t="str">
        <f aca="false">A11</f>
        <v>2X1/2</v>
      </c>
      <c r="L3" s="14"/>
      <c r="M3" s="15" t="n">
        <f aca="false">ROUNDUP(P30,0)</f>
        <v>2</v>
      </c>
      <c r="N3" s="16" t="n">
        <v>120</v>
      </c>
      <c r="O3" s="16"/>
      <c r="P3" s="16" t="n">
        <f aca="false">N3*M3</f>
        <v>240</v>
      </c>
      <c r="Q3" s="16"/>
      <c r="R3" s="17" t="str">
        <f aca="false">E5</f>
        <v>BRANCO</v>
      </c>
      <c r="S3" s="18" t="n">
        <v>6000</v>
      </c>
      <c r="T3" s="19" t="n">
        <f aca="false">F11*E11+E12*F12+E13*F13</f>
        <v>7200</v>
      </c>
      <c r="U3" s="19"/>
    </row>
    <row r="4" customFormat="false" ht="19.5" hidden="false" customHeight="true" outlineLevel="0" collapsed="false">
      <c r="A4" s="11" t="s">
        <v>12</v>
      </c>
      <c r="B4" s="12"/>
      <c r="C4" s="12"/>
      <c r="D4" s="20" t="s">
        <v>13</v>
      </c>
      <c r="E4" s="20"/>
      <c r="F4" s="21"/>
      <c r="G4" s="21"/>
      <c r="H4" s="3"/>
      <c r="I4" s="3"/>
      <c r="J4" s="3"/>
      <c r="K4" s="22" t="str">
        <f aca="false">A14</f>
        <v>ALX038</v>
      </c>
      <c r="L4" s="23"/>
      <c r="M4" s="24" t="n">
        <f aca="false">ROUNDUP(P31,0)</f>
        <v>1</v>
      </c>
      <c r="N4" s="25" t="n">
        <v>156</v>
      </c>
      <c r="O4" s="25"/>
      <c r="P4" s="25" t="n">
        <f aca="false">N4*M4</f>
        <v>156</v>
      </c>
      <c r="Q4" s="25"/>
      <c r="R4" s="26" t="str">
        <f aca="false">E5</f>
        <v>BRANCO</v>
      </c>
      <c r="S4" s="27" t="n">
        <v>6000</v>
      </c>
      <c r="T4" s="28" t="n">
        <f aca="false">E14*F14+E15*F15</f>
        <v>5456</v>
      </c>
      <c r="U4" s="28"/>
    </row>
    <row r="5" customFormat="false" ht="19.5" hidden="false" customHeight="true" outlineLevel="0" collapsed="false">
      <c r="A5" s="11" t="s">
        <v>14</v>
      </c>
      <c r="B5" s="29"/>
      <c r="C5" s="29"/>
      <c r="D5" s="30" t="s">
        <v>8</v>
      </c>
      <c r="E5" s="31" t="s">
        <v>15</v>
      </c>
      <c r="F5" s="32" t="s">
        <v>16</v>
      </c>
      <c r="G5" s="32"/>
      <c r="H5" s="33" t="s">
        <v>5</v>
      </c>
      <c r="I5" s="18"/>
      <c r="J5" s="34"/>
      <c r="K5" s="22" t="str">
        <f aca="false">A16</f>
        <v>MT</v>
      </c>
      <c r="L5" s="23"/>
      <c r="M5" s="24" t="n">
        <f aca="false">ROUNDUP(P32,0)</f>
        <v>1</v>
      </c>
      <c r="N5" s="25" t="n">
        <v>76</v>
      </c>
      <c r="O5" s="25"/>
      <c r="P5" s="25" t="n">
        <f aca="false">N5*M5</f>
        <v>76</v>
      </c>
      <c r="Q5" s="25"/>
      <c r="R5" s="26" t="str">
        <f aca="false">E5</f>
        <v>BRANCO</v>
      </c>
      <c r="S5" s="27" t="n">
        <v>6000</v>
      </c>
      <c r="T5" s="28" t="n">
        <f aca="false">E16*F16</f>
        <v>1396</v>
      </c>
      <c r="U5" s="28"/>
    </row>
    <row r="6" customFormat="false" ht="22.5" hidden="false" customHeight="true" outlineLevel="0" collapsed="false">
      <c r="A6" s="35" t="s">
        <v>5</v>
      </c>
      <c r="B6" s="35" t="s">
        <v>17</v>
      </c>
      <c r="C6" s="20" t="s">
        <v>18</v>
      </c>
      <c r="D6" s="20" t="s">
        <v>19</v>
      </c>
      <c r="E6" s="36" t="s">
        <v>20</v>
      </c>
      <c r="F6" s="44" t="n">
        <f aca="false">F14-4</f>
        <v>486</v>
      </c>
      <c r="G6" s="38" t="n">
        <f aca="false">F15-4</f>
        <v>188</v>
      </c>
      <c r="H6" s="39" t="n">
        <f aca="false">A7*4</f>
        <v>4</v>
      </c>
      <c r="I6" s="27"/>
      <c r="J6" s="40"/>
      <c r="K6" s="41" t="s">
        <v>21</v>
      </c>
      <c r="L6" s="23"/>
      <c r="M6" s="24" t="n">
        <f aca="false">ROUNDUP(P33,0)</f>
        <v>1</v>
      </c>
      <c r="N6" s="25" t="n">
        <v>35</v>
      </c>
      <c r="O6" s="25"/>
      <c r="P6" s="25" t="n">
        <f aca="false">N6*M6</f>
        <v>35</v>
      </c>
      <c r="Q6" s="25"/>
      <c r="R6" s="26" t="str">
        <f aca="false">E5</f>
        <v>BRANCO</v>
      </c>
      <c r="S6" s="27" t="n">
        <v>6000</v>
      </c>
      <c r="T6" s="28" t="n">
        <f aca="false">E17*F17</f>
        <v>3904</v>
      </c>
      <c r="U6" s="28"/>
    </row>
    <row r="7" customFormat="false" ht="27" hidden="false" customHeight="true" outlineLevel="0" collapsed="false">
      <c r="A7" s="42" t="n">
        <v>1</v>
      </c>
      <c r="B7" s="42" t="n">
        <v>500</v>
      </c>
      <c r="C7" s="42" t="n">
        <v>800</v>
      </c>
      <c r="D7" s="43" t="n">
        <v>500</v>
      </c>
      <c r="E7" s="36" t="s">
        <v>22</v>
      </c>
      <c r="F7" s="44" t="n">
        <f aca="false">D7-20</f>
        <v>480</v>
      </c>
      <c r="G7" s="38" t="n">
        <f aca="false">(C7-180)/4</f>
        <v>155</v>
      </c>
      <c r="H7" s="39" t="n">
        <f aca="false">A7*8</f>
        <v>8</v>
      </c>
      <c r="I7" s="27"/>
      <c r="J7" s="40"/>
      <c r="K7" s="22"/>
      <c r="L7" s="45"/>
      <c r="M7" s="46"/>
      <c r="N7" s="25"/>
      <c r="O7" s="25"/>
      <c r="P7" s="25"/>
      <c r="Q7" s="25"/>
      <c r="R7" s="47"/>
      <c r="S7" s="27" t="n">
        <v>6000</v>
      </c>
      <c r="T7" s="48"/>
      <c r="U7" s="49"/>
    </row>
    <row r="8" customFormat="false" ht="24" hidden="false" customHeight="true" outlineLevel="0" collapsed="false">
      <c r="A8" s="50" t="s">
        <v>23</v>
      </c>
      <c r="B8" s="50"/>
      <c r="C8" s="51"/>
      <c r="D8" s="51"/>
      <c r="E8" s="36" t="s">
        <v>24</v>
      </c>
      <c r="F8" s="44" t="n">
        <f aca="false">B7-55</f>
        <v>445</v>
      </c>
      <c r="G8" s="38" t="n">
        <f aca="false">G7</f>
        <v>155</v>
      </c>
      <c r="H8" s="39" t="n">
        <f aca="false">A7*8</f>
        <v>8</v>
      </c>
      <c r="I8" s="27"/>
      <c r="J8" s="40"/>
      <c r="K8" s="52"/>
      <c r="L8" s="45"/>
      <c r="M8" s="46"/>
      <c r="N8" s="25"/>
      <c r="O8" s="25"/>
      <c r="P8" s="25"/>
      <c r="Q8" s="25"/>
      <c r="R8" s="47"/>
      <c r="S8" s="27" t="n">
        <v>6000</v>
      </c>
      <c r="T8" s="48"/>
      <c r="U8" s="49"/>
    </row>
    <row r="9" customFormat="false" ht="26.25" hidden="false" customHeight="true" outlineLevel="0" collapsed="false">
      <c r="A9" s="53"/>
      <c r="B9" s="53"/>
      <c r="C9" s="54"/>
      <c r="D9" s="54"/>
      <c r="E9" s="36" t="s">
        <v>25</v>
      </c>
      <c r="F9" s="44" t="n">
        <f aca="false">B7-55</f>
        <v>445</v>
      </c>
      <c r="G9" s="38" t="n">
        <f aca="false">D7-12</f>
        <v>488</v>
      </c>
      <c r="H9" s="55" t="n">
        <f aca="false">A7*4</f>
        <v>4</v>
      </c>
      <c r="I9" s="56"/>
      <c r="J9" s="57"/>
      <c r="K9" s="52"/>
      <c r="L9" s="45"/>
      <c r="M9" s="46"/>
      <c r="N9" s="25"/>
      <c r="O9" s="25"/>
      <c r="P9" s="25"/>
      <c r="Q9" s="25"/>
      <c r="R9" s="47"/>
      <c r="S9" s="27"/>
      <c r="T9" s="48"/>
      <c r="U9" s="49"/>
    </row>
    <row r="10" customFormat="false" ht="25.5" hidden="false" customHeight="true" outlineLevel="0" collapsed="false">
      <c r="A10" s="58" t="s">
        <v>4</v>
      </c>
      <c r="B10" s="59" t="s">
        <v>26</v>
      </c>
      <c r="C10" s="59"/>
      <c r="D10" s="59"/>
      <c r="E10" s="2" t="s">
        <v>27</v>
      </c>
      <c r="F10" s="2" t="s">
        <v>28</v>
      </c>
      <c r="G10" s="2"/>
      <c r="H10" s="2" t="s">
        <v>29</v>
      </c>
      <c r="I10" s="2"/>
      <c r="J10" s="60" t="s">
        <v>30</v>
      </c>
      <c r="K10" s="61"/>
      <c r="L10" s="62"/>
      <c r="M10" s="55"/>
      <c r="N10" s="63"/>
      <c r="O10" s="63"/>
      <c r="P10" s="63"/>
      <c r="Q10" s="63"/>
      <c r="R10" s="64"/>
      <c r="S10" s="56"/>
      <c r="T10" s="65"/>
      <c r="U10" s="66"/>
    </row>
    <row r="11" customFormat="false" ht="25.5" hidden="false" customHeight="true" outlineLevel="0" collapsed="false">
      <c r="A11" s="67" t="s">
        <v>31</v>
      </c>
      <c r="B11" s="68" t="s">
        <v>32</v>
      </c>
      <c r="C11" s="68"/>
      <c r="D11" s="68"/>
      <c r="E11" s="69" t="n">
        <f aca="false">A7*4</f>
        <v>4</v>
      </c>
      <c r="F11" s="70" t="n">
        <f aca="false">B7</f>
        <v>500</v>
      </c>
      <c r="G11" s="70"/>
      <c r="H11" s="71" t="s">
        <v>17</v>
      </c>
      <c r="I11" s="71"/>
      <c r="J11" s="72" t="s">
        <v>33</v>
      </c>
      <c r="K11" s="73" t="s">
        <v>34</v>
      </c>
      <c r="L11" s="73"/>
      <c r="M11" s="73" t="s">
        <v>35</v>
      </c>
      <c r="N11" s="73"/>
      <c r="O11" s="74" t="s">
        <v>36</v>
      </c>
      <c r="P11" s="75" t="n">
        <v>140</v>
      </c>
      <c r="Q11" s="73" t="s">
        <v>37</v>
      </c>
      <c r="R11" s="73"/>
      <c r="S11" s="76"/>
      <c r="T11" s="77" t="s">
        <v>38</v>
      </c>
      <c r="U11" s="77"/>
      <c r="V11" s="78"/>
      <c r="W11" s="78"/>
    </row>
    <row r="12" customFormat="false" ht="25.5" hidden="false" customHeight="true" outlineLevel="0" collapsed="false">
      <c r="A12" s="79" t="s">
        <v>31</v>
      </c>
      <c r="B12" s="80" t="s">
        <v>39</v>
      </c>
      <c r="C12" s="80"/>
      <c r="D12" s="80"/>
      <c r="E12" s="46" t="n">
        <f aca="false">A7*4</f>
        <v>4</v>
      </c>
      <c r="F12" s="81" t="n">
        <f aca="false">C7</f>
        <v>800</v>
      </c>
      <c r="G12" s="81"/>
      <c r="H12" s="82" t="s">
        <v>18</v>
      </c>
      <c r="I12" s="82"/>
      <c r="J12" s="83" t="s">
        <v>33</v>
      </c>
      <c r="K12" s="84" t="n">
        <f aca="false">P3+P4+P5+P6+P7+P8+P9+P10</f>
        <v>507</v>
      </c>
      <c r="L12" s="84"/>
      <c r="M12" s="84" t="n">
        <f aca="false">I35</f>
        <v>279.4</v>
      </c>
      <c r="N12" s="84"/>
      <c r="O12" s="85" t="n">
        <v>150</v>
      </c>
      <c r="P12" s="85"/>
      <c r="Q12" s="85" t="n">
        <v>150</v>
      </c>
      <c r="R12" s="85"/>
      <c r="S12" s="86"/>
      <c r="T12" s="84" t="n">
        <f aca="false">SUM(K12:R12)</f>
        <v>1086.4</v>
      </c>
      <c r="U12" s="84"/>
    </row>
    <row r="13" customFormat="false" ht="25.5" hidden="false" customHeight="true" outlineLevel="0" collapsed="false">
      <c r="A13" s="79" t="s">
        <v>31</v>
      </c>
      <c r="B13" s="80" t="s">
        <v>40</v>
      </c>
      <c r="C13" s="80"/>
      <c r="D13" s="80"/>
      <c r="E13" s="46" t="n">
        <f aca="false">A7*4</f>
        <v>4</v>
      </c>
      <c r="F13" s="81" t="n">
        <f aca="false">D7</f>
        <v>500</v>
      </c>
      <c r="G13" s="81"/>
      <c r="H13" s="82" t="s">
        <v>41</v>
      </c>
      <c r="I13" s="82"/>
      <c r="J13" s="83" t="s">
        <v>42</v>
      </c>
      <c r="M13" s="87"/>
      <c r="N13" s="87"/>
      <c r="O13" s="88"/>
      <c r="P13" s="88"/>
      <c r="R13" s="89"/>
      <c r="S13" s="89"/>
      <c r="T13" s="89"/>
      <c r="U13" s="90"/>
    </row>
    <row r="14" customFormat="false" ht="25.5" hidden="false" customHeight="true" outlineLevel="0" collapsed="false">
      <c r="A14" s="79" t="s">
        <v>43</v>
      </c>
      <c r="B14" s="80" t="s">
        <v>44</v>
      </c>
      <c r="C14" s="80"/>
      <c r="D14" s="80"/>
      <c r="E14" s="46" t="n">
        <f aca="false">A7*8</f>
        <v>8</v>
      </c>
      <c r="F14" s="81" t="n">
        <f aca="false">B7-10</f>
        <v>490</v>
      </c>
      <c r="G14" s="81"/>
      <c r="H14" s="82" t="s">
        <v>17</v>
      </c>
      <c r="I14" s="82"/>
      <c r="J14" s="83" t="s">
        <v>33</v>
      </c>
      <c r="M14" s="92"/>
      <c r="N14" s="92"/>
      <c r="O14" s="88"/>
    </row>
    <row r="15" customFormat="false" ht="25.5" hidden="false" customHeight="true" outlineLevel="0" collapsed="false">
      <c r="A15" s="79" t="s">
        <v>43</v>
      </c>
      <c r="B15" s="80" t="s">
        <v>45</v>
      </c>
      <c r="C15" s="80"/>
      <c r="D15" s="80"/>
      <c r="E15" s="46" t="n">
        <f aca="false">A7*8</f>
        <v>8</v>
      </c>
      <c r="F15" s="91" t="n">
        <f aca="false">(C7-32)/4</f>
        <v>192</v>
      </c>
      <c r="G15" s="91"/>
      <c r="H15" s="82" t="s">
        <v>18</v>
      </c>
      <c r="I15" s="82"/>
      <c r="J15" s="83" t="s">
        <v>33</v>
      </c>
    </row>
    <row r="16" customFormat="false" ht="25.5" hidden="false" customHeight="true" outlineLevel="0" collapsed="false">
      <c r="A16" s="79" t="s">
        <v>46</v>
      </c>
      <c r="B16" s="80" t="s">
        <v>47</v>
      </c>
      <c r="C16" s="80"/>
      <c r="D16" s="80"/>
      <c r="E16" s="46" t="n">
        <f aca="false">A7*4</f>
        <v>4</v>
      </c>
      <c r="F16" s="81" t="n">
        <f aca="false">F14-141</f>
        <v>349</v>
      </c>
      <c r="G16" s="81"/>
      <c r="H16" s="82" t="s">
        <v>17</v>
      </c>
      <c r="I16" s="82"/>
      <c r="J16" s="83" t="s">
        <v>42</v>
      </c>
      <c r="K16" s="93"/>
      <c r="L16" s="93"/>
      <c r="M16" s="93"/>
    </row>
    <row r="17" customFormat="false" ht="25.5" hidden="false" customHeight="true" outlineLevel="0" collapsed="false">
      <c r="A17" s="79" t="s">
        <v>21</v>
      </c>
      <c r="B17" s="80" t="s">
        <v>48</v>
      </c>
      <c r="C17" s="80"/>
      <c r="D17" s="80"/>
      <c r="E17" s="46" t="n">
        <f aca="false">A7*8</f>
        <v>8</v>
      </c>
      <c r="F17" s="91" t="n">
        <f aca="false">G9</f>
        <v>488</v>
      </c>
      <c r="G17" s="91"/>
      <c r="H17" s="82" t="s">
        <v>41</v>
      </c>
      <c r="I17" s="82"/>
      <c r="J17" s="83" t="s">
        <v>42</v>
      </c>
      <c r="M17" s="94"/>
      <c r="N17" s="95"/>
      <c r="O17" s="95"/>
    </row>
    <row r="18" customFormat="false" ht="25.5" hidden="false" customHeight="true" outlineLevel="0" collapsed="false">
      <c r="A18" s="79"/>
      <c r="B18" s="80"/>
      <c r="C18" s="80"/>
      <c r="D18" s="80"/>
      <c r="E18" s="47"/>
      <c r="H18" s="82"/>
      <c r="I18" s="82"/>
      <c r="J18" s="83"/>
      <c r="N18" s="98"/>
      <c r="O18" s="98"/>
    </row>
    <row r="19" customFormat="false" ht="22.5" hidden="false" customHeight="true" outlineLevel="0" collapsed="false">
      <c r="A19" s="79"/>
      <c r="B19" s="80"/>
      <c r="C19" s="80"/>
      <c r="D19" s="80"/>
      <c r="E19" s="46"/>
      <c r="F19" s="91"/>
      <c r="G19" s="91"/>
      <c r="H19" s="82"/>
      <c r="I19" s="82"/>
      <c r="J19" s="83"/>
      <c r="M19" s="94"/>
      <c r="N19" s="98"/>
      <c r="O19" s="98"/>
    </row>
    <row r="20" customFormat="false" ht="22.5" hidden="false" customHeight="true" outlineLevel="0" collapsed="false">
      <c r="A20" s="99"/>
      <c r="B20" s="100"/>
      <c r="C20" s="100"/>
      <c r="D20" s="100"/>
      <c r="E20" s="55"/>
      <c r="F20" s="101"/>
      <c r="G20" s="101"/>
      <c r="H20" s="102"/>
      <c r="I20" s="102"/>
      <c r="J20" s="103"/>
      <c r="M20" s="94"/>
      <c r="N20" s="98"/>
      <c r="O20" s="98"/>
    </row>
    <row r="21" customFormat="false" ht="21" hidden="false" customHeight="true" outlineLevel="0" collapsed="false">
      <c r="A21" s="104" t="s">
        <v>51</v>
      </c>
      <c r="B21" s="30" t="s">
        <v>26</v>
      </c>
      <c r="C21" s="30"/>
      <c r="D21" s="30"/>
      <c r="E21" s="30"/>
      <c r="F21" s="105" t="s">
        <v>52</v>
      </c>
      <c r="G21" s="105"/>
      <c r="H21" s="106" t="s">
        <v>5</v>
      </c>
      <c r="I21" s="107" t="s">
        <v>53</v>
      </c>
      <c r="J21" s="20" t="s">
        <v>38</v>
      </c>
      <c r="K21" s="93"/>
      <c r="L21" s="93"/>
      <c r="M21" s="94"/>
      <c r="N21" s="108"/>
      <c r="O21" s="109"/>
      <c r="P21" s="109"/>
      <c r="Q21" s="109"/>
      <c r="R21" s="109"/>
      <c r="S21" s="109"/>
      <c r="T21" s="109"/>
      <c r="U21" s="109"/>
    </row>
    <row r="22" customFormat="false" ht="17.25" hidden="false" customHeight="true" outlineLevel="0" collapsed="false">
      <c r="A22" s="50" t="n">
        <v>1234</v>
      </c>
      <c r="B22" s="110" t="s">
        <v>54</v>
      </c>
      <c r="C22" s="111"/>
      <c r="D22" s="111"/>
      <c r="E22" s="112"/>
      <c r="F22" s="19" t="s">
        <v>55</v>
      </c>
      <c r="G22" s="19"/>
      <c r="H22" s="113" t="n">
        <f aca="false">A7*4</f>
        <v>4</v>
      </c>
      <c r="I22" s="114" t="n">
        <v>30</v>
      </c>
      <c r="J22" s="115" t="n">
        <f aca="false">H22*I22</f>
        <v>120</v>
      </c>
      <c r="K22" s="109"/>
      <c r="L22" s="109"/>
      <c r="M22" s="109"/>
      <c r="N22" s="108"/>
      <c r="O22" s="109"/>
      <c r="P22" s="109"/>
      <c r="Q22" s="109"/>
      <c r="R22" s="109"/>
      <c r="S22" s="109"/>
      <c r="T22" s="109"/>
      <c r="U22" s="109"/>
    </row>
    <row r="23" customFormat="false" ht="17.25" hidden="false" customHeight="true" outlineLevel="0" collapsed="false">
      <c r="A23" s="116" t="n">
        <v>12345</v>
      </c>
      <c r="B23" s="117" t="s">
        <v>56</v>
      </c>
      <c r="C23" s="118"/>
      <c r="D23" s="118"/>
      <c r="E23" s="119"/>
      <c r="F23" s="120" t="s">
        <v>57</v>
      </c>
      <c r="G23" s="120"/>
      <c r="H23" s="121" t="n">
        <f aca="false">A7*4</f>
        <v>4</v>
      </c>
      <c r="I23" s="122" t="n">
        <v>8</v>
      </c>
      <c r="J23" s="123" t="n">
        <f aca="false">H23*I23</f>
        <v>32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customFormat="false" ht="17.25" hidden="false" customHeight="true" outlineLevel="0" collapsed="false">
      <c r="A24" s="116" t="n">
        <v>123456</v>
      </c>
      <c r="B24" s="117" t="s">
        <v>58</v>
      </c>
      <c r="C24" s="118"/>
      <c r="D24" s="118"/>
      <c r="E24" s="119"/>
      <c r="F24" s="120" t="s">
        <v>59</v>
      </c>
      <c r="G24" s="120"/>
      <c r="H24" s="121" t="n">
        <f aca="false">A7*1</f>
        <v>1</v>
      </c>
      <c r="I24" s="122" t="n">
        <v>49</v>
      </c>
      <c r="J24" s="123" t="n">
        <f aca="false">H24*I24</f>
        <v>49</v>
      </c>
      <c r="K24" s="124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customFormat="false" ht="17.25" hidden="false" customHeight="true" outlineLevel="0" collapsed="false">
      <c r="A25" s="116" t="n">
        <v>1234567</v>
      </c>
      <c r="B25" s="117" t="s">
        <v>60</v>
      </c>
      <c r="C25" s="118"/>
      <c r="D25" s="118"/>
      <c r="E25" s="119"/>
      <c r="F25" s="120" t="s">
        <v>59</v>
      </c>
      <c r="G25" s="120"/>
      <c r="H25" s="121" t="n">
        <f aca="false">A7*48</f>
        <v>48</v>
      </c>
      <c r="I25" s="125" t="n">
        <v>0.1</v>
      </c>
      <c r="J25" s="123" t="n">
        <f aca="false">H25*I25</f>
        <v>4.8</v>
      </c>
      <c r="K25" s="124"/>
      <c r="L25" s="126"/>
      <c r="M25" s="93"/>
      <c r="N25" s="124"/>
      <c r="O25" s="93"/>
      <c r="P25" s="93"/>
      <c r="Q25" s="93"/>
      <c r="R25" s="93"/>
      <c r="S25" s="93"/>
      <c r="T25" s="93"/>
      <c r="U25" s="93"/>
    </row>
    <row r="26" customFormat="false" ht="17.25" hidden="false" customHeight="true" outlineLevel="0" collapsed="false">
      <c r="A26" s="116" t="s">
        <v>61</v>
      </c>
      <c r="B26" s="127" t="s">
        <v>62</v>
      </c>
      <c r="C26" s="127"/>
      <c r="D26" s="127"/>
      <c r="E26" s="119"/>
      <c r="F26" s="120" t="s">
        <v>55</v>
      </c>
      <c r="G26" s="120"/>
      <c r="H26" s="121" t="n">
        <f aca="false">E16</f>
        <v>4</v>
      </c>
      <c r="I26" s="122" t="n">
        <v>18</v>
      </c>
      <c r="J26" s="123" t="n">
        <f aca="false">H26*I26</f>
        <v>72</v>
      </c>
      <c r="K26" s="124"/>
      <c r="L26" s="124"/>
      <c r="M26" s="93"/>
      <c r="N26" s="124"/>
      <c r="O26" s="93"/>
      <c r="P26" s="93"/>
      <c r="Q26" s="93"/>
      <c r="R26" s="93"/>
      <c r="S26" s="93"/>
      <c r="T26" s="93"/>
      <c r="U26" s="93"/>
    </row>
    <row r="27" customFormat="false" ht="17.25" hidden="false" customHeight="true" outlineLevel="0" collapsed="false">
      <c r="A27" s="116" t="s">
        <v>55</v>
      </c>
      <c r="B27" s="128" t="s">
        <v>63</v>
      </c>
      <c r="C27" s="128"/>
      <c r="D27" s="128"/>
      <c r="E27" s="128"/>
      <c r="F27" s="120" t="s">
        <v>64</v>
      </c>
      <c r="G27" s="120"/>
      <c r="H27" s="121" t="n">
        <v>32</v>
      </c>
      <c r="I27" s="122" t="n">
        <v>0.05</v>
      </c>
      <c r="J27" s="123" t="n">
        <f aca="false">H27*I27</f>
        <v>1.6</v>
      </c>
      <c r="K27" s="124"/>
      <c r="L27" s="129"/>
      <c r="M27" s="93"/>
      <c r="N27" s="124"/>
      <c r="O27" s="93"/>
      <c r="P27" s="93"/>
      <c r="Q27" s="93"/>
      <c r="R27" s="93"/>
      <c r="S27" s="93"/>
      <c r="T27" s="93"/>
      <c r="U27" s="93"/>
    </row>
    <row r="28" customFormat="false" ht="17.25" hidden="false" customHeight="true" outlineLevel="0" collapsed="false">
      <c r="A28" s="116"/>
      <c r="B28" s="117"/>
      <c r="C28" s="118"/>
      <c r="D28" s="118"/>
      <c r="E28" s="119"/>
      <c r="F28" s="52"/>
      <c r="G28" s="23"/>
      <c r="H28" s="52"/>
      <c r="I28" s="122"/>
      <c r="J28" s="123"/>
      <c r="K28" s="124"/>
      <c r="L28" s="124"/>
      <c r="M28" s="93"/>
      <c r="N28" s="130"/>
      <c r="S28" s="93"/>
      <c r="T28" s="93"/>
      <c r="U28" s="93"/>
    </row>
    <row r="29" customFormat="false" ht="17.25" hidden="false" customHeight="true" outlineLevel="0" collapsed="false">
      <c r="A29" s="116"/>
      <c r="B29" s="117"/>
      <c r="C29" s="118"/>
      <c r="D29" s="118"/>
      <c r="E29" s="119"/>
      <c r="F29" s="52"/>
      <c r="G29" s="23"/>
      <c r="H29" s="52"/>
      <c r="I29" s="122"/>
      <c r="J29" s="123"/>
      <c r="K29" s="124"/>
      <c r="L29" s="124"/>
      <c r="M29" s="93"/>
      <c r="S29" s="93"/>
      <c r="T29" s="93"/>
      <c r="U29" s="93"/>
    </row>
    <row r="30" customFormat="false" ht="17.25" hidden="false" customHeight="true" outlineLevel="0" collapsed="false">
      <c r="A30" s="116"/>
      <c r="B30" s="131"/>
      <c r="C30" s="132"/>
      <c r="D30" s="132"/>
      <c r="E30" s="119"/>
      <c r="F30" s="52"/>
      <c r="G30" s="23"/>
      <c r="H30" s="52"/>
      <c r="I30" s="122"/>
      <c r="J30" s="123"/>
      <c r="K30" s="93"/>
      <c r="L30" s="93"/>
      <c r="M30" s="93"/>
      <c r="P30" s="133" t="n">
        <f aca="false">IF(T3&gt;6000,T3/6000,1)</f>
        <v>1.2</v>
      </c>
      <c r="S30" s="93"/>
      <c r="T30" s="93"/>
      <c r="U30" s="93"/>
    </row>
    <row r="31" customFormat="false" ht="17.25" hidden="false" customHeight="true" outlineLevel="0" collapsed="false">
      <c r="A31" s="116"/>
      <c r="B31" s="131"/>
      <c r="C31" s="132"/>
      <c r="D31" s="132"/>
      <c r="E31" s="119"/>
      <c r="F31" s="52"/>
      <c r="G31" s="23"/>
      <c r="H31" s="52"/>
      <c r="I31" s="122"/>
      <c r="J31" s="123"/>
      <c r="K31" s="93"/>
      <c r="L31" s="93"/>
      <c r="M31" s="93"/>
      <c r="P31" s="133" t="n">
        <f aca="false">IF(T4&gt;6000,T4/6000,1)</f>
        <v>1</v>
      </c>
      <c r="S31" s="93"/>
      <c r="T31" s="93"/>
      <c r="U31" s="93"/>
    </row>
    <row r="32" customFormat="false" ht="17.25" hidden="false" customHeight="true" outlineLevel="0" collapsed="false">
      <c r="A32" s="116"/>
      <c r="B32" s="131"/>
      <c r="C32" s="132"/>
      <c r="D32" s="132"/>
      <c r="E32" s="119"/>
      <c r="F32" s="52"/>
      <c r="G32" s="23"/>
      <c r="H32" s="52"/>
      <c r="I32" s="122"/>
      <c r="J32" s="123"/>
      <c r="K32" s="93"/>
      <c r="L32" s="93"/>
      <c r="M32" s="93"/>
      <c r="P32" s="133" t="n">
        <f aca="false">IF(T5&gt;6000,T5/6000,1)</f>
        <v>1</v>
      </c>
      <c r="S32" s="93"/>
      <c r="T32" s="93"/>
      <c r="U32" s="93"/>
    </row>
    <row r="33" customFormat="false" ht="17.25" hidden="false" customHeight="true" outlineLevel="0" collapsed="false">
      <c r="A33" s="116"/>
      <c r="B33" s="131"/>
      <c r="C33" s="132"/>
      <c r="D33" s="132"/>
      <c r="E33" s="119"/>
      <c r="F33" s="52"/>
      <c r="G33" s="23"/>
      <c r="H33" s="52"/>
      <c r="I33" s="122"/>
      <c r="J33" s="123"/>
      <c r="K33" s="93"/>
      <c r="L33" s="93"/>
      <c r="M33" s="93"/>
      <c r="P33" s="133" t="n">
        <f aca="false">IF(T6&gt;6000,T6/6000,1)</f>
        <v>1</v>
      </c>
      <c r="S33" s="93"/>
      <c r="T33" s="93"/>
      <c r="U33" s="93"/>
    </row>
    <row r="34" customFormat="false" ht="17.25" hidden="false" customHeight="true" outlineLevel="0" collapsed="false">
      <c r="A34" s="116"/>
      <c r="B34" s="131"/>
      <c r="C34" s="132"/>
      <c r="D34" s="132"/>
      <c r="E34" s="119"/>
      <c r="F34" s="52"/>
      <c r="G34" s="23"/>
      <c r="H34" s="52"/>
      <c r="I34" s="134" t="s">
        <v>38</v>
      </c>
      <c r="J34" s="134"/>
      <c r="K34" s="93"/>
      <c r="L34" s="93"/>
      <c r="M34" s="93"/>
      <c r="S34" s="93"/>
      <c r="T34" s="93"/>
      <c r="U34" s="93"/>
    </row>
    <row r="35" customFormat="false" ht="17.25" hidden="false" customHeight="true" outlineLevel="0" collapsed="false">
      <c r="A35" s="135"/>
      <c r="B35" s="136"/>
      <c r="C35" s="137"/>
      <c r="D35" s="137"/>
      <c r="E35" s="138"/>
      <c r="F35" s="139"/>
      <c r="G35" s="140"/>
      <c r="H35" s="139"/>
      <c r="I35" s="141" t="n">
        <f aca="false">SUM(J22:J33)</f>
        <v>279.4</v>
      </c>
      <c r="J35" s="141"/>
      <c r="K35" s="93"/>
      <c r="L35" s="93"/>
      <c r="M35" s="93"/>
      <c r="S35" s="93"/>
      <c r="T35" s="93"/>
      <c r="U35" s="93"/>
    </row>
    <row r="36" customFormat="false" ht="17.25" hidden="false" customHeight="true" outlineLevel="0" collapsed="false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</sheetData>
  <mergeCells count="99">
    <mergeCell ref="A1:G1"/>
    <mergeCell ref="H1:J4"/>
    <mergeCell ref="K1:U1"/>
    <mergeCell ref="B2:G2"/>
    <mergeCell ref="K2:L2"/>
    <mergeCell ref="N2:O2"/>
    <mergeCell ref="P2:Q2"/>
    <mergeCell ref="T2:U2"/>
    <mergeCell ref="B3:G3"/>
    <mergeCell ref="N3:O3"/>
    <mergeCell ref="P3:Q3"/>
    <mergeCell ref="T3:U3"/>
    <mergeCell ref="B4:C4"/>
    <mergeCell ref="D4:E4"/>
    <mergeCell ref="F4:G4"/>
    <mergeCell ref="N4:O4"/>
    <mergeCell ref="P4:Q4"/>
    <mergeCell ref="T4:U4"/>
    <mergeCell ref="B5:C5"/>
    <mergeCell ref="F5:G5"/>
    <mergeCell ref="N5:O5"/>
    <mergeCell ref="P5:Q5"/>
    <mergeCell ref="T5:U5"/>
    <mergeCell ref="N6:O6"/>
    <mergeCell ref="P6:Q6"/>
    <mergeCell ref="T6:U6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K11:L11"/>
    <mergeCell ref="M11:N11"/>
    <mergeCell ref="Q11:R11"/>
    <mergeCell ref="T11:U11"/>
    <mergeCell ref="B12:D12"/>
    <mergeCell ref="F12:G12"/>
    <mergeCell ref="H12:I12"/>
    <mergeCell ref="K12:L12"/>
    <mergeCell ref="M12:N12"/>
    <mergeCell ref="O12:P12"/>
    <mergeCell ref="Q12:R12"/>
    <mergeCell ref="T12:U12"/>
    <mergeCell ref="B13:D13"/>
    <mergeCell ref="F13:G13"/>
    <mergeCell ref="H13:I13"/>
    <mergeCell ref="M13:N13"/>
    <mergeCell ref="R13:T13"/>
    <mergeCell ref="B14:D14"/>
    <mergeCell ref="F14:G14"/>
    <mergeCell ref="H14:I14"/>
    <mergeCell ref="M14:N14"/>
    <mergeCell ref="B15:D15"/>
    <mergeCell ref="F15:G15"/>
    <mergeCell ref="H15:I15"/>
    <mergeCell ref="B16:D16"/>
    <mergeCell ref="F16:G16"/>
    <mergeCell ref="H16:I16"/>
    <mergeCell ref="B17:D17"/>
    <mergeCell ref="F17:G17"/>
    <mergeCell ref="H17:I17"/>
    <mergeCell ref="N17:O17"/>
    <mergeCell ref="B18:D18"/>
    <mergeCell ref="H18:I18"/>
    <mergeCell ref="N18:O18"/>
    <mergeCell ref="B19:D19"/>
    <mergeCell ref="F19:G19"/>
    <mergeCell ref="H19:I19"/>
    <mergeCell ref="N19:O19"/>
    <mergeCell ref="B20:D20"/>
    <mergeCell ref="F20:G20"/>
    <mergeCell ref="H20:I20"/>
    <mergeCell ref="N20:O20"/>
    <mergeCell ref="B21:E21"/>
    <mergeCell ref="F21:G21"/>
    <mergeCell ref="F22:G22"/>
    <mergeCell ref="F23:G23"/>
    <mergeCell ref="F24:G24"/>
    <mergeCell ref="F25:G25"/>
    <mergeCell ref="B26:D26"/>
    <mergeCell ref="F26:G26"/>
    <mergeCell ref="B27:E27"/>
    <mergeCell ref="F27:G27"/>
    <mergeCell ref="I34:J34"/>
    <mergeCell ref="I35:J35"/>
    <mergeCell ref="A36:J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4" min="14" style="1" width="9.14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0" t="s">
        <v>105</v>
      </c>
      <c r="B1" s="20"/>
      <c r="C1" s="20"/>
      <c r="D1" s="20"/>
      <c r="E1" s="20"/>
      <c r="F1" s="20"/>
      <c r="G1" s="20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  <c r="V1" s="249" t="s">
        <v>106</v>
      </c>
      <c r="W1" s="250" t="n">
        <f aca="false">F11*E11+E12*F12+F16*E16</f>
        <v>16044</v>
      </c>
      <c r="X1" s="93"/>
    </row>
    <row r="2" customFormat="false" ht="19.5" hidden="false" customHeight="true" outlineLevel="0" collapsed="false">
      <c r="A2" s="5" t="s">
        <v>3</v>
      </c>
      <c r="B2" s="251" t="s">
        <v>107</v>
      </c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  <c r="V2" s="249" t="s">
        <v>110</v>
      </c>
      <c r="W2" s="250" t="n">
        <f aca="false">F13*E13</f>
        <v>8100</v>
      </c>
      <c r="X2" s="93"/>
    </row>
    <row r="3" customFormat="false" ht="19.5" hidden="false" customHeight="true" outlineLevel="0" collapsed="false">
      <c r="A3" s="254" t="s">
        <v>11</v>
      </c>
      <c r="B3" s="255" t="s">
        <v>111</v>
      </c>
      <c r="C3" s="255"/>
      <c r="D3" s="255"/>
      <c r="E3" s="255"/>
      <c r="F3" s="255"/>
      <c r="G3" s="255"/>
      <c r="H3" s="248"/>
      <c r="I3" s="248"/>
      <c r="J3" s="248"/>
      <c r="K3" s="256" t="s">
        <v>106</v>
      </c>
      <c r="L3" s="257" t="n">
        <f aca="false">IF(W1&gt;6000,W1/6000,1)</f>
        <v>2.674</v>
      </c>
      <c r="M3" s="258" t="n">
        <f aca="false">ROUNDUP(L3,0)</f>
        <v>3</v>
      </c>
      <c r="N3" s="259" t="n">
        <f aca="false">0.8*6*K33</f>
        <v>168</v>
      </c>
      <c r="O3" s="259"/>
      <c r="P3" s="260" t="n">
        <f aca="false">N3*M3</f>
        <v>504</v>
      </c>
      <c r="Q3" s="260"/>
      <c r="R3" s="261" t="str">
        <f aca="false">F5</f>
        <v>BRANCO</v>
      </c>
      <c r="S3" s="96" t="n">
        <v>6000</v>
      </c>
      <c r="T3" s="262" t="n">
        <f aca="false">0.8*W1/1000</f>
        <v>12.8352</v>
      </c>
      <c r="U3" s="263" t="n">
        <f aca="false">M3*4.8</f>
        <v>14.4</v>
      </c>
      <c r="V3" s="249" t="s">
        <v>112</v>
      </c>
      <c r="W3" s="250" t="n">
        <f aca="false">F14*E14</f>
        <v>2045</v>
      </c>
      <c r="X3" s="93"/>
    </row>
    <row r="4" customFormat="false" ht="19.5" hidden="false" customHeight="true" outlineLevel="0" collapsed="false">
      <c r="A4" s="254" t="s">
        <v>12</v>
      </c>
      <c r="B4" s="255" t="s">
        <v>113</v>
      </c>
      <c r="C4" s="255"/>
      <c r="D4" s="264" t="s">
        <v>13</v>
      </c>
      <c r="E4" s="264"/>
      <c r="F4" s="255" t="s">
        <v>114</v>
      </c>
      <c r="G4" s="255"/>
      <c r="H4" s="248"/>
      <c r="I4" s="248"/>
      <c r="J4" s="248"/>
      <c r="K4" s="256" t="s">
        <v>110</v>
      </c>
      <c r="L4" s="265" t="n">
        <f aca="false">IF(W2&gt;6000,W2/6000,1)</f>
        <v>1.35</v>
      </c>
      <c r="M4" s="154" t="n">
        <f aca="false">ROUNDUP(L4,0)</f>
        <v>2</v>
      </c>
      <c r="N4" s="266" t="n">
        <f aca="false">0.266*6*K33</f>
        <v>55.86</v>
      </c>
      <c r="O4" s="266"/>
      <c r="P4" s="267" t="n">
        <f aca="false">N4*M4</f>
        <v>111.72</v>
      </c>
      <c r="Q4" s="267"/>
      <c r="R4" s="268" t="str">
        <f aca="false">F5</f>
        <v>BRANCO</v>
      </c>
      <c r="S4" s="96" t="n">
        <v>6000</v>
      </c>
      <c r="T4" s="262" t="n">
        <f aca="false">0.266*W2/1000</f>
        <v>2.1546</v>
      </c>
      <c r="U4" s="262" t="n">
        <f aca="false">M4*1.596</f>
        <v>3.192</v>
      </c>
      <c r="V4" s="249" t="s">
        <v>115</v>
      </c>
      <c r="W4" s="250" t="n">
        <f aca="false">F15*E15</f>
        <v>39978.44</v>
      </c>
      <c r="X4" s="93"/>
    </row>
    <row r="5" customFormat="false" ht="19.5" hidden="false" customHeight="true" outlineLevel="0" collapsed="false">
      <c r="A5" s="254" t="s">
        <v>14</v>
      </c>
      <c r="B5" s="269" t="n">
        <v>44580</v>
      </c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256" t="s">
        <v>112</v>
      </c>
      <c r="L5" s="265" t="n">
        <f aca="false">IF(W3&gt;6000,W3/6000,1)</f>
        <v>1</v>
      </c>
      <c r="M5" s="154" t="n">
        <f aca="false">ROUNDUP(L5,0)</f>
        <v>1</v>
      </c>
      <c r="N5" s="266" t="n">
        <f aca="false">0.577*6*K33</f>
        <v>121.17</v>
      </c>
      <c r="O5" s="266"/>
      <c r="P5" s="267" t="n">
        <f aca="false">N5*M5</f>
        <v>121.17</v>
      </c>
      <c r="Q5" s="267"/>
      <c r="R5" s="268" t="str">
        <f aca="false">F5</f>
        <v>BRANCO</v>
      </c>
      <c r="S5" s="96" t="n">
        <v>6000</v>
      </c>
      <c r="T5" s="262" t="n">
        <f aca="false">0.577*W3/1000</f>
        <v>1.179965</v>
      </c>
      <c r="U5" s="262" t="n">
        <f aca="false">M5*3.462</f>
        <v>3.462</v>
      </c>
      <c r="V5" s="93" t="s">
        <v>116</v>
      </c>
      <c r="W5" s="93" t="n">
        <f aca="false">F17*E17</f>
        <v>14438.8666666667</v>
      </c>
      <c r="X5" s="93"/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118</v>
      </c>
      <c r="F6" s="30"/>
      <c r="G6" s="270"/>
      <c r="H6" s="270"/>
      <c r="I6" s="270"/>
      <c r="J6" s="270"/>
      <c r="K6" s="256" t="s">
        <v>119</v>
      </c>
      <c r="L6" s="265" t="n">
        <f aca="false">IF(W4&gt;6000,W4/6000,1)</f>
        <v>6.66307333333333</v>
      </c>
      <c r="M6" s="154" t="n">
        <f aca="false">ROUNDUP(L6,0)</f>
        <v>7</v>
      </c>
      <c r="N6" s="266" t="n">
        <f aca="false">0.742*6*K33</f>
        <v>155.82</v>
      </c>
      <c r="O6" s="266"/>
      <c r="P6" s="267" t="n">
        <f aca="false">N6*M6</f>
        <v>1090.74</v>
      </c>
      <c r="Q6" s="267"/>
      <c r="R6" s="268" t="str">
        <f aca="false">F5</f>
        <v>BRANCO</v>
      </c>
      <c r="S6" s="96" t="n">
        <v>6000</v>
      </c>
      <c r="T6" s="262" t="n">
        <f aca="false">0.742*W4/1000</f>
        <v>29.66400248</v>
      </c>
      <c r="U6" s="262" t="n">
        <f aca="false">M6*4.452</f>
        <v>31.164</v>
      </c>
      <c r="X6" s="93"/>
    </row>
    <row r="7" customFormat="false" ht="27" hidden="false" customHeight="true" outlineLevel="0" collapsed="false">
      <c r="A7" s="271" t="n">
        <v>500</v>
      </c>
      <c r="B7" s="272" t="n">
        <v>4000</v>
      </c>
      <c r="C7" s="272" t="n">
        <v>2000</v>
      </c>
      <c r="D7" s="272" t="n">
        <v>1</v>
      </c>
      <c r="E7" s="273" t="n">
        <v>400</v>
      </c>
      <c r="F7" s="273"/>
      <c r="G7" s="270"/>
      <c r="H7" s="270"/>
      <c r="I7" s="270"/>
      <c r="J7" s="270"/>
      <c r="K7" s="256" t="s">
        <v>116</v>
      </c>
      <c r="L7" s="265" t="n">
        <f aca="false">IF(W5&gt;6000,W5/6000,1)</f>
        <v>2.40647777777778</v>
      </c>
      <c r="M7" s="154" t="n">
        <f aca="false">ROUNDUP(L7,0)</f>
        <v>3</v>
      </c>
      <c r="N7" s="266" t="n">
        <f aca="false">0.2*6*K33</f>
        <v>42</v>
      </c>
      <c r="O7" s="266"/>
      <c r="P7" s="267" t="n">
        <f aca="false">N7*M7</f>
        <v>126</v>
      </c>
      <c r="Q7" s="267"/>
      <c r="R7" s="268" t="str">
        <f aca="false">F5</f>
        <v>BRANCO</v>
      </c>
      <c r="S7" s="96" t="n">
        <v>6000</v>
      </c>
      <c r="T7" s="262" t="n">
        <f aca="false">0.2*W5/1000</f>
        <v>2.88777333333333</v>
      </c>
      <c r="U7" s="262" t="n">
        <f aca="false">M7*1.2</f>
        <v>3.6</v>
      </c>
      <c r="V7" s="93"/>
      <c r="W7" s="93"/>
      <c r="X7" s="93"/>
    </row>
    <row r="8" customFormat="false" ht="24" hidden="false" customHeight="true" outlineLevel="0" collapsed="false">
      <c r="A8" s="104" t="s">
        <v>120</v>
      </c>
      <c r="B8" s="104"/>
      <c r="C8" s="274" t="n">
        <f aca="false">E9*A7</f>
        <v>4000</v>
      </c>
      <c r="D8" s="274"/>
      <c r="E8" s="20" t="s">
        <v>121</v>
      </c>
      <c r="F8" s="20"/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  <c r="V8" s="93"/>
      <c r="W8" s="93"/>
      <c r="X8" s="93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4000</v>
      </c>
      <c r="D9" s="275"/>
      <c r="E9" s="276" t="n">
        <f aca="false">(B7*C7)/10^6</f>
        <v>8</v>
      </c>
      <c r="F9" s="276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  <c r="V9" s="93"/>
      <c r="W9" s="93"/>
      <c r="X9" s="93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  <c r="V10" s="93"/>
      <c r="W10" s="93"/>
      <c r="X10" s="93"/>
    </row>
    <row r="11" customFormat="false" ht="25.5" hidden="false" customHeight="true" outlineLevel="0" collapsed="false">
      <c r="A11" s="67" t="s">
        <v>106</v>
      </c>
      <c r="B11" s="278" t="s">
        <v>123</v>
      </c>
      <c r="C11" s="278"/>
      <c r="D11" s="278"/>
      <c r="E11" s="15" t="n">
        <f aca="false">D7*2</f>
        <v>2</v>
      </c>
      <c r="F11" s="69" t="n">
        <f aca="false">B7+50</f>
        <v>4050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  <c r="V11" s="93"/>
      <c r="W11" s="93"/>
      <c r="X11" s="93"/>
    </row>
    <row r="12" customFormat="false" ht="25.5" hidden="false" customHeight="true" outlineLevel="0" collapsed="false">
      <c r="A12" s="79" t="s">
        <v>106</v>
      </c>
      <c r="B12" s="279" t="s">
        <v>124</v>
      </c>
      <c r="C12" s="279"/>
      <c r="D12" s="279"/>
      <c r="E12" s="24" t="n">
        <f aca="false">D7*2</f>
        <v>2</v>
      </c>
      <c r="F12" s="97" t="n">
        <f aca="false">C7-15</f>
        <v>1985</v>
      </c>
      <c r="G12" s="97"/>
      <c r="H12" s="83" t="s">
        <v>18</v>
      </c>
      <c r="I12" s="83"/>
      <c r="J12" s="83" t="s">
        <v>33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110</v>
      </c>
      <c r="B13" s="279" t="s">
        <v>125</v>
      </c>
      <c r="C13" s="279"/>
      <c r="D13" s="279"/>
      <c r="E13" s="24" t="n">
        <f aca="false">D7*1</f>
        <v>1</v>
      </c>
      <c r="F13" s="97" t="n">
        <f aca="false">F11*2</f>
        <v>8100</v>
      </c>
      <c r="G13" s="97"/>
      <c r="H13" s="83" t="s">
        <v>17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112</v>
      </c>
      <c r="B14" s="279" t="s">
        <v>126</v>
      </c>
      <c r="C14" s="279"/>
      <c r="D14" s="279"/>
      <c r="E14" s="24" t="n">
        <f aca="false">D7*1</f>
        <v>1</v>
      </c>
      <c r="F14" s="24" t="n">
        <f aca="false">F12+60</f>
        <v>2045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119</v>
      </c>
      <c r="B15" s="279" t="s">
        <v>127</v>
      </c>
      <c r="C15" s="279"/>
      <c r="D15" s="279"/>
      <c r="E15" s="24" t="n">
        <f aca="false">((F11-76)/150)*D7</f>
        <v>26.4933333333333</v>
      </c>
      <c r="F15" s="24" t="n">
        <f aca="false">(F12-76)-E7</f>
        <v>1509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 t="s">
        <v>106</v>
      </c>
      <c r="B16" s="279" t="s">
        <v>128</v>
      </c>
      <c r="C16" s="279"/>
      <c r="D16" s="279"/>
      <c r="E16" s="24" t="n">
        <f aca="false">D7*1</f>
        <v>1</v>
      </c>
      <c r="F16" s="24" t="n">
        <f aca="false">F11-76</f>
        <v>3974</v>
      </c>
      <c r="G16" s="24"/>
      <c r="H16" s="83" t="s">
        <v>17</v>
      </c>
      <c r="I16" s="83"/>
      <c r="J16" s="83" t="s">
        <v>42</v>
      </c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 t="s">
        <v>116</v>
      </c>
      <c r="B17" s="279" t="s">
        <v>129</v>
      </c>
      <c r="C17" s="279"/>
      <c r="D17" s="279"/>
      <c r="E17" s="24" t="n">
        <f aca="false">(F11-76)/120*D7</f>
        <v>33.1166666666667</v>
      </c>
      <c r="F17" s="24" t="n">
        <f aca="false">E7+36</f>
        <v>436</v>
      </c>
      <c r="G17" s="24"/>
      <c r="H17" s="83" t="s">
        <v>18</v>
      </c>
      <c r="I17" s="83"/>
      <c r="J17" s="83" t="s">
        <v>42</v>
      </c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Q25" s="84" t="n">
        <f aca="false">U25*K33</f>
        <v>1705.25392846667</v>
      </c>
      <c r="R25" s="84"/>
      <c r="S25" s="73" t="s">
        <v>130</v>
      </c>
      <c r="T25" s="73"/>
      <c r="U25" s="292" t="n">
        <f aca="false">SUM(T3:T24)</f>
        <v>48.7215408133333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Q26" s="266" t="n">
        <f aca="false">U26*K33</f>
        <v>1953.63</v>
      </c>
      <c r="R26" s="266"/>
      <c r="S26" s="73" t="s">
        <v>131</v>
      </c>
      <c r="T26" s="73"/>
      <c r="U26" s="294" t="n">
        <f aca="false">SUM(U3:U24)</f>
        <v>55.818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Q27" s="84" t="n">
        <f aca="false">U27*K33</f>
        <v>248.376071533334</v>
      </c>
      <c r="R27" s="84"/>
      <c r="S27" s="73" t="s">
        <v>132</v>
      </c>
      <c r="T27" s="73"/>
      <c r="U27" s="292" t="n">
        <f aca="false">U26-U25</f>
        <v>7.09645918666667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297" t="s">
        <v>133</v>
      </c>
      <c r="L32" s="298" t="s">
        <v>134</v>
      </c>
      <c r="M32" s="299" t="s">
        <v>135</v>
      </c>
      <c r="N32" s="299"/>
      <c r="O32" s="4" t="s">
        <v>136</v>
      </c>
      <c r="P32" s="4"/>
      <c r="Q32" s="4"/>
      <c r="R32" s="4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301" t="n">
        <v>35</v>
      </c>
      <c r="L33" s="301" t="n">
        <v>60</v>
      </c>
      <c r="M33" s="302" t="n">
        <f aca="false">U25*L33+J55</f>
        <v>3029.59111546667</v>
      </c>
      <c r="N33" s="302"/>
      <c r="O33" s="303" t="n">
        <v>0</v>
      </c>
      <c r="P33" s="85" t="n">
        <f aca="false">Q25*O33+Q25+J55</f>
        <v>1811.55259513333</v>
      </c>
      <c r="Q33" s="85"/>
      <c r="R33" s="85"/>
    </row>
    <row r="34" customFormat="false" ht="22.5" hidden="false" customHeight="true" outlineLevel="0" collapsed="false">
      <c r="A34" s="304" t="s">
        <v>35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5"/>
      <c r="L34" s="305"/>
      <c r="M34" s="305"/>
      <c r="N34" s="305"/>
      <c r="O34" s="306" t="s">
        <v>137</v>
      </c>
      <c r="P34" s="306"/>
      <c r="Q34" s="306"/>
      <c r="R34" s="306"/>
      <c r="S34" s="306"/>
      <c r="T34" s="306"/>
      <c r="U34" s="306"/>
    </row>
    <row r="35" customFormat="false" ht="15" hidden="false" customHeight="true" outlineLevel="0" collapsed="false">
      <c r="A35" s="307" t="s">
        <v>51</v>
      </c>
      <c r="B35" s="308" t="s">
        <v>26</v>
      </c>
      <c r="C35" s="308"/>
      <c r="D35" s="308"/>
      <c r="E35" s="308"/>
      <c r="F35" s="304" t="s">
        <v>138</v>
      </c>
      <c r="G35" s="304"/>
      <c r="H35" s="309" t="s">
        <v>5</v>
      </c>
      <c r="I35" s="310" t="s">
        <v>139</v>
      </c>
      <c r="J35" s="311" t="s">
        <v>140</v>
      </c>
      <c r="K35" s="305"/>
      <c r="L35" s="305"/>
      <c r="M35" s="305"/>
      <c r="N35" s="305"/>
      <c r="O35" s="312" t="s">
        <v>141</v>
      </c>
      <c r="P35" s="312"/>
      <c r="Q35" s="312"/>
      <c r="R35" s="312"/>
      <c r="S35" s="312"/>
      <c r="T35" s="312"/>
      <c r="U35" s="312"/>
    </row>
    <row r="36" customFormat="false" ht="21.75" hidden="false" customHeight="true" outlineLevel="0" collapsed="false">
      <c r="A36" s="313" t="s">
        <v>142</v>
      </c>
      <c r="B36" s="314" t="s">
        <v>143</v>
      </c>
      <c r="C36" s="314"/>
      <c r="D36" s="314"/>
      <c r="E36" s="314"/>
      <c r="F36" s="315" t="s">
        <v>64</v>
      </c>
      <c r="G36" s="315"/>
      <c r="H36" s="316" t="n">
        <f aca="false">D7*2</f>
        <v>2</v>
      </c>
      <c r="I36" s="317" t="n">
        <v>18</v>
      </c>
      <c r="J36" s="318" t="n">
        <f aca="false">I36*H36</f>
        <v>36</v>
      </c>
      <c r="K36" s="305"/>
      <c r="L36" s="305"/>
      <c r="M36" s="305"/>
      <c r="N36" s="305"/>
      <c r="O36" s="312" t="s">
        <v>144</v>
      </c>
      <c r="P36" s="312"/>
      <c r="Q36" s="312"/>
      <c r="R36" s="312"/>
      <c r="S36" s="312"/>
      <c r="T36" s="312"/>
      <c r="U36" s="312"/>
    </row>
    <row r="37" customFormat="false" ht="21.75" hidden="false" customHeight="true" outlineLevel="0" collapsed="false">
      <c r="A37" s="319" t="s">
        <v>145</v>
      </c>
      <c r="B37" s="320" t="s">
        <v>146</v>
      </c>
      <c r="C37" s="320"/>
      <c r="D37" s="320"/>
      <c r="E37" s="320"/>
      <c r="F37" s="321" t="s">
        <v>64</v>
      </c>
      <c r="G37" s="321"/>
      <c r="H37" s="82" t="n">
        <f aca="false">D7*2</f>
        <v>2</v>
      </c>
      <c r="I37" s="322" t="n">
        <v>5</v>
      </c>
      <c r="J37" s="323" t="n">
        <f aca="false">I37*H37</f>
        <v>10</v>
      </c>
      <c r="K37" s="305"/>
      <c r="L37" s="305"/>
      <c r="M37" s="305"/>
      <c r="N37" s="305"/>
      <c r="O37" s="324"/>
      <c r="P37" s="324"/>
      <c r="Q37" s="324"/>
      <c r="R37" s="324"/>
      <c r="S37" s="324"/>
      <c r="T37" s="325"/>
      <c r="U37" s="326" t="s">
        <v>147</v>
      </c>
    </row>
    <row r="38" customFormat="false" ht="21.75" hidden="false" customHeight="true" outlineLevel="0" collapsed="false">
      <c r="A38" s="319" t="s">
        <v>148</v>
      </c>
      <c r="B38" s="320" t="s">
        <v>149</v>
      </c>
      <c r="C38" s="320"/>
      <c r="D38" s="320"/>
      <c r="E38" s="320"/>
      <c r="F38" s="321" t="s">
        <v>64</v>
      </c>
      <c r="G38" s="321"/>
      <c r="H38" s="327" t="n">
        <f aca="false">D7*1</f>
        <v>1</v>
      </c>
      <c r="I38" s="322" t="n">
        <v>50</v>
      </c>
      <c r="J38" s="323" t="n">
        <f aca="false">I38*H38</f>
        <v>50</v>
      </c>
      <c r="K38" s="89"/>
      <c r="L38" s="89"/>
      <c r="O38" s="328"/>
      <c r="P38" s="328"/>
      <c r="Q38" s="328"/>
      <c r="R38" s="328"/>
      <c r="S38" s="328"/>
      <c r="T38" s="329"/>
      <c r="U38" s="330" t="s">
        <v>150</v>
      </c>
    </row>
    <row r="39" customFormat="false" ht="21.75" hidden="false" customHeight="true" outlineLevel="0" collapsed="false">
      <c r="A39" s="319" t="s">
        <v>151</v>
      </c>
      <c r="B39" s="320" t="s">
        <v>152</v>
      </c>
      <c r="C39" s="320"/>
      <c r="D39" s="320"/>
      <c r="E39" s="320"/>
      <c r="F39" s="321" t="s">
        <v>64</v>
      </c>
      <c r="G39" s="321"/>
      <c r="H39" s="327" t="n">
        <f aca="false">((D7*50)+(E15*2))</f>
        <v>102.986666666667</v>
      </c>
      <c r="I39" s="322" t="n">
        <v>0.1</v>
      </c>
      <c r="J39" s="323" t="n">
        <f aca="false">I39*H39</f>
        <v>10.2986666666667</v>
      </c>
      <c r="K39" s="331"/>
      <c r="L39" s="331"/>
      <c r="U39" s="328" t="s">
        <v>153</v>
      </c>
    </row>
    <row r="40" customFormat="false" ht="21.75" hidden="false" customHeight="true" outlineLevel="0" collapsed="false">
      <c r="A40" s="319"/>
      <c r="B40" s="320"/>
      <c r="C40" s="320"/>
      <c r="D40" s="320"/>
      <c r="E40" s="320"/>
      <c r="F40" s="321"/>
      <c r="G40" s="321"/>
      <c r="H40" s="332"/>
      <c r="I40" s="322"/>
      <c r="J40" s="323"/>
      <c r="K40" s="333"/>
      <c r="L40" s="333"/>
      <c r="M40" s="109"/>
      <c r="N40" s="109"/>
      <c r="S40" s="93"/>
      <c r="T40" s="93"/>
      <c r="U40" s="334" t="s">
        <v>154</v>
      </c>
    </row>
    <row r="41" customFormat="false" ht="21.75" hidden="false" customHeight="true" outlineLevel="0" collapsed="false">
      <c r="A41" s="319"/>
      <c r="B41" s="335"/>
      <c r="C41" s="336"/>
      <c r="D41" s="336"/>
      <c r="E41" s="336"/>
      <c r="F41" s="335"/>
      <c r="G41" s="337"/>
      <c r="H41" s="268"/>
      <c r="I41" s="338"/>
      <c r="J41" s="338"/>
      <c r="K41" s="339" t="str">
        <f aca="false">A1</f>
        <v>PORTÃO DE CORRER/BÚZIOS/VÃO LIVRE SEM SOCIAL/BANDEIRA</v>
      </c>
      <c r="L41" s="339"/>
      <c r="M41" s="339"/>
      <c r="N41" s="339"/>
      <c r="O41" s="339"/>
      <c r="P41" s="339"/>
      <c r="Q41" s="339"/>
      <c r="R41" s="339"/>
      <c r="S41" s="339"/>
      <c r="T41" s="339"/>
      <c r="U41" s="339"/>
    </row>
    <row r="42" customFormat="false" ht="21.75" hidden="false" customHeight="true" outlineLevel="0" collapsed="false">
      <c r="A42" s="319"/>
      <c r="B42" s="335"/>
      <c r="C42" s="336"/>
      <c r="D42" s="336"/>
      <c r="E42" s="336"/>
      <c r="F42" s="335"/>
      <c r="G42" s="337"/>
      <c r="H42" s="268"/>
      <c r="I42" s="338"/>
      <c r="J42" s="338"/>
      <c r="K42" s="340" t="s">
        <v>155</v>
      </c>
      <c r="L42" s="341" t="str">
        <f aca="false">B2</f>
        <v>Francisco Gleison</v>
      </c>
      <c r="M42" s="341"/>
      <c r="N42" s="341"/>
      <c r="O42" s="341"/>
      <c r="P42" s="341"/>
      <c r="Q42" s="342" t="s">
        <v>156</v>
      </c>
      <c r="R42" s="343"/>
      <c r="S42" s="343"/>
      <c r="T42" s="343"/>
      <c r="U42" s="343"/>
    </row>
    <row r="43" customFormat="false" ht="21.75" hidden="false" customHeight="true" outlineLevel="0" collapsed="false">
      <c r="A43" s="319"/>
      <c r="B43" s="335"/>
      <c r="C43" s="336"/>
      <c r="D43" s="336"/>
      <c r="E43" s="336"/>
      <c r="F43" s="335"/>
      <c r="G43" s="337"/>
      <c r="H43" s="268"/>
      <c r="I43" s="344"/>
      <c r="J43" s="344"/>
      <c r="K43" s="345" t="s">
        <v>157</v>
      </c>
      <c r="L43" s="346"/>
      <c r="M43" s="346"/>
      <c r="N43" s="347" t="s">
        <v>158</v>
      </c>
      <c r="O43" s="348"/>
      <c r="P43" s="348"/>
      <c r="Q43" s="345" t="s">
        <v>159</v>
      </c>
      <c r="R43" s="349"/>
      <c r="S43" s="349"/>
      <c r="T43" s="349"/>
      <c r="U43" s="349"/>
    </row>
    <row r="44" customFormat="false" ht="21.75" hidden="false" customHeight="true" outlineLevel="0" collapsed="false">
      <c r="A44" s="319"/>
      <c r="B44" s="335"/>
      <c r="C44" s="336"/>
      <c r="D44" s="336"/>
      <c r="E44" s="336"/>
      <c r="F44" s="335"/>
      <c r="G44" s="337"/>
      <c r="H44" s="268"/>
      <c r="I44" s="344"/>
      <c r="J44" s="344"/>
      <c r="K44" s="350" t="s">
        <v>160</v>
      </c>
      <c r="L44" s="351" t="str">
        <f aca="false">F5</f>
        <v>BRANCO</v>
      </c>
      <c r="M44" s="351"/>
      <c r="N44" s="351"/>
      <c r="O44" s="351"/>
      <c r="P44" s="352" t="s">
        <v>161</v>
      </c>
      <c r="Q44" s="353"/>
      <c r="R44" s="353"/>
      <c r="S44" s="353"/>
      <c r="T44" s="353"/>
      <c r="U44" s="353"/>
    </row>
    <row r="45" customFormat="false" ht="21.75" hidden="false" customHeight="true" outlineLevel="0" collapsed="false">
      <c r="A45" s="319"/>
      <c r="B45" s="335"/>
      <c r="C45" s="336"/>
      <c r="D45" s="336"/>
      <c r="E45" s="336"/>
      <c r="F45" s="335"/>
      <c r="G45" s="337"/>
      <c r="H45" s="268"/>
      <c r="I45" s="344"/>
      <c r="J45" s="344"/>
      <c r="K45" s="350" t="s">
        <v>162</v>
      </c>
      <c r="L45" s="354"/>
      <c r="M45" s="354"/>
      <c r="N45" s="354"/>
      <c r="O45" s="354"/>
      <c r="P45" s="355"/>
      <c r="Q45" s="124"/>
      <c r="R45" s="124"/>
      <c r="S45" s="124"/>
      <c r="T45" s="124"/>
      <c r="U45" s="356"/>
    </row>
    <row r="46" customFormat="false" ht="21.75" hidden="false" customHeight="true" outlineLevel="0" collapsed="false">
      <c r="A46" s="319"/>
      <c r="B46" s="208"/>
      <c r="C46" s="296"/>
      <c r="D46" s="296"/>
      <c r="E46" s="296"/>
      <c r="F46" s="208"/>
      <c r="G46" s="357"/>
      <c r="H46" s="268"/>
      <c r="I46" s="344"/>
      <c r="J46" s="344"/>
      <c r="K46" s="358"/>
      <c r="L46" s="93"/>
      <c r="M46" s="93"/>
      <c r="N46" s="93"/>
      <c r="O46" s="93"/>
      <c r="P46" s="355"/>
      <c r="Q46" s="124"/>
      <c r="R46" s="124"/>
      <c r="S46" s="124"/>
      <c r="T46" s="124"/>
      <c r="U46" s="356"/>
    </row>
    <row r="47" customFormat="false" ht="21.75" hidden="false" customHeight="true" outlineLevel="0" collapsed="false">
      <c r="A47" s="319"/>
      <c r="B47" s="208"/>
      <c r="C47" s="296"/>
      <c r="D47" s="296"/>
      <c r="E47" s="296"/>
      <c r="F47" s="208"/>
      <c r="G47" s="357"/>
      <c r="H47" s="268"/>
      <c r="I47" s="338"/>
      <c r="J47" s="338"/>
      <c r="K47" s="359" t="s">
        <v>6</v>
      </c>
      <c r="L47" s="360"/>
      <c r="M47" s="361" t="s">
        <v>163</v>
      </c>
      <c r="N47" s="362"/>
      <c r="O47" s="362"/>
      <c r="P47" s="355"/>
      <c r="Q47" s="124"/>
      <c r="R47" s="124"/>
      <c r="S47" s="124"/>
      <c r="T47" s="124"/>
      <c r="U47" s="356"/>
    </row>
    <row r="48" customFormat="false" ht="21.75" hidden="false" customHeight="true" outlineLevel="0" collapsed="false">
      <c r="A48" s="128"/>
      <c r="B48" s="52"/>
      <c r="F48" s="52"/>
      <c r="G48" s="23"/>
      <c r="H48" s="27"/>
      <c r="I48" s="363"/>
      <c r="J48" s="363"/>
      <c r="K48" s="359" t="s">
        <v>7</v>
      </c>
      <c r="L48" s="360"/>
      <c r="M48" s="361" t="s">
        <v>163</v>
      </c>
      <c r="N48" s="362"/>
      <c r="O48" s="362"/>
      <c r="P48" s="355"/>
      <c r="Q48" s="124"/>
      <c r="R48" s="124"/>
      <c r="S48" s="124"/>
      <c r="T48" s="124"/>
      <c r="U48" s="356"/>
    </row>
    <row r="49" customFormat="false" ht="21.75" hidden="false" customHeight="true" outlineLevel="0" collapsed="false">
      <c r="A49" s="128"/>
      <c r="B49" s="208"/>
      <c r="C49" s="296"/>
      <c r="D49" s="296"/>
      <c r="E49" s="296"/>
      <c r="F49" s="208"/>
      <c r="G49" s="357"/>
      <c r="H49" s="268"/>
      <c r="I49" s="344"/>
      <c r="J49" s="344"/>
      <c r="K49" s="364"/>
      <c r="L49" s="365"/>
      <c r="M49" s="365"/>
      <c r="N49" s="365"/>
      <c r="O49" s="365"/>
      <c r="P49" s="366"/>
      <c r="Q49" s="367"/>
      <c r="R49" s="367"/>
      <c r="S49" s="367"/>
      <c r="T49" s="367"/>
      <c r="U49" s="368"/>
    </row>
    <row r="50" customFormat="false" ht="21.75" hidden="false" customHeight="true" outlineLevel="0" collapsed="false">
      <c r="A50" s="128"/>
      <c r="B50" s="208"/>
      <c r="C50" s="296"/>
      <c r="D50" s="296"/>
      <c r="E50" s="296"/>
      <c r="F50" s="208"/>
      <c r="G50" s="357"/>
      <c r="H50" s="268"/>
      <c r="I50" s="369"/>
      <c r="J50" s="369"/>
      <c r="K50" s="370" t="s">
        <v>164</v>
      </c>
      <c r="L50" s="371"/>
      <c r="M50" s="371"/>
      <c r="N50" s="372" t="s">
        <v>165</v>
      </c>
      <c r="O50" s="372"/>
      <c r="P50" s="372"/>
      <c r="Q50" s="372"/>
      <c r="R50" s="372"/>
      <c r="S50" s="372"/>
      <c r="T50" s="372"/>
      <c r="U50" s="372"/>
    </row>
    <row r="51" customFormat="false" ht="21.75" hidden="false" customHeight="true" outlineLevel="0" collapsed="false">
      <c r="A51" s="128"/>
      <c r="B51" s="208"/>
      <c r="C51" s="296"/>
      <c r="D51" s="296"/>
      <c r="E51" s="296"/>
      <c r="F51" s="208"/>
      <c r="G51" s="357"/>
      <c r="H51" s="268"/>
      <c r="I51" s="47"/>
      <c r="J51" s="47"/>
      <c r="K51" s="370" t="s">
        <v>166</v>
      </c>
      <c r="L51" s="371"/>
      <c r="M51" s="373" t="s">
        <v>167</v>
      </c>
      <c r="N51" s="373"/>
      <c r="O51" s="374" t="s">
        <v>168</v>
      </c>
      <c r="P51" s="374"/>
      <c r="Q51" s="373" t="s">
        <v>169</v>
      </c>
      <c r="R51" s="373"/>
      <c r="S51" s="375" t="s">
        <v>170</v>
      </c>
      <c r="T51" s="376" t="n">
        <f aca="false">SUM(N47:O48)</f>
        <v>0</v>
      </c>
      <c r="U51" s="376"/>
    </row>
    <row r="52" customFormat="false" ht="21.75" hidden="false" customHeight="true" outlineLevel="0" collapsed="false">
      <c r="A52" s="128"/>
      <c r="B52" s="208"/>
      <c r="C52" s="296"/>
      <c r="D52" s="296"/>
      <c r="E52" s="296"/>
      <c r="F52" s="208"/>
      <c r="G52" s="357"/>
      <c r="H52" s="268"/>
      <c r="I52" s="47"/>
      <c r="J52" s="47"/>
      <c r="K52" s="377"/>
      <c r="L52" s="377"/>
      <c r="M52" s="377"/>
      <c r="N52" s="377"/>
      <c r="O52" s="377"/>
      <c r="P52" s="377"/>
      <c r="Q52" s="377"/>
      <c r="R52" s="377"/>
      <c r="S52" s="377"/>
      <c r="T52" s="377"/>
      <c r="U52" s="377"/>
    </row>
    <row r="53" customFormat="false" ht="21.75" hidden="false" customHeight="true" outlineLevel="0" collapsed="false">
      <c r="A53" s="128"/>
      <c r="B53" s="208"/>
      <c r="C53" s="296"/>
      <c r="D53" s="296"/>
      <c r="E53" s="296"/>
      <c r="F53" s="208"/>
      <c r="G53" s="357"/>
      <c r="H53" s="268"/>
      <c r="I53" s="369"/>
      <c r="J53" s="369"/>
      <c r="K53" s="377"/>
      <c r="L53" s="377"/>
      <c r="M53" s="377"/>
      <c r="N53" s="377"/>
      <c r="O53" s="377"/>
      <c r="P53" s="377"/>
      <c r="Q53" s="378" t="s">
        <v>171</v>
      </c>
      <c r="R53" s="378"/>
      <c r="S53" s="378"/>
      <c r="T53" s="378"/>
      <c r="U53" s="378"/>
    </row>
    <row r="54" customFormat="false" ht="21.75" hidden="false" customHeight="true" outlineLevel="0" collapsed="false">
      <c r="A54" s="379"/>
      <c r="B54" s="380"/>
      <c r="C54" s="381"/>
      <c r="D54" s="381"/>
      <c r="E54" s="381"/>
      <c r="F54" s="380"/>
      <c r="G54" s="382"/>
      <c r="H54" s="289"/>
      <c r="I54" s="383"/>
      <c r="J54" s="383"/>
      <c r="K54" s="377"/>
      <c r="L54" s="377"/>
      <c r="M54" s="377"/>
      <c r="N54" s="377"/>
      <c r="O54" s="377"/>
      <c r="P54" s="377"/>
      <c r="Q54" s="333" t="s">
        <v>172</v>
      </c>
      <c r="R54" s="333"/>
      <c r="S54" s="333"/>
      <c r="T54" s="333"/>
      <c r="U54" s="333"/>
    </row>
    <row r="55" customFormat="false" ht="21.75" hidden="false" customHeight="true" outlineLevel="0" collapsed="false">
      <c r="I55" s="384" t="s">
        <v>173</v>
      </c>
      <c r="J55" s="385" t="n">
        <f aca="false">SUM(J36:J54)</f>
        <v>106.298666666667</v>
      </c>
    </row>
    <row r="56" customFormat="false" ht="15" hidden="false" customHeight="false" outlineLevel="0" collapsed="false">
      <c r="K56" s="386" t="str">
        <f aca="false">O34</f>
        <v>NOME DE SUA EMPRESA</v>
      </c>
      <c r="L56" s="386"/>
      <c r="M56" s="386"/>
      <c r="N56" s="386"/>
      <c r="O56" s="386"/>
      <c r="P56" s="386"/>
    </row>
    <row r="64" customFormat="false" ht="15" hidden="false" customHeight="false" outlineLevel="0" collapsed="false">
      <c r="C64" s="1" t="s">
        <v>23</v>
      </c>
    </row>
  </sheetData>
  <mergeCells count="160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E8:F8"/>
    <mergeCell ref="N8:O8"/>
    <mergeCell ref="P8:Q8"/>
    <mergeCell ref="A9:B9"/>
    <mergeCell ref="C9:D9"/>
    <mergeCell ref="E9:F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Q25:R25"/>
    <mergeCell ref="S25:T25"/>
    <mergeCell ref="B26:D26"/>
    <mergeCell ref="F26:G26"/>
    <mergeCell ref="H26:I26"/>
    <mergeCell ref="Q26:R26"/>
    <mergeCell ref="S26:T26"/>
    <mergeCell ref="Q27:R27"/>
    <mergeCell ref="S27:T27"/>
    <mergeCell ref="M32:N32"/>
    <mergeCell ref="O32:R32"/>
    <mergeCell ref="M33:N33"/>
    <mergeCell ref="P33:R33"/>
    <mergeCell ref="A34:J34"/>
    <mergeCell ref="K34:N37"/>
    <mergeCell ref="O34:U34"/>
    <mergeCell ref="B35:E35"/>
    <mergeCell ref="F35:G35"/>
    <mergeCell ref="O35:U35"/>
    <mergeCell ref="B36:E36"/>
    <mergeCell ref="F36:G36"/>
    <mergeCell ref="O36:U36"/>
    <mergeCell ref="B37:E37"/>
    <mergeCell ref="F37:G37"/>
    <mergeCell ref="B38:E38"/>
    <mergeCell ref="F38:G38"/>
    <mergeCell ref="K38:L38"/>
    <mergeCell ref="B39:E39"/>
    <mergeCell ref="F39:G39"/>
    <mergeCell ref="K39:L39"/>
    <mergeCell ref="B40:E40"/>
    <mergeCell ref="F40:G40"/>
    <mergeCell ref="K40:L40"/>
    <mergeCell ref="K41:U41"/>
    <mergeCell ref="L42:P42"/>
    <mergeCell ref="R42:U42"/>
    <mergeCell ref="L43:M43"/>
    <mergeCell ref="O43:P43"/>
    <mergeCell ref="R43:U43"/>
    <mergeCell ref="L44:O44"/>
    <mergeCell ref="Q44:U44"/>
    <mergeCell ref="L45:O45"/>
    <mergeCell ref="N47:O47"/>
    <mergeCell ref="N48:O48"/>
    <mergeCell ref="N50:U50"/>
    <mergeCell ref="M51:N51"/>
    <mergeCell ref="O51:P51"/>
    <mergeCell ref="Q51:R51"/>
    <mergeCell ref="T51:U51"/>
    <mergeCell ref="Q53:U53"/>
    <mergeCell ref="Q54:U54"/>
    <mergeCell ref="K56:P5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4" style="1" width="8"/>
    <col collapsed="false" customWidth="true" hidden="false" outlineLevel="0" max="5" min="5" style="1" width="9"/>
    <col collapsed="false" customWidth="true" hidden="false" outlineLevel="0" max="6" min="6" style="1" width="7.29"/>
    <col collapsed="false" customWidth="true" hidden="false" outlineLevel="0" max="7" min="7" style="1" width="5.71"/>
    <col collapsed="false" customWidth="true" hidden="false" outlineLevel="0" max="8" min="8" style="1" width="8.29"/>
    <col collapsed="false" customWidth="true" hidden="false" outlineLevel="0" max="9" min="9" style="1" width="7.71"/>
    <col collapsed="false" customWidth="true" hidden="false" outlineLevel="0" max="10" min="10" style="1" width="10.71"/>
    <col collapsed="false" customWidth="true" hidden="false" outlineLevel="0" max="12" min="11" style="1" width="9"/>
    <col collapsed="false" customWidth="true" hidden="false" outlineLevel="0" max="13" min="13" style="1" width="6.85"/>
    <col collapsed="false" customWidth="true" hidden="false" outlineLevel="0" max="14" min="14" style="1" width="9.14"/>
    <col collapsed="false" customWidth="true" hidden="false" outlineLevel="0" max="15" min="15" style="1" width="6.14"/>
    <col collapsed="false" customWidth="true" hidden="false" outlineLevel="0" max="17" min="17" style="1" width="7"/>
    <col collapsed="false" customWidth="true" hidden="false" outlineLevel="0" max="19" min="19" style="1" width="7.86"/>
    <col collapsed="false" customWidth="true" hidden="false" outlineLevel="0" max="21" min="21" style="1" width="9.57"/>
  </cols>
  <sheetData>
    <row r="1" customFormat="false" ht="20.25" hidden="false" customHeight="true" outlineLevel="0" collapsed="false">
      <c r="A1" s="20" t="s">
        <v>174</v>
      </c>
      <c r="B1" s="20"/>
      <c r="C1" s="20"/>
      <c r="D1" s="20"/>
      <c r="E1" s="20"/>
      <c r="F1" s="20"/>
      <c r="G1" s="20"/>
      <c r="H1" s="248" t="s">
        <v>1</v>
      </c>
      <c r="I1" s="248"/>
      <c r="J1" s="248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  <c r="V1" s="387" t="s">
        <v>106</v>
      </c>
      <c r="W1" s="388" t="n">
        <f aca="false">F11*E11+E12*F12</f>
        <v>13070</v>
      </c>
    </row>
    <row r="2" customFormat="false" ht="19.5" hidden="false" customHeight="true" outlineLevel="0" collapsed="false">
      <c r="A2" s="5" t="s">
        <v>3</v>
      </c>
      <c r="B2" s="251" t="s">
        <v>107</v>
      </c>
      <c r="C2" s="251"/>
      <c r="D2" s="251"/>
      <c r="E2" s="251"/>
      <c r="F2" s="251"/>
      <c r="G2" s="251"/>
      <c r="H2" s="248"/>
      <c r="I2" s="248"/>
      <c r="J2" s="248"/>
      <c r="K2" s="7" t="s">
        <v>4</v>
      </c>
      <c r="L2" s="7"/>
      <c r="M2" s="8" t="s">
        <v>5</v>
      </c>
      <c r="N2" s="9" t="s">
        <v>6</v>
      </c>
      <c r="O2" s="9"/>
      <c r="P2" s="9" t="s">
        <v>7</v>
      </c>
      <c r="Q2" s="9"/>
      <c r="R2" s="8" t="s">
        <v>8</v>
      </c>
      <c r="S2" s="4" t="s">
        <v>9</v>
      </c>
      <c r="T2" s="252" t="s">
        <v>108</v>
      </c>
      <c r="U2" s="253" t="s">
        <v>109</v>
      </c>
      <c r="V2" s="387" t="s">
        <v>110</v>
      </c>
      <c r="W2" s="388" t="n">
        <f aca="false">F13*E13</f>
        <v>9100</v>
      </c>
    </row>
    <row r="3" customFormat="false" ht="19.5" hidden="false" customHeight="true" outlineLevel="0" collapsed="false">
      <c r="A3" s="254" t="s">
        <v>11</v>
      </c>
      <c r="B3" s="255" t="s">
        <v>111</v>
      </c>
      <c r="C3" s="255"/>
      <c r="D3" s="255"/>
      <c r="E3" s="255"/>
      <c r="F3" s="255"/>
      <c r="G3" s="255"/>
      <c r="H3" s="248"/>
      <c r="I3" s="248"/>
      <c r="J3" s="248"/>
      <c r="K3" s="256" t="s">
        <v>106</v>
      </c>
      <c r="L3" s="257" t="n">
        <f aca="false">IF(W1&gt;6000,W1/6000,1)</f>
        <v>2.17833333333333</v>
      </c>
      <c r="M3" s="258" t="n">
        <f aca="false">ROUNDUP(L3,0)</f>
        <v>3</v>
      </c>
      <c r="N3" s="259" t="n">
        <f aca="false">0.8*6*K33</f>
        <v>168</v>
      </c>
      <c r="O3" s="259"/>
      <c r="P3" s="260" t="n">
        <f aca="false">N3*M3</f>
        <v>504</v>
      </c>
      <c r="Q3" s="260"/>
      <c r="R3" s="261" t="str">
        <f aca="false">F5</f>
        <v>BRANCO</v>
      </c>
      <c r="S3" s="96" t="n">
        <v>6000</v>
      </c>
      <c r="T3" s="262" t="n">
        <f aca="false">0.8*W1/1000</f>
        <v>10.456</v>
      </c>
      <c r="U3" s="263" t="n">
        <f aca="false">M3*4.8</f>
        <v>14.4</v>
      </c>
      <c r="V3" s="387" t="s">
        <v>112</v>
      </c>
      <c r="W3" s="388" t="n">
        <f aca="false">F14*E14</f>
        <v>2045</v>
      </c>
    </row>
    <row r="4" customFormat="false" ht="19.5" hidden="false" customHeight="true" outlineLevel="0" collapsed="false">
      <c r="A4" s="254" t="s">
        <v>12</v>
      </c>
      <c r="B4" s="255" t="s">
        <v>113</v>
      </c>
      <c r="C4" s="255"/>
      <c r="D4" s="264" t="s">
        <v>13</v>
      </c>
      <c r="E4" s="264"/>
      <c r="F4" s="255" t="s">
        <v>175</v>
      </c>
      <c r="G4" s="255"/>
      <c r="H4" s="248"/>
      <c r="I4" s="248"/>
      <c r="J4" s="248"/>
      <c r="K4" s="256" t="s">
        <v>110</v>
      </c>
      <c r="L4" s="265" t="n">
        <f aca="false">IF(W2&gt;6000,W2/6000,1)</f>
        <v>1.51666666666667</v>
      </c>
      <c r="M4" s="154" t="n">
        <f aca="false">ROUNDUP(L4,0)</f>
        <v>2</v>
      </c>
      <c r="N4" s="266" t="n">
        <f aca="false">0.266*6*K33</f>
        <v>55.86</v>
      </c>
      <c r="O4" s="266"/>
      <c r="P4" s="267" t="n">
        <f aca="false">N4*M4</f>
        <v>111.72</v>
      </c>
      <c r="Q4" s="267"/>
      <c r="R4" s="268" t="str">
        <f aca="false">F5</f>
        <v>BRANCO</v>
      </c>
      <c r="S4" s="96" t="n">
        <v>6000</v>
      </c>
      <c r="T4" s="262" t="n">
        <f aca="false">0.266*W2/1000</f>
        <v>2.4206</v>
      </c>
      <c r="U4" s="262" t="n">
        <f aca="false">M4*1.596</f>
        <v>3.192</v>
      </c>
      <c r="V4" s="387" t="s">
        <v>115</v>
      </c>
      <c r="W4" s="388" t="n">
        <f aca="false">F15*E15</f>
        <v>56939.1066666667</v>
      </c>
    </row>
    <row r="5" customFormat="false" ht="19.5" hidden="false" customHeight="true" outlineLevel="0" collapsed="false">
      <c r="A5" s="254" t="s">
        <v>14</v>
      </c>
      <c r="B5" s="269" t="n">
        <v>44580</v>
      </c>
      <c r="C5" s="269"/>
      <c r="D5" s="264" t="s">
        <v>8</v>
      </c>
      <c r="E5" s="264"/>
      <c r="F5" s="21" t="s">
        <v>15</v>
      </c>
      <c r="G5" s="21"/>
      <c r="H5" s="248"/>
      <c r="I5" s="248"/>
      <c r="J5" s="248"/>
      <c r="K5" s="256" t="s">
        <v>112</v>
      </c>
      <c r="L5" s="265" t="n">
        <f aca="false">IF(W3&gt;6000,W3/6000,1)</f>
        <v>1</v>
      </c>
      <c r="M5" s="154" t="n">
        <f aca="false">ROUNDUP(L5,0)</f>
        <v>1</v>
      </c>
      <c r="N5" s="266" t="n">
        <f aca="false">0.577*6*K33</f>
        <v>121.17</v>
      </c>
      <c r="O5" s="266"/>
      <c r="P5" s="267" t="n">
        <f aca="false">N5*M5</f>
        <v>121.17</v>
      </c>
      <c r="Q5" s="267"/>
      <c r="R5" s="268" t="str">
        <f aca="false">F5</f>
        <v>BRANCO</v>
      </c>
      <c r="S5" s="96" t="n">
        <v>6000</v>
      </c>
      <c r="T5" s="262" t="n">
        <f aca="false">0.577*W3/1000</f>
        <v>1.179965</v>
      </c>
      <c r="U5" s="262" t="n">
        <f aca="false">M5*3.462</f>
        <v>3.462</v>
      </c>
      <c r="V5" s="387" t="s">
        <v>176</v>
      </c>
      <c r="W5" s="388" t="n">
        <f aca="false">F16*E16</f>
        <v>0</v>
      </c>
    </row>
    <row r="6" customFormat="false" ht="22.5" hidden="false" customHeight="true" outlineLevel="0" collapsed="false">
      <c r="A6" s="11" t="s">
        <v>117</v>
      </c>
      <c r="B6" s="35" t="s">
        <v>17</v>
      </c>
      <c r="C6" s="35" t="s">
        <v>18</v>
      </c>
      <c r="D6" s="35" t="s">
        <v>5</v>
      </c>
      <c r="E6" s="30" t="s">
        <v>121</v>
      </c>
      <c r="F6" s="30"/>
      <c r="G6" s="270"/>
      <c r="H6" s="270"/>
      <c r="I6" s="270"/>
      <c r="J6" s="270"/>
      <c r="K6" s="256" t="s">
        <v>119</v>
      </c>
      <c r="L6" s="265" t="n">
        <f aca="false">IF(W4&gt;6000,W4/6000,1)</f>
        <v>9.48985111111111</v>
      </c>
      <c r="M6" s="154" t="n">
        <f aca="false">ROUNDUP(L6,0)</f>
        <v>10</v>
      </c>
      <c r="N6" s="266" t="n">
        <f aca="false">0.742*6*K33</f>
        <v>155.82</v>
      </c>
      <c r="O6" s="266"/>
      <c r="P6" s="267" t="n">
        <f aca="false">N6*M6</f>
        <v>1558.2</v>
      </c>
      <c r="Q6" s="267"/>
      <c r="R6" s="268" t="str">
        <f aca="false">F5</f>
        <v>BRANCO</v>
      </c>
      <c r="S6" s="96" t="n">
        <v>6000</v>
      </c>
      <c r="T6" s="262" t="n">
        <f aca="false">0.742*W4/1000</f>
        <v>42.2488171466667</v>
      </c>
      <c r="U6" s="262" t="n">
        <f aca="false">M6*4.452</f>
        <v>44.52</v>
      </c>
    </row>
    <row r="7" customFormat="false" ht="27" hidden="false" customHeight="true" outlineLevel="0" collapsed="false">
      <c r="A7" s="271" t="n">
        <v>500</v>
      </c>
      <c r="B7" s="272" t="n">
        <v>4500</v>
      </c>
      <c r="C7" s="272" t="n">
        <v>2000</v>
      </c>
      <c r="D7" s="272" t="n">
        <v>1</v>
      </c>
      <c r="E7" s="276" t="n">
        <f aca="false">(B7*C7)/10^6</f>
        <v>9</v>
      </c>
      <c r="F7" s="276"/>
      <c r="G7" s="270"/>
      <c r="H7" s="270"/>
      <c r="I7" s="270"/>
      <c r="J7" s="270"/>
      <c r="K7" s="256"/>
      <c r="L7" s="265"/>
      <c r="M7" s="154"/>
      <c r="N7" s="266"/>
      <c r="O7" s="266"/>
      <c r="P7" s="267"/>
      <c r="Q7" s="267"/>
      <c r="R7" s="268"/>
      <c r="S7" s="96"/>
      <c r="T7" s="262"/>
      <c r="U7" s="262"/>
    </row>
    <row r="8" customFormat="false" ht="24" hidden="false" customHeight="true" outlineLevel="0" collapsed="false">
      <c r="A8" s="104" t="s">
        <v>120</v>
      </c>
      <c r="B8" s="104"/>
      <c r="C8" s="274" t="n">
        <f aca="false">E7*A7</f>
        <v>4500</v>
      </c>
      <c r="D8" s="274"/>
      <c r="E8" s="20" t="s">
        <v>16</v>
      </c>
      <c r="F8" s="39"/>
      <c r="G8" s="270"/>
      <c r="H8" s="270"/>
      <c r="I8" s="270"/>
      <c r="J8" s="270"/>
      <c r="K8" s="116"/>
      <c r="L8" s="265"/>
      <c r="M8" s="154"/>
      <c r="N8" s="266"/>
      <c r="O8" s="266"/>
      <c r="P8" s="267"/>
      <c r="Q8" s="267"/>
      <c r="R8" s="268"/>
      <c r="S8" s="96"/>
      <c r="T8" s="262"/>
      <c r="U8" s="262"/>
    </row>
    <row r="9" customFormat="false" ht="26.25" hidden="false" customHeight="true" outlineLevel="0" collapsed="false">
      <c r="A9" s="11" t="s">
        <v>122</v>
      </c>
      <c r="B9" s="11"/>
      <c r="C9" s="275" t="n">
        <f aca="false">C8*D7</f>
        <v>4500</v>
      </c>
      <c r="D9" s="275"/>
      <c r="E9" s="389"/>
      <c r="F9" s="390"/>
      <c r="G9" s="270"/>
      <c r="H9" s="270"/>
      <c r="I9" s="270"/>
      <c r="J9" s="270"/>
      <c r="K9" s="116"/>
      <c r="L9" s="265"/>
      <c r="M9" s="154"/>
      <c r="N9" s="266"/>
      <c r="O9" s="266"/>
      <c r="P9" s="267"/>
      <c r="Q9" s="267"/>
      <c r="R9" s="268"/>
      <c r="S9" s="96"/>
      <c r="T9" s="262"/>
      <c r="U9" s="262"/>
    </row>
    <row r="10" customFormat="false" ht="25.5" hidden="false" customHeight="true" outlineLevel="0" collapsed="false">
      <c r="A10" s="5" t="s">
        <v>4</v>
      </c>
      <c r="B10" s="2" t="s">
        <v>26</v>
      </c>
      <c r="C10" s="2"/>
      <c r="D10" s="2"/>
      <c r="E10" s="2" t="s">
        <v>27</v>
      </c>
      <c r="F10" s="2" t="s">
        <v>28</v>
      </c>
      <c r="G10" s="2"/>
      <c r="H10" s="2" t="s">
        <v>29</v>
      </c>
      <c r="I10" s="2"/>
      <c r="J10" s="155" t="s">
        <v>30</v>
      </c>
      <c r="K10" s="116"/>
      <c r="L10" s="265"/>
      <c r="M10" s="154"/>
      <c r="N10" s="277"/>
      <c r="O10" s="277"/>
      <c r="P10" s="267"/>
      <c r="Q10" s="267"/>
      <c r="R10" s="268"/>
      <c r="S10" s="96"/>
      <c r="T10" s="262"/>
      <c r="U10" s="262"/>
    </row>
    <row r="11" customFormat="false" ht="25.5" hidden="false" customHeight="true" outlineLevel="0" collapsed="false">
      <c r="A11" s="67" t="s">
        <v>106</v>
      </c>
      <c r="B11" s="278" t="s">
        <v>123</v>
      </c>
      <c r="C11" s="278"/>
      <c r="D11" s="278"/>
      <c r="E11" s="15" t="n">
        <f aca="false">D7*2</f>
        <v>2</v>
      </c>
      <c r="F11" s="69" t="n">
        <f aca="false">B7+50</f>
        <v>4550</v>
      </c>
      <c r="G11" s="69"/>
      <c r="H11" s="72" t="s">
        <v>17</v>
      </c>
      <c r="I11" s="72"/>
      <c r="J11" s="72" t="s">
        <v>33</v>
      </c>
      <c r="K11" s="116"/>
      <c r="L11" s="265"/>
      <c r="M11" s="154"/>
      <c r="N11" s="266"/>
      <c r="O11" s="266"/>
      <c r="P11" s="267"/>
      <c r="Q11" s="267"/>
      <c r="R11" s="268"/>
      <c r="S11" s="96"/>
      <c r="T11" s="262"/>
      <c r="U11" s="262"/>
    </row>
    <row r="12" customFormat="false" ht="25.5" hidden="false" customHeight="true" outlineLevel="0" collapsed="false">
      <c r="A12" s="79" t="s">
        <v>106</v>
      </c>
      <c r="B12" s="279" t="s">
        <v>124</v>
      </c>
      <c r="C12" s="279"/>
      <c r="D12" s="279"/>
      <c r="E12" s="24" t="n">
        <f aca="false">D7*2</f>
        <v>2</v>
      </c>
      <c r="F12" s="97" t="n">
        <f aca="false">C7-15</f>
        <v>1985</v>
      </c>
      <c r="G12" s="97"/>
      <c r="H12" s="83" t="s">
        <v>18</v>
      </c>
      <c r="I12" s="83"/>
      <c r="J12" s="83" t="s">
        <v>33</v>
      </c>
      <c r="K12" s="116"/>
      <c r="L12" s="265"/>
      <c r="M12" s="154"/>
      <c r="N12" s="266"/>
      <c r="O12" s="266"/>
      <c r="P12" s="267"/>
      <c r="Q12" s="267"/>
      <c r="R12" s="268"/>
      <c r="S12" s="96"/>
      <c r="T12" s="262"/>
      <c r="U12" s="262"/>
    </row>
    <row r="13" customFormat="false" ht="25.5" hidden="false" customHeight="true" outlineLevel="0" collapsed="false">
      <c r="A13" s="79" t="s">
        <v>110</v>
      </c>
      <c r="B13" s="279" t="s">
        <v>125</v>
      </c>
      <c r="C13" s="279"/>
      <c r="D13" s="279"/>
      <c r="E13" s="24" t="n">
        <f aca="false">D7*1</f>
        <v>1</v>
      </c>
      <c r="F13" s="97" t="n">
        <f aca="false">F11*2</f>
        <v>9100</v>
      </c>
      <c r="G13" s="97"/>
      <c r="H13" s="83" t="s">
        <v>17</v>
      </c>
      <c r="I13" s="83"/>
      <c r="J13" s="83" t="s">
        <v>42</v>
      </c>
      <c r="K13" s="116"/>
      <c r="L13" s="265"/>
      <c r="M13" s="154"/>
      <c r="N13" s="266"/>
      <c r="O13" s="266"/>
      <c r="P13" s="267"/>
      <c r="Q13" s="267"/>
      <c r="R13" s="268"/>
      <c r="S13" s="96"/>
      <c r="T13" s="262"/>
      <c r="U13" s="262"/>
    </row>
    <row r="14" customFormat="false" ht="25.5" hidden="false" customHeight="true" outlineLevel="0" collapsed="false">
      <c r="A14" s="79" t="s">
        <v>112</v>
      </c>
      <c r="B14" s="279" t="s">
        <v>126</v>
      </c>
      <c r="C14" s="279"/>
      <c r="D14" s="279"/>
      <c r="E14" s="24" t="n">
        <f aca="false">D7*1</f>
        <v>1</v>
      </c>
      <c r="F14" s="24" t="n">
        <f aca="false">F12+60</f>
        <v>2045</v>
      </c>
      <c r="G14" s="24"/>
      <c r="H14" s="83" t="s">
        <v>18</v>
      </c>
      <c r="I14" s="83"/>
      <c r="J14" s="83" t="s">
        <v>42</v>
      </c>
      <c r="K14" s="116"/>
      <c r="L14" s="265"/>
      <c r="M14" s="154"/>
      <c r="N14" s="266"/>
      <c r="O14" s="266"/>
      <c r="P14" s="267"/>
      <c r="Q14" s="267"/>
      <c r="R14" s="268"/>
      <c r="S14" s="96"/>
      <c r="T14" s="262"/>
      <c r="U14" s="280"/>
    </row>
    <row r="15" customFormat="false" ht="25.5" hidden="false" customHeight="true" outlineLevel="0" collapsed="false">
      <c r="A15" s="79" t="s">
        <v>119</v>
      </c>
      <c r="B15" s="279" t="s">
        <v>127</v>
      </c>
      <c r="C15" s="279"/>
      <c r="D15" s="279"/>
      <c r="E15" s="24" t="n">
        <f aca="false">((F11-76)/150)*D7</f>
        <v>29.8266666666667</v>
      </c>
      <c r="F15" s="24" t="n">
        <f aca="false">F12-76</f>
        <v>1909</v>
      </c>
      <c r="G15" s="24"/>
      <c r="H15" s="83" t="s">
        <v>18</v>
      </c>
      <c r="I15" s="83"/>
      <c r="J15" s="83" t="s">
        <v>42</v>
      </c>
      <c r="K15" s="116"/>
      <c r="L15" s="281"/>
      <c r="M15" s="153"/>
      <c r="N15" s="266"/>
      <c r="O15" s="266"/>
      <c r="P15" s="282"/>
      <c r="Q15" s="282"/>
      <c r="R15" s="268"/>
      <c r="S15" s="96"/>
      <c r="T15" s="262"/>
      <c r="U15" s="280"/>
    </row>
    <row r="16" customFormat="false" ht="25.5" hidden="false" customHeight="true" outlineLevel="0" collapsed="false">
      <c r="A16" s="79"/>
      <c r="B16" s="279"/>
      <c r="C16" s="279"/>
      <c r="D16" s="279"/>
      <c r="E16" s="24"/>
      <c r="F16" s="24"/>
      <c r="G16" s="24"/>
      <c r="H16" s="83"/>
      <c r="I16" s="83"/>
      <c r="J16" s="83"/>
      <c r="K16" s="82"/>
      <c r="L16" s="281"/>
      <c r="M16" s="153"/>
      <c r="N16" s="266"/>
      <c r="O16" s="266"/>
      <c r="P16" s="282"/>
      <c r="Q16" s="282"/>
      <c r="R16" s="268"/>
      <c r="S16" s="96"/>
      <c r="T16" s="262"/>
      <c r="U16" s="280"/>
    </row>
    <row r="17" customFormat="false" ht="25.5" hidden="false" customHeight="true" outlineLevel="0" collapsed="false">
      <c r="A17" s="79"/>
      <c r="B17" s="279"/>
      <c r="C17" s="279"/>
      <c r="D17" s="279"/>
      <c r="E17" s="24"/>
      <c r="F17" s="24"/>
      <c r="G17" s="24"/>
      <c r="H17" s="83"/>
      <c r="I17" s="83"/>
      <c r="J17" s="83"/>
      <c r="K17" s="82"/>
      <c r="L17" s="281"/>
      <c r="M17" s="153"/>
      <c r="N17" s="266"/>
      <c r="O17" s="266"/>
      <c r="P17" s="282"/>
      <c r="Q17" s="282"/>
      <c r="R17" s="268"/>
      <c r="S17" s="96"/>
      <c r="T17" s="262"/>
      <c r="U17" s="280"/>
    </row>
    <row r="18" customFormat="false" ht="25.5" hidden="false" customHeight="true" outlineLevel="0" collapsed="false">
      <c r="A18" s="79"/>
      <c r="B18" s="279"/>
      <c r="C18" s="279"/>
      <c r="D18" s="279"/>
      <c r="E18" s="24"/>
      <c r="F18" s="24"/>
      <c r="G18" s="24"/>
      <c r="H18" s="83"/>
      <c r="I18" s="83"/>
      <c r="J18" s="83"/>
      <c r="K18" s="208"/>
      <c r="L18" s="281"/>
      <c r="M18" s="232"/>
      <c r="N18" s="268"/>
      <c r="O18" s="280"/>
      <c r="P18" s="40"/>
      <c r="Q18" s="40"/>
      <c r="R18" s="268"/>
      <c r="S18" s="96"/>
      <c r="T18" s="262"/>
      <c r="U18" s="280"/>
    </row>
    <row r="19" customFormat="false" ht="22.5" hidden="false" customHeight="true" outlineLevel="0" collapsed="false">
      <c r="A19" s="79"/>
      <c r="B19" s="279"/>
      <c r="C19" s="279"/>
      <c r="D19" s="279"/>
      <c r="E19" s="24"/>
      <c r="F19" s="24"/>
      <c r="G19" s="24"/>
      <c r="H19" s="83"/>
      <c r="I19" s="83"/>
      <c r="J19" s="83"/>
      <c r="K19" s="268"/>
      <c r="L19" s="283"/>
      <c r="M19" s="232"/>
      <c r="N19" s="268"/>
      <c r="O19" s="280"/>
      <c r="P19" s="40"/>
      <c r="Q19" s="40"/>
      <c r="R19" s="268"/>
      <c r="S19" s="96"/>
      <c r="T19" s="262"/>
      <c r="U19" s="280"/>
    </row>
    <row r="20" customFormat="false" ht="22.5" hidden="false" customHeight="true" outlineLevel="0" collapsed="false">
      <c r="A20" s="79"/>
      <c r="B20" s="279"/>
      <c r="C20" s="279"/>
      <c r="D20" s="279"/>
      <c r="E20" s="46"/>
      <c r="F20" s="24"/>
      <c r="G20" s="24"/>
      <c r="H20" s="83"/>
      <c r="I20" s="83"/>
      <c r="J20" s="83"/>
      <c r="K20" s="268"/>
      <c r="L20" s="283"/>
      <c r="M20" s="232"/>
      <c r="N20" s="268"/>
      <c r="O20" s="280"/>
      <c r="P20" s="40"/>
      <c r="Q20" s="40"/>
      <c r="R20" s="268"/>
      <c r="S20" s="96"/>
      <c r="T20" s="262"/>
      <c r="U20" s="280"/>
    </row>
    <row r="21" customFormat="false" ht="21" hidden="false" customHeight="true" outlineLevel="0" collapsed="false">
      <c r="A21" s="79"/>
      <c r="B21" s="80"/>
      <c r="C21" s="80"/>
      <c r="D21" s="80"/>
      <c r="E21" s="46"/>
      <c r="F21" s="24"/>
      <c r="G21" s="24"/>
      <c r="H21" s="28"/>
      <c r="I21" s="28"/>
      <c r="J21" s="83"/>
      <c r="K21" s="268"/>
      <c r="L21" s="283"/>
      <c r="M21" s="232"/>
      <c r="N21" s="268"/>
      <c r="O21" s="280"/>
      <c r="P21" s="40"/>
      <c r="Q21" s="40"/>
      <c r="R21" s="268"/>
      <c r="S21" s="96"/>
      <c r="T21" s="262"/>
      <c r="U21" s="280"/>
    </row>
    <row r="22" customFormat="false" ht="26.25" hidden="false" customHeight="true" outlineLevel="0" collapsed="false">
      <c r="A22" s="79"/>
      <c r="B22" s="80"/>
      <c r="C22" s="80"/>
      <c r="D22" s="80"/>
      <c r="E22" s="46"/>
      <c r="F22" s="24"/>
      <c r="G22" s="24"/>
      <c r="H22" s="83"/>
      <c r="I22" s="83"/>
      <c r="J22" s="83"/>
      <c r="K22" s="268"/>
      <c r="L22" s="283"/>
      <c r="M22" s="232"/>
      <c r="N22" s="268"/>
      <c r="O22" s="280"/>
      <c r="P22" s="40"/>
      <c r="Q22" s="40"/>
      <c r="R22" s="268"/>
      <c r="S22" s="96"/>
      <c r="T22" s="262"/>
      <c r="U22" s="280"/>
    </row>
    <row r="23" customFormat="false" ht="26.25" hidden="false" customHeight="true" outlineLevel="0" collapsed="false">
      <c r="A23" s="79"/>
      <c r="B23" s="80"/>
      <c r="C23" s="80"/>
      <c r="D23" s="80"/>
      <c r="E23" s="46"/>
      <c r="F23" s="97"/>
      <c r="G23" s="97"/>
      <c r="H23" s="83"/>
      <c r="I23" s="83"/>
      <c r="J23" s="83"/>
      <c r="K23" s="284"/>
      <c r="L23" s="283"/>
      <c r="M23" s="232"/>
      <c r="N23" s="284"/>
      <c r="O23" s="280"/>
      <c r="P23" s="40"/>
      <c r="Q23" s="40"/>
      <c r="R23" s="268"/>
      <c r="S23" s="96"/>
      <c r="T23" s="262"/>
      <c r="U23" s="280"/>
    </row>
    <row r="24" customFormat="false" ht="26.25" hidden="false" customHeight="true" outlineLevel="0" collapsed="false">
      <c r="A24" s="79"/>
      <c r="B24" s="80"/>
      <c r="C24" s="80"/>
      <c r="D24" s="80"/>
      <c r="E24" s="46"/>
      <c r="F24" s="24"/>
      <c r="G24" s="24"/>
      <c r="H24" s="83"/>
      <c r="I24" s="83"/>
      <c r="J24" s="83"/>
      <c r="K24" s="285"/>
      <c r="L24" s="286"/>
      <c r="M24" s="287"/>
      <c r="N24" s="285"/>
      <c r="O24" s="288"/>
      <c r="P24" s="57"/>
      <c r="Q24" s="57"/>
      <c r="R24" s="289"/>
      <c r="S24" s="290"/>
      <c r="T24" s="291"/>
      <c r="U24" s="288"/>
    </row>
    <row r="25" customFormat="false" ht="26.25" hidden="false" customHeight="true" outlineLevel="0" collapsed="false">
      <c r="A25" s="79"/>
      <c r="B25" s="80"/>
      <c r="C25" s="80"/>
      <c r="D25" s="80"/>
      <c r="E25" s="46"/>
      <c r="F25" s="97"/>
      <c r="G25" s="97"/>
      <c r="H25" s="83"/>
      <c r="I25" s="83"/>
      <c r="J25" s="83"/>
      <c r="Q25" s="84" t="n">
        <f aca="false">U25*K33</f>
        <v>1970.68837513333</v>
      </c>
      <c r="R25" s="84"/>
      <c r="S25" s="73" t="s">
        <v>130</v>
      </c>
      <c r="T25" s="73"/>
      <c r="U25" s="292" t="n">
        <f aca="false">SUM(T3:T24)</f>
        <v>56.3053821466667</v>
      </c>
    </row>
    <row r="26" customFormat="false" ht="26.25" hidden="false" customHeight="true" outlineLevel="0" collapsed="false">
      <c r="A26" s="79"/>
      <c r="B26" s="293"/>
      <c r="C26" s="293"/>
      <c r="D26" s="293"/>
      <c r="E26" s="46"/>
      <c r="F26" s="97"/>
      <c r="G26" s="97"/>
      <c r="H26" s="120"/>
      <c r="I26" s="120"/>
      <c r="J26" s="83"/>
      <c r="Q26" s="266" t="n">
        <f aca="false">U26*K33</f>
        <v>2295.09</v>
      </c>
      <c r="R26" s="266"/>
      <c r="S26" s="73" t="s">
        <v>131</v>
      </c>
      <c r="T26" s="73"/>
      <c r="U26" s="294" t="n">
        <f aca="false">SUM(U3:U24)</f>
        <v>65.574</v>
      </c>
    </row>
    <row r="27" customFormat="false" ht="17.25" hidden="false" customHeight="true" outlineLevel="0" collapsed="false">
      <c r="A27" s="47"/>
      <c r="B27" s="52"/>
      <c r="D27" s="23"/>
      <c r="E27" s="47"/>
      <c r="F27" s="240"/>
      <c r="G27" s="295"/>
      <c r="H27" s="52"/>
      <c r="I27" s="23"/>
      <c r="J27" s="47"/>
      <c r="Q27" s="84" t="n">
        <f aca="false">U27*K33</f>
        <v>324.401624866667</v>
      </c>
      <c r="R27" s="84"/>
      <c r="S27" s="73" t="s">
        <v>132</v>
      </c>
      <c r="T27" s="73"/>
      <c r="U27" s="292" t="n">
        <f aca="false">U26-U25</f>
        <v>9.26861785333333</v>
      </c>
    </row>
    <row r="28" customFormat="false" ht="17.25" hidden="false" customHeight="true" outlineLevel="0" collapsed="false">
      <c r="A28" s="47"/>
      <c r="B28" s="52"/>
      <c r="D28" s="23"/>
      <c r="E28" s="47"/>
      <c r="F28" s="240"/>
      <c r="G28" s="295"/>
      <c r="H28" s="52"/>
      <c r="I28" s="23"/>
      <c r="J28" s="47"/>
      <c r="S28" s="296"/>
      <c r="T28" s="296"/>
      <c r="U28" s="296"/>
    </row>
    <row r="29" customFormat="false" ht="17.25" hidden="false" customHeight="true" outlineLevel="0" collapsed="false">
      <c r="A29" s="47"/>
      <c r="B29" s="52"/>
      <c r="D29" s="23"/>
      <c r="E29" s="47"/>
      <c r="F29" s="240"/>
      <c r="G29" s="295"/>
      <c r="H29" s="52"/>
      <c r="I29" s="23"/>
      <c r="J29" s="47"/>
    </row>
    <row r="30" customFormat="false" ht="17.25" hidden="false" customHeight="true" outlineLevel="0" collapsed="false">
      <c r="A30" s="47"/>
      <c r="B30" s="52"/>
      <c r="D30" s="23"/>
      <c r="E30" s="47"/>
      <c r="F30" s="240"/>
      <c r="G30" s="295"/>
      <c r="H30" s="52"/>
      <c r="I30" s="23"/>
      <c r="J30" s="47"/>
    </row>
    <row r="31" customFormat="false" ht="17.25" hidden="false" customHeight="true" outlineLevel="0" collapsed="false">
      <c r="A31" s="47"/>
      <c r="B31" s="52"/>
      <c r="D31" s="23"/>
      <c r="E31" s="47"/>
      <c r="F31" s="240"/>
      <c r="G31" s="295"/>
      <c r="H31" s="52"/>
      <c r="I31" s="23"/>
      <c r="J31" s="47"/>
    </row>
    <row r="32" customFormat="false" ht="17.25" hidden="false" customHeight="true" outlineLevel="0" collapsed="false">
      <c r="A32" s="47"/>
      <c r="B32" s="52"/>
      <c r="D32" s="23"/>
      <c r="E32" s="47"/>
      <c r="F32" s="240"/>
      <c r="G32" s="295"/>
      <c r="H32" s="52"/>
      <c r="I32" s="23"/>
      <c r="J32" s="47"/>
      <c r="K32" s="297" t="s">
        <v>133</v>
      </c>
      <c r="L32" s="298" t="s">
        <v>134</v>
      </c>
      <c r="M32" s="299" t="s">
        <v>135</v>
      </c>
      <c r="N32" s="299"/>
      <c r="O32" s="4" t="s">
        <v>136</v>
      </c>
      <c r="P32" s="4"/>
      <c r="Q32" s="4"/>
      <c r="R32" s="4"/>
    </row>
    <row r="33" customFormat="false" ht="15.75" hidden="false" customHeight="true" outlineLevel="0" collapsed="false">
      <c r="A33" s="64"/>
      <c r="B33" s="139"/>
      <c r="C33" s="203"/>
      <c r="D33" s="140"/>
      <c r="E33" s="64"/>
      <c r="F33" s="300"/>
      <c r="G33" s="101"/>
      <c r="H33" s="139"/>
      <c r="I33" s="140"/>
      <c r="J33" s="64"/>
      <c r="K33" s="301" t="n">
        <v>35</v>
      </c>
      <c r="L33" s="301" t="n">
        <v>60</v>
      </c>
      <c r="M33" s="302" t="n">
        <f aca="false">U25*L33+J55</f>
        <v>3485.28826213333</v>
      </c>
      <c r="N33" s="302"/>
      <c r="O33" s="303" t="n">
        <v>0</v>
      </c>
      <c r="P33" s="85" t="n">
        <f aca="false">Q25*O33+Q25+J55</f>
        <v>2077.65370846667</v>
      </c>
      <c r="Q33" s="85"/>
      <c r="R33" s="85"/>
    </row>
    <row r="34" customFormat="false" ht="22.5" hidden="false" customHeight="true" outlineLevel="0" collapsed="false">
      <c r="A34" s="304" t="s">
        <v>35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5"/>
      <c r="L34" s="305"/>
      <c r="M34" s="305"/>
      <c r="N34" s="305"/>
      <c r="O34" s="306" t="s">
        <v>137</v>
      </c>
      <c r="P34" s="306"/>
      <c r="Q34" s="306"/>
      <c r="R34" s="306"/>
      <c r="S34" s="306"/>
      <c r="T34" s="306"/>
      <c r="U34" s="306"/>
    </row>
    <row r="35" customFormat="false" ht="15" hidden="false" customHeight="true" outlineLevel="0" collapsed="false">
      <c r="A35" s="307" t="s">
        <v>51</v>
      </c>
      <c r="B35" s="308" t="s">
        <v>26</v>
      </c>
      <c r="C35" s="308"/>
      <c r="D35" s="308"/>
      <c r="E35" s="308"/>
      <c r="F35" s="304" t="s">
        <v>138</v>
      </c>
      <c r="G35" s="304"/>
      <c r="H35" s="309" t="s">
        <v>5</v>
      </c>
      <c r="I35" s="310" t="s">
        <v>139</v>
      </c>
      <c r="J35" s="311" t="s">
        <v>140</v>
      </c>
      <c r="K35" s="305"/>
      <c r="L35" s="305"/>
      <c r="M35" s="305"/>
      <c r="N35" s="305"/>
      <c r="O35" s="312" t="s">
        <v>141</v>
      </c>
      <c r="P35" s="312"/>
      <c r="Q35" s="312"/>
      <c r="R35" s="312"/>
      <c r="S35" s="312"/>
      <c r="T35" s="312"/>
      <c r="U35" s="312"/>
    </row>
    <row r="36" customFormat="false" ht="21.75" hidden="false" customHeight="true" outlineLevel="0" collapsed="false">
      <c r="A36" s="313" t="s">
        <v>142</v>
      </c>
      <c r="B36" s="314" t="s">
        <v>143</v>
      </c>
      <c r="C36" s="314"/>
      <c r="D36" s="314"/>
      <c r="E36" s="314"/>
      <c r="F36" s="315" t="s">
        <v>64</v>
      </c>
      <c r="G36" s="315"/>
      <c r="H36" s="316" t="n">
        <f aca="false">D7*2</f>
        <v>2</v>
      </c>
      <c r="I36" s="317" t="n">
        <v>18</v>
      </c>
      <c r="J36" s="318" t="n">
        <f aca="false">I36*H36</f>
        <v>36</v>
      </c>
      <c r="K36" s="305"/>
      <c r="L36" s="305"/>
      <c r="M36" s="305"/>
      <c r="N36" s="305"/>
      <c r="O36" s="312" t="s">
        <v>144</v>
      </c>
      <c r="P36" s="312"/>
      <c r="Q36" s="312"/>
      <c r="R36" s="312"/>
      <c r="S36" s="312"/>
      <c r="T36" s="312"/>
      <c r="U36" s="312"/>
    </row>
    <row r="37" customFormat="false" ht="21.75" hidden="false" customHeight="true" outlineLevel="0" collapsed="false">
      <c r="A37" s="319" t="s">
        <v>145</v>
      </c>
      <c r="B37" s="320" t="s">
        <v>146</v>
      </c>
      <c r="C37" s="320"/>
      <c r="D37" s="320"/>
      <c r="E37" s="320"/>
      <c r="F37" s="321" t="s">
        <v>64</v>
      </c>
      <c r="G37" s="321"/>
      <c r="H37" s="82" t="n">
        <f aca="false">D7*2</f>
        <v>2</v>
      </c>
      <c r="I37" s="322" t="n">
        <v>5</v>
      </c>
      <c r="J37" s="323" t="n">
        <f aca="false">I37*H37</f>
        <v>10</v>
      </c>
      <c r="K37" s="305"/>
      <c r="L37" s="305"/>
      <c r="M37" s="305"/>
      <c r="N37" s="305"/>
      <c r="O37" s="324"/>
      <c r="P37" s="324"/>
      <c r="Q37" s="324"/>
      <c r="R37" s="324"/>
      <c r="S37" s="324"/>
      <c r="T37" s="325"/>
      <c r="U37" s="326" t="s">
        <v>147</v>
      </c>
    </row>
    <row r="38" customFormat="false" ht="21.75" hidden="false" customHeight="true" outlineLevel="0" collapsed="false">
      <c r="A38" s="319" t="s">
        <v>148</v>
      </c>
      <c r="B38" s="320" t="s">
        <v>149</v>
      </c>
      <c r="C38" s="320"/>
      <c r="D38" s="320"/>
      <c r="E38" s="320"/>
      <c r="F38" s="321" t="s">
        <v>64</v>
      </c>
      <c r="G38" s="321"/>
      <c r="H38" s="327" t="n">
        <f aca="false">D7*1</f>
        <v>1</v>
      </c>
      <c r="I38" s="322" t="n">
        <v>50</v>
      </c>
      <c r="J38" s="323" t="n">
        <f aca="false">I38*H38</f>
        <v>50</v>
      </c>
      <c r="K38" s="89"/>
      <c r="L38" s="89"/>
      <c r="O38" s="328"/>
      <c r="P38" s="328"/>
      <c r="Q38" s="328"/>
      <c r="R38" s="328"/>
      <c r="S38" s="328"/>
      <c r="T38" s="329"/>
      <c r="U38" s="330" t="s">
        <v>150</v>
      </c>
    </row>
    <row r="39" customFormat="false" ht="21.75" hidden="false" customHeight="true" outlineLevel="0" collapsed="false">
      <c r="A39" s="319" t="s">
        <v>151</v>
      </c>
      <c r="B39" s="320" t="s">
        <v>152</v>
      </c>
      <c r="C39" s="320"/>
      <c r="D39" s="320"/>
      <c r="E39" s="320"/>
      <c r="F39" s="321" t="s">
        <v>64</v>
      </c>
      <c r="G39" s="321"/>
      <c r="H39" s="327" t="n">
        <f aca="false">((D7*50)+(E15*2))</f>
        <v>109.653333333333</v>
      </c>
      <c r="I39" s="322" t="n">
        <v>0.1</v>
      </c>
      <c r="J39" s="323" t="n">
        <f aca="false">I39*H39</f>
        <v>10.9653333333333</v>
      </c>
      <c r="K39" s="331"/>
      <c r="L39" s="331"/>
      <c r="U39" s="328" t="s">
        <v>153</v>
      </c>
    </row>
    <row r="40" customFormat="false" ht="21.75" hidden="false" customHeight="true" outlineLevel="0" collapsed="false">
      <c r="A40" s="319"/>
      <c r="B40" s="320"/>
      <c r="C40" s="320"/>
      <c r="D40" s="320"/>
      <c r="E40" s="320"/>
      <c r="F40" s="321"/>
      <c r="G40" s="321"/>
      <c r="H40" s="332"/>
      <c r="I40" s="322"/>
      <c r="J40" s="323"/>
      <c r="K40" s="333"/>
      <c r="L40" s="333"/>
      <c r="M40" s="109"/>
      <c r="N40" s="109"/>
      <c r="S40" s="93"/>
      <c r="T40" s="93"/>
      <c r="U40" s="334" t="s">
        <v>154</v>
      </c>
    </row>
    <row r="41" customFormat="false" ht="21.75" hidden="false" customHeight="true" outlineLevel="0" collapsed="false">
      <c r="A41" s="319"/>
      <c r="B41" s="335"/>
      <c r="C41" s="336"/>
      <c r="D41" s="336"/>
      <c r="E41" s="336"/>
      <c r="F41" s="335"/>
      <c r="G41" s="337"/>
      <c r="H41" s="268"/>
      <c r="I41" s="338"/>
      <c r="J41" s="338"/>
      <c r="K41" s="339" t="str">
        <f aca="false">A1</f>
        <v>PORTÃO DE CORRER/BÚZIOS/VÃO LIVRE SEM SOCIAL</v>
      </c>
      <c r="L41" s="339"/>
      <c r="M41" s="339"/>
      <c r="N41" s="339"/>
      <c r="O41" s="339"/>
      <c r="P41" s="339"/>
      <c r="Q41" s="339"/>
      <c r="R41" s="339"/>
      <c r="S41" s="339"/>
      <c r="T41" s="339"/>
      <c r="U41" s="339"/>
    </row>
    <row r="42" customFormat="false" ht="21.75" hidden="false" customHeight="true" outlineLevel="0" collapsed="false">
      <c r="A42" s="319"/>
      <c r="B42" s="335"/>
      <c r="C42" s="336"/>
      <c r="D42" s="336"/>
      <c r="E42" s="336"/>
      <c r="F42" s="335"/>
      <c r="G42" s="337"/>
      <c r="H42" s="268"/>
      <c r="I42" s="338"/>
      <c r="J42" s="338"/>
      <c r="K42" s="340" t="s">
        <v>155</v>
      </c>
      <c r="L42" s="341" t="str">
        <f aca="false">B2</f>
        <v>Francisco Gleison</v>
      </c>
      <c r="M42" s="341"/>
      <c r="N42" s="341"/>
      <c r="O42" s="341"/>
      <c r="P42" s="341"/>
      <c r="Q42" s="342" t="s">
        <v>156</v>
      </c>
      <c r="R42" s="343"/>
      <c r="S42" s="343"/>
      <c r="T42" s="343"/>
      <c r="U42" s="343"/>
    </row>
    <row r="43" customFormat="false" ht="21.75" hidden="false" customHeight="true" outlineLevel="0" collapsed="false">
      <c r="A43" s="319"/>
      <c r="B43" s="335"/>
      <c r="C43" s="336"/>
      <c r="D43" s="336"/>
      <c r="E43" s="336"/>
      <c r="F43" s="335"/>
      <c r="G43" s="337"/>
      <c r="H43" s="268"/>
      <c r="I43" s="344"/>
      <c r="J43" s="344"/>
      <c r="K43" s="345" t="s">
        <v>157</v>
      </c>
      <c r="L43" s="346"/>
      <c r="M43" s="346"/>
      <c r="N43" s="347" t="s">
        <v>158</v>
      </c>
      <c r="O43" s="348"/>
      <c r="P43" s="348"/>
      <c r="Q43" s="345" t="s">
        <v>159</v>
      </c>
      <c r="R43" s="349"/>
      <c r="S43" s="349"/>
      <c r="T43" s="349"/>
      <c r="U43" s="349"/>
    </row>
    <row r="44" customFormat="false" ht="21.75" hidden="false" customHeight="true" outlineLevel="0" collapsed="false">
      <c r="A44" s="319"/>
      <c r="B44" s="335"/>
      <c r="C44" s="336"/>
      <c r="D44" s="336"/>
      <c r="E44" s="336"/>
      <c r="F44" s="335"/>
      <c r="G44" s="337"/>
      <c r="H44" s="268"/>
      <c r="I44" s="344"/>
      <c r="J44" s="344"/>
      <c r="K44" s="350" t="s">
        <v>160</v>
      </c>
      <c r="L44" s="351" t="str">
        <f aca="false">F5</f>
        <v>BRANCO</v>
      </c>
      <c r="M44" s="351"/>
      <c r="N44" s="351"/>
      <c r="O44" s="351"/>
      <c r="P44" s="352" t="s">
        <v>161</v>
      </c>
      <c r="Q44" s="353"/>
      <c r="R44" s="353"/>
      <c r="S44" s="353"/>
      <c r="T44" s="353"/>
      <c r="U44" s="353"/>
    </row>
    <row r="45" customFormat="false" ht="21.75" hidden="false" customHeight="true" outlineLevel="0" collapsed="false">
      <c r="A45" s="319"/>
      <c r="B45" s="335"/>
      <c r="C45" s="336"/>
      <c r="D45" s="336"/>
      <c r="E45" s="336"/>
      <c r="F45" s="335"/>
      <c r="G45" s="337"/>
      <c r="H45" s="268"/>
      <c r="I45" s="344"/>
      <c r="J45" s="344"/>
      <c r="K45" s="350" t="s">
        <v>162</v>
      </c>
      <c r="L45" s="354"/>
      <c r="M45" s="354"/>
      <c r="N45" s="354"/>
      <c r="O45" s="354"/>
      <c r="P45" s="355"/>
      <c r="Q45" s="124"/>
      <c r="R45" s="124"/>
      <c r="S45" s="124"/>
      <c r="T45" s="124"/>
      <c r="U45" s="356"/>
    </row>
    <row r="46" customFormat="false" ht="21.75" hidden="false" customHeight="true" outlineLevel="0" collapsed="false">
      <c r="A46" s="319"/>
      <c r="B46" s="208"/>
      <c r="C46" s="296"/>
      <c r="D46" s="296"/>
      <c r="E46" s="296"/>
      <c r="F46" s="208"/>
      <c r="G46" s="357"/>
      <c r="H46" s="268"/>
      <c r="I46" s="344"/>
      <c r="J46" s="344"/>
      <c r="K46" s="358"/>
      <c r="L46" s="93"/>
      <c r="M46" s="93"/>
      <c r="N46" s="93"/>
      <c r="O46" s="93"/>
      <c r="P46" s="355"/>
      <c r="Q46" s="124"/>
      <c r="R46" s="124"/>
      <c r="S46" s="124"/>
      <c r="T46" s="124"/>
      <c r="U46" s="356"/>
    </row>
    <row r="47" customFormat="false" ht="21.75" hidden="false" customHeight="true" outlineLevel="0" collapsed="false">
      <c r="A47" s="319"/>
      <c r="B47" s="208"/>
      <c r="C47" s="296"/>
      <c r="D47" s="296"/>
      <c r="E47" s="296"/>
      <c r="F47" s="208"/>
      <c r="G47" s="357"/>
      <c r="H47" s="268"/>
      <c r="I47" s="338"/>
      <c r="J47" s="338"/>
      <c r="K47" s="359" t="s">
        <v>6</v>
      </c>
      <c r="L47" s="360"/>
      <c r="M47" s="361" t="s">
        <v>163</v>
      </c>
      <c r="N47" s="362"/>
      <c r="O47" s="362"/>
      <c r="P47" s="355"/>
      <c r="Q47" s="124"/>
      <c r="R47" s="124"/>
      <c r="S47" s="124"/>
      <c r="T47" s="124"/>
      <c r="U47" s="356"/>
    </row>
    <row r="48" customFormat="false" ht="21.75" hidden="false" customHeight="true" outlineLevel="0" collapsed="false">
      <c r="A48" s="128"/>
      <c r="B48" s="52"/>
      <c r="F48" s="52"/>
      <c r="G48" s="23"/>
      <c r="H48" s="27"/>
      <c r="I48" s="363"/>
      <c r="J48" s="363"/>
      <c r="K48" s="359" t="s">
        <v>7</v>
      </c>
      <c r="L48" s="360"/>
      <c r="M48" s="361" t="s">
        <v>163</v>
      </c>
      <c r="N48" s="362"/>
      <c r="O48" s="362"/>
      <c r="P48" s="355"/>
      <c r="Q48" s="124"/>
      <c r="R48" s="124"/>
      <c r="S48" s="124"/>
      <c r="T48" s="124"/>
      <c r="U48" s="356"/>
    </row>
    <row r="49" customFormat="false" ht="21.75" hidden="false" customHeight="true" outlineLevel="0" collapsed="false">
      <c r="A49" s="128"/>
      <c r="B49" s="208"/>
      <c r="C49" s="296"/>
      <c r="D49" s="296"/>
      <c r="E49" s="296"/>
      <c r="F49" s="208"/>
      <c r="G49" s="357"/>
      <c r="H49" s="268"/>
      <c r="I49" s="344"/>
      <c r="J49" s="344"/>
      <c r="K49" s="364"/>
      <c r="L49" s="365"/>
      <c r="M49" s="365"/>
      <c r="N49" s="365"/>
      <c r="O49" s="365"/>
      <c r="P49" s="366"/>
      <c r="Q49" s="367"/>
      <c r="R49" s="367"/>
      <c r="S49" s="367"/>
      <c r="T49" s="367"/>
      <c r="U49" s="368"/>
    </row>
    <row r="50" customFormat="false" ht="21.75" hidden="false" customHeight="true" outlineLevel="0" collapsed="false">
      <c r="A50" s="128"/>
      <c r="B50" s="208"/>
      <c r="C50" s="296"/>
      <c r="D50" s="296"/>
      <c r="E50" s="296"/>
      <c r="F50" s="208"/>
      <c r="G50" s="357"/>
      <c r="H50" s="268"/>
      <c r="I50" s="369"/>
      <c r="J50" s="369"/>
      <c r="K50" s="370" t="s">
        <v>164</v>
      </c>
      <c r="L50" s="371"/>
      <c r="M50" s="371"/>
      <c r="N50" s="372" t="s">
        <v>165</v>
      </c>
      <c r="O50" s="372"/>
      <c r="P50" s="372"/>
      <c r="Q50" s="372"/>
      <c r="R50" s="372"/>
      <c r="S50" s="372"/>
      <c r="T50" s="372"/>
      <c r="U50" s="372"/>
    </row>
    <row r="51" customFormat="false" ht="21.75" hidden="false" customHeight="true" outlineLevel="0" collapsed="false">
      <c r="A51" s="128"/>
      <c r="B51" s="208"/>
      <c r="C51" s="296"/>
      <c r="D51" s="296"/>
      <c r="E51" s="296"/>
      <c r="F51" s="208"/>
      <c r="G51" s="357"/>
      <c r="H51" s="268"/>
      <c r="I51" s="47"/>
      <c r="J51" s="47"/>
      <c r="K51" s="370" t="s">
        <v>166</v>
      </c>
      <c r="L51" s="371"/>
      <c r="M51" s="373" t="s">
        <v>167</v>
      </c>
      <c r="N51" s="373"/>
      <c r="O51" s="374" t="s">
        <v>168</v>
      </c>
      <c r="P51" s="374"/>
      <c r="Q51" s="373" t="s">
        <v>169</v>
      </c>
      <c r="R51" s="373"/>
      <c r="S51" s="375" t="s">
        <v>170</v>
      </c>
      <c r="T51" s="376" t="n">
        <f aca="false">SUM(N47:O48)</f>
        <v>0</v>
      </c>
      <c r="U51" s="376"/>
    </row>
    <row r="52" customFormat="false" ht="21.75" hidden="false" customHeight="true" outlineLevel="0" collapsed="false">
      <c r="A52" s="128"/>
      <c r="B52" s="208"/>
      <c r="C52" s="296"/>
      <c r="D52" s="296"/>
      <c r="E52" s="296"/>
      <c r="F52" s="208"/>
      <c r="G52" s="357"/>
      <c r="H52" s="268"/>
      <c r="I52" s="47"/>
      <c r="J52" s="47"/>
      <c r="K52" s="377"/>
      <c r="L52" s="377"/>
      <c r="M52" s="377"/>
      <c r="N52" s="377"/>
      <c r="O52" s="377"/>
      <c r="P52" s="377"/>
      <c r="Q52" s="377"/>
      <c r="R52" s="377"/>
      <c r="S52" s="377"/>
      <c r="T52" s="377"/>
      <c r="U52" s="377"/>
    </row>
    <row r="53" customFormat="false" ht="21.75" hidden="false" customHeight="true" outlineLevel="0" collapsed="false">
      <c r="A53" s="128"/>
      <c r="B53" s="208"/>
      <c r="C53" s="296"/>
      <c r="D53" s="296"/>
      <c r="E53" s="296"/>
      <c r="F53" s="208"/>
      <c r="G53" s="357"/>
      <c r="H53" s="268"/>
      <c r="I53" s="369"/>
      <c r="J53" s="369"/>
      <c r="K53" s="377"/>
      <c r="L53" s="377"/>
      <c r="M53" s="377"/>
      <c r="N53" s="377"/>
      <c r="O53" s="377"/>
      <c r="P53" s="377"/>
      <c r="Q53" s="378" t="s">
        <v>171</v>
      </c>
      <c r="R53" s="378"/>
      <c r="S53" s="378"/>
      <c r="T53" s="378"/>
      <c r="U53" s="378"/>
    </row>
    <row r="54" customFormat="false" ht="21.75" hidden="false" customHeight="true" outlineLevel="0" collapsed="false">
      <c r="A54" s="379"/>
      <c r="B54" s="380"/>
      <c r="C54" s="381"/>
      <c r="D54" s="381"/>
      <c r="E54" s="381"/>
      <c r="F54" s="380"/>
      <c r="G54" s="382"/>
      <c r="H54" s="289"/>
      <c r="I54" s="383"/>
      <c r="J54" s="383"/>
      <c r="K54" s="377"/>
      <c r="L54" s="377"/>
      <c r="M54" s="377"/>
      <c r="N54" s="377"/>
      <c r="O54" s="377"/>
      <c r="P54" s="377"/>
      <c r="Q54" s="333" t="s">
        <v>172</v>
      </c>
      <c r="R54" s="333"/>
      <c r="S54" s="333"/>
      <c r="T54" s="333"/>
      <c r="U54" s="333"/>
    </row>
    <row r="55" customFormat="false" ht="21.75" hidden="false" customHeight="true" outlineLevel="0" collapsed="false">
      <c r="I55" s="384" t="s">
        <v>173</v>
      </c>
      <c r="J55" s="385" t="n">
        <f aca="false">SUM(J36:J54)</f>
        <v>106.965333333333</v>
      </c>
    </row>
    <row r="56" customFormat="false" ht="15" hidden="false" customHeight="false" outlineLevel="0" collapsed="false">
      <c r="K56" s="386" t="str">
        <f aca="false">O34</f>
        <v>NOME DE SUA EMPRESA</v>
      </c>
      <c r="L56" s="386"/>
      <c r="M56" s="386"/>
      <c r="N56" s="386"/>
      <c r="O56" s="386"/>
      <c r="P56" s="386"/>
    </row>
    <row r="64" customFormat="false" ht="15" hidden="false" customHeight="false" outlineLevel="0" collapsed="false">
      <c r="C64" s="1" t="s">
        <v>23</v>
      </c>
    </row>
  </sheetData>
  <mergeCells count="158">
    <mergeCell ref="A1:G1"/>
    <mergeCell ref="H1:J5"/>
    <mergeCell ref="K1:U1"/>
    <mergeCell ref="B2:G2"/>
    <mergeCell ref="K2:L2"/>
    <mergeCell ref="N2:O2"/>
    <mergeCell ref="P2:Q2"/>
    <mergeCell ref="B3:G3"/>
    <mergeCell ref="N3:O3"/>
    <mergeCell ref="P3:Q3"/>
    <mergeCell ref="B4:C4"/>
    <mergeCell ref="D4:E4"/>
    <mergeCell ref="F4:G4"/>
    <mergeCell ref="N4:O4"/>
    <mergeCell ref="P4:Q4"/>
    <mergeCell ref="B5:C5"/>
    <mergeCell ref="D5:E5"/>
    <mergeCell ref="F5:G5"/>
    <mergeCell ref="N5:O5"/>
    <mergeCell ref="P5:Q5"/>
    <mergeCell ref="E6:F6"/>
    <mergeCell ref="G6:J9"/>
    <mergeCell ref="N6:O6"/>
    <mergeCell ref="P6:Q6"/>
    <mergeCell ref="E7:F7"/>
    <mergeCell ref="N7:O7"/>
    <mergeCell ref="P7:Q7"/>
    <mergeCell ref="A8:B8"/>
    <mergeCell ref="C8:D8"/>
    <mergeCell ref="N8:O8"/>
    <mergeCell ref="P8:Q8"/>
    <mergeCell ref="A9:B9"/>
    <mergeCell ref="C9:D9"/>
    <mergeCell ref="N9:O9"/>
    <mergeCell ref="P9:Q9"/>
    <mergeCell ref="B10:D10"/>
    <mergeCell ref="F10:G10"/>
    <mergeCell ref="H10:I10"/>
    <mergeCell ref="N10:O10"/>
    <mergeCell ref="P10:Q10"/>
    <mergeCell ref="B11:D11"/>
    <mergeCell ref="F11:G11"/>
    <mergeCell ref="H11:I11"/>
    <mergeCell ref="N11:O11"/>
    <mergeCell ref="P11:Q11"/>
    <mergeCell ref="B12:D12"/>
    <mergeCell ref="F12:G12"/>
    <mergeCell ref="H12:I12"/>
    <mergeCell ref="N12:O12"/>
    <mergeCell ref="P12:Q12"/>
    <mergeCell ref="B13:D13"/>
    <mergeCell ref="F13:G13"/>
    <mergeCell ref="H13:I13"/>
    <mergeCell ref="N13:O13"/>
    <mergeCell ref="P13:Q13"/>
    <mergeCell ref="B14:D14"/>
    <mergeCell ref="F14:G14"/>
    <mergeCell ref="H14:I14"/>
    <mergeCell ref="N14:O14"/>
    <mergeCell ref="P14:Q14"/>
    <mergeCell ref="B15:D15"/>
    <mergeCell ref="F15:G15"/>
    <mergeCell ref="H15:I15"/>
    <mergeCell ref="N15:O15"/>
    <mergeCell ref="P15:Q15"/>
    <mergeCell ref="B16:D16"/>
    <mergeCell ref="F16:G16"/>
    <mergeCell ref="H16:I16"/>
    <mergeCell ref="N16:O16"/>
    <mergeCell ref="P16:Q16"/>
    <mergeCell ref="B17:D17"/>
    <mergeCell ref="F17:G17"/>
    <mergeCell ref="H17:I17"/>
    <mergeCell ref="N17:O17"/>
    <mergeCell ref="P17:Q17"/>
    <mergeCell ref="B18:D18"/>
    <mergeCell ref="F18:G18"/>
    <mergeCell ref="H18:I18"/>
    <mergeCell ref="P18:Q18"/>
    <mergeCell ref="B19:D19"/>
    <mergeCell ref="F19:G19"/>
    <mergeCell ref="H19:I19"/>
    <mergeCell ref="P19:Q19"/>
    <mergeCell ref="B20:D20"/>
    <mergeCell ref="F20:G20"/>
    <mergeCell ref="H20:I20"/>
    <mergeCell ref="P20:Q20"/>
    <mergeCell ref="B21:D21"/>
    <mergeCell ref="F21:G21"/>
    <mergeCell ref="H21:I21"/>
    <mergeCell ref="P21:Q21"/>
    <mergeCell ref="B22:D22"/>
    <mergeCell ref="F22:G22"/>
    <mergeCell ref="H22:I22"/>
    <mergeCell ref="P22:Q22"/>
    <mergeCell ref="B23:D23"/>
    <mergeCell ref="F23:G23"/>
    <mergeCell ref="H23:I23"/>
    <mergeCell ref="P23:Q23"/>
    <mergeCell ref="B24:D24"/>
    <mergeCell ref="F24:G24"/>
    <mergeCell ref="H24:I24"/>
    <mergeCell ref="P24:Q24"/>
    <mergeCell ref="B25:D25"/>
    <mergeCell ref="F25:G25"/>
    <mergeCell ref="H25:I25"/>
    <mergeCell ref="Q25:R25"/>
    <mergeCell ref="S25:T25"/>
    <mergeCell ref="B26:D26"/>
    <mergeCell ref="F26:G26"/>
    <mergeCell ref="H26:I26"/>
    <mergeCell ref="Q26:R26"/>
    <mergeCell ref="S26:T26"/>
    <mergeCell ref="Q27:R27"/>
    <mergeCell ref="S27:T27"/>
    <mergeCell ref="M32:N32"/>
    <mergeCell ref="O32:R32"/>
    <mergeCell ref="M33:N33"/>
    <mergeCell ref="P33:R33"/>
    <mergeCell ref="A34:J34"/>
    <mergeCell ref="K34:N37"/>
    <mergeCell ref="O34:U34"/>
    <mergeCell ref="B35:E35"/>
    <mergeCell ref="F35:G35"/>
    <mergeCell ref="O35:U35"/>
    <mergeCell ref="B36:E36"/>
    <mergeCell ref="F36:G36"/>
    <mergeCell ref="O36:U36"/>
    <mergeCell ref="B37:E37"/>
    <mergeCell ref="F37:G37"/>
    <mergeCell ref="B38:E38"/>
    <mergeCell ref="F38:G38"/>
    <mergeCell ref="K38:L38"/>
    <mergeCell ref="B39:E39"/>
    <mergeCell ref="F39:G39"/>
    <mergeCell ref="K39:L39"/>
    <mergeCell ref="B40:E40"/>
    <mergeCell ref="F40:G40"/>
    <mergeCell ref="K40:L40"/>
    <mergeCell ref="K41:U41"/>
    <mergeCell ref="L42:P42"/>
    <mergeCell ref="R42:U42"/>
    <mergeCell ref="L43:M43"/>
    <mergeCell ref="O43:P43"/>
    <mergeCell ref="R43:U43"/>
    <mergeCell ref="L44:O44"/>
    <mergeCell ref="Q44:U44"/>
    <mergeCell ref="L45:O45"/>
    <mergeCell ref="N47:O47"/>
    <mergeCell ref="N48:O48"/>
    <mergeCell ref="N50:U50"/>
    <mergeCell ref="M51:N51"/>
    <mergeCell ref="O51:P51"/>
    <mergeCell ref="Q51:R51"/>
    <mergeCell ref="T51:U51"/>
    <mergeCell ref="Q53:U53"/>
    <mergeCell ref="Q54:U54"/>
    <mergeCell ref="K56:P5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2020-12-14T00:43:20Z</dcterms:created>
  <dc:creator>Gleison</dc:creator>
  <dc:language>pt-BR</dc:language>
  <cp:lastPrinted>2023-02-09T23:26:40Z</cp:lastPrinted>
  <dcterms:modified xsi:type="dcterms:W3CDTF">2024-02-02T17:29:34Z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