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dnarz\Dropbox\CDR_market_modell\"/>
    </mc:Choice>
  </mc:AlternateContent>
  <xr:revisionPtr revIDLastSave="0" documentId="13_ncr:1_{AF8F6B3C-5D0E-466D-BBF0-18CB9E905E88}" xr6:coauthVersionLast="47" xr6:coauthVersionMax="47" xr10:uidLastSave="{00000000-0000-0000-0000-000000000000}"/>
  <bookViews>
    <workbookView xWindow="28680" yWindow="-120" windowWidth="29040" windowHeight="15840" xr2:uid="{6D876F70-EC50-4587-8BE1-C874E4B17F5B}"/>
  </bookViews>
  <sheets>
    <sheet name="Template" sheetId="7" r:id="rId1"/>
    <sheet name="Analysis" sheetId="4" r:id="rId2"/>
    <sheet name="Figures" sheetId="9" r:id="rId3"/>
    <sheet name="Data_country level" sheetId="1" r:id="rId4"/>
    <sheet name="Data_world regions" sheetId="2" r:id="rId5"/>
    <sheet name="Model_world regions" sheetId="5" r:id="rId6"/>
    <sheet name="Targets" sheetId="3" r:id="rId7"/>
  </sheets>
  <definedNames>
    <definedName name="_xlnm._FilterDatabase" localSheetId="3" hidden="1">'Data_country level'!$A$3:$AA$186</definedName>
    <definedName name="_xlnm._FilterDatabase" localSheetId="6" hidden="1">Targets!$A$1:$I$198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1" i="3" l="1"/>
  <c r="O10" i="3"/>
  <c r="O26" i="3" l="1"/>
  <c r="N26" i="3"/>
  <c r="M26" i="3"/>
  <c r="M11" i="3" l="1"/>
  <c r="N11" i="3"/>
  <c r="P11" i="3"/>
  <c r="R23" i="3"/>
  <c r="Q23" i="3"/>
  <c r="P23" i="3"/>
  <c r="O23" i="3"/>
  <c r="E202" i="3"/>
  <c r="R11" i="3" l="1"/>
  <c r="Q11" i="3"/>
  <c r="F202" i="3"/>
  <c r="D202" i="3"/>
  <c r="M23" i="3"/>
  <c r="N23" i="3"/>
  <c r="G202" i="3"/>
  <c r="P2" i="3" l="1"/>
  <c r="O2" i="3"/>
  <c r="O27" i="3"/>
  <c r="O29" i="3" l="1"/>
  <c r="I48" i="7"/>
  <c r="M48" i="7"/>
  <c r="X46" i="7" l="1"/>
  <c r="M46" i="7"/>
  <c r="A6" i="5"/>
  <c r="Z6" i="5" s="1"/>
  <c r="Z48" i="7"/>
  <c r="X48" i="7"/>
  <c r="V48" i="7"/>
  <c r="T48" i="7"/>
  <c r="R48" i="7"/>
  <c r="O48" i="7"/>
  <c r="K48" i="7"/>
  <c r="G48" i="7"/>
  <c r="U18" i="7"/>
  <c r="U15" i="7"/>
  <c r="U12" i="7"/>
  <c r="U9" i="7"/>
  <c r="P18" i="7"/>
  <c r="P15" i="7"/>
  <c r="P12" i="7"/>
  <c r="P9" i="7"/>
  <c r="L27" i="3" l="1"/>
  <c r="L26" i="3"/>
  <c r="L25" i="3"/>
  <c r="M2" i="3"/>
  <c r="M20" i="3"/>
  <c r="P20" i="3" l="1"/>
  <c r="N30" i="3"/>
  <c r="M30" i="3"/>
  <c r="O20" i="3"/>
  <c r="N20" i="3"/>
  <c r="Q2" i="3"/>
  <c r="C10" i="4"/>
  <c r="D10" i="4"/>
  <c r="E10" i="4"/>
  <c r="C11" i="4"/>
  <c r="D11" i="4"/>
  <c r="E11" i="4"/>
  <c r="C12" i="4"/>
  <c r="D12" i="4"/>
  <c r="E12" i="4"/>
  <c r="C13" i="4"/>
  <c r="D13" i="4"/>
  <c r="E13" i="4"/>
  <c r="C14" i="4"/>
  <c r="D14" i="4"/>
  <c r="E14" i="4"/>
  <c r="C15" i="4"/>
  <c r="D15" i="4"/>
  <c r="E15" i="4"/>
  <c r="C16" i="4"/>
  <c r="D16" i="4"/>
  <c r="E16" i="4"/>
  <c r="C17" i="4"/>
  <c r="D17" i="4"/>
  <c r="E17" i="4"/>
  <c r="C18" i="4"/>
  <c r="D18" i="4"/>
  <c r="E18" i="4"/>
  <c r="C19" i="4"/>
  <c r="D19" i="4"/>
  <c r="E19" i="4"/>
  <c r="C20" i="4"/>
  <c r="D20" i="4"/>
  <c r="E20" i="4"/>
  <c r="C21" i="4"/>
  <c r="D21" i="4"/>
  <c r="E21" i="4"/>
  <c r="C22" i="4"/>
  <c r="D22" i="4"/>
  <c r="E22" i="4"/>
  <c r="C23" i="4"/>
  <c r="D23" i="4"/>
  <c r="E23" i="4"/>
  <c r="C24" i="4"/>
  <c r="D24" i="4"/>
  <c r="E24" i="4"/>
  <c r="D9" i="4"/>
  <c r="E9" i="4"/>
  <c r="C9" i="4"/>
  <c r="A13" i="4"/>
  <c r="A54" i="7" s="1"/>
  <c r="B13" i="4"/>
  <c r="Q13" i="4" l="1"/>
  <c r="B54" i="7"/>
  <c r="F13" i="4"/>
  <c r="E27" i="7"/>
  <c r="D27" i="7"/>
  <c r="P27" i="7" l="1"/>
  <c r="U27" i="7"/>
  <c r="R31" i="4" l="1"/>
  <c r="R5" i="4"/>
  <c r="A35" i="5"/>
  <c r="B35" i="5"/>
  <c r="C35" i="5"/>
  <c r="D35" i="5"/>
  <c r="E35" i="5"/>
  <c r="A36" i="5"/>
  <c r="B36" i="5"/>
  <c r="C36" i="5"/>
  <c r="D36" i="5"/>
  <c r="E36" i="5"/>
  <c r="A37" i="5"/>
  <c r="B37" i="5"/>
  <c r="C37" i="5"/>
  <c r="D37" i="5"/>
  <c r="E37" i="5"/>
  <c r="A38" i="5"/>
  <c r="B38" i="5"/>
  <c r="C38" i="5"/>
  <c r="D38" i="5"/>
  <c r="E38" i="5"/>
  <c r="A39" i="5"/>
  <c r="B39" i="5"/>
  <c r="C39" i="5"/>
  <c r="D39" i="5"/>
  <c r="E39" i="5"/>
  <c r="A40" i="5"/>
  <c r="B40" i="5"/>
  <c r="C40" i="5"/>
  <c r="D40" i="5"/>
  <c r="E40" i="5"/>
  <c r="A41" i="5"/>
  <c r="B41" i="5"/>
  <c r="C41" i="5"/>
  <c r="D41" i="5"/>
  <c r="E41" i="5"/>
  <c r="A42" i="5"/>
  <c r="B42" i="5"/>
  <c r="C42" i="5"/>
  <c r="D42" i="5"/>
  <c r="E42" i="5"/>
  <c r="A43" i="5"/>
  <c r="B43" i="5"/>
  <c r="C43" i="5"/>
  <c r="D43" i="5"/>
  <c r="E43" i="5"/>
  <c r="A44" i="5"/>
  <c r="B44" i="5"/>
  <c r="C44" i="5"/>
  <c r="D44" i="5"/>
  <c r="E44" i="5"/>
  <c r="A45" i="5"/>
  <c r="B45" i="5"/>
  <c r="C45" i="5"/>
  <c r="D45" i="5"/>
  <c r="E45" i="5"/>
  <c r="A46" i="5"/>
  <c r="B46" i="5"/>
  <c r="C46" i="5"/>
  <c r="D46" i="5"/>
  <c r="E46" i="5"/>
  <c r="A47" i="5"/>
  <c r="B47" i="5"/>
  <c r="C47" i="5"/>
  <c r="D47" i="5"/>
  <c r="E47" i="5"/>
  <c r="A48" i="5"/>
  <c r="B48" i="5"/>
  <c r="C48" i="5"/>
  <c r="D48" i="5"/>
  <c r="E48" i="5"/>
  <c r="A49" i="5"/>
  <c r="B49" i="5"/>
  <c r="C49" i="5"/>
  <c r="D49" i="5"/>
  <c r="E49" i="5"/>
  <c r="B34" i="5"/>
  <c r="C34" i="5"/>
  <c r="D34" i="5"/>
  <c r="E34" i="5"/>
  <c r="A34" i="5"/>
  <c r="F10" i="4" l="1"/>
  <c r="F11" i="4"/>
  <c r="F12" i="4"/>
  <c r="F14" i="4"/>
  <c r="F15" i="4"/>
  <c r="F16" i="4"/>
  <c r="F17" i="4"/>
  <c r="F18" i="4"/>
  <c r="F19" i="4"/>
  <c r="F20" i="4"/>
  <c r="F21" i="4"/>
  <c r="F22" i="4"/>
  <c r="F23" i="4"/>
  <c r="F24" i="4"/>
  <c r="A10" i="4"/>
  <c r="A51" i="7" s="1"/>
  <c r="B10" i="4"/>
  <c r="B51" i="7" s="1"/>
  <c r="A11" i="4"/>
  <c r="A52" i="7" s="1"/>
  <c r="B11" i="4"/>
  <c r="B52" i="7" s="1"/>
  <c r="A12" i="4"/>
  <c r="A53" i="7" s="1"/>
  <c r="B12" i="4"/>
  <c r="B53" i="7" s="1"/>
  <c r="A14" i="4"/>
  <c r="A55" i="7" s="1"/>
  <c r="B14" i="4"/>
  <c r="B55" i="7" s="1"/>
  <c r="A15" i="4"/>
  <c r="A56" i="7" s="1"/>
  <c r="B15" i="4"/>
  <c r="B56" i="7" s="1"/>
  <c r="A16" i="4"/>
  <c r="A57" i="7" s="1"/>
  <c r="B16" i="4"/>
  <c r="B57" i="7" s="1"/>
  <c r="A17" i="4"/>
  <c r="A58" i="7" s="1"/>
  <c r="B17" i="4"/>
  <c r="B58" i="7" s="1"/>
  <c r="A18" i="4"/>
  <c r="A59" i="7" s="1"/>
  <c r="B18" i="4"/>
  <c r="B59" i="7" s="1"/>
  <c r="A19" i="4"/>
  <c r="A60" i="7" s="1"/>
  <c r="B19" i="4"/>
  <c r="B60" i="7" s="1"/>
  <c r="A20" i="4"/>
  <c r="A61" i="7" s="1"/>
  <c r="B20" i="4"/>
  <c r="B61" i="7" s="1"/>
  <c r="A21" i="4"/>
  <c r="A62" i="7" s="1"/>
  <c r="B21" i="4"/>
  <c r="B62" i="7" s="1"/>
  <c r="A22" i="4"/>
  <c r="A63" i="7" s="1"/>
  <c r="B22" i="4"/>
  <c r="B63" i="7" s="1"/>
  <c r="A23" i="4"/>
  <c r="A64" i="7" s="1"/>
  <c r="B23" i="4"/>
  <c r="B64" i="7" s="1"/>
  <c r="A24" i="4"/>
  <c r="A65" i="7" s="1"/>
  <c r="B24" i="4"/>
  <c r="B65" i="7" s="1"/>
  <c r="B9" i="4"/>
  <c r="B50" i="7" s="1"/>
  <c r="A9" i="4"/>
  <c r="A50" i="7" s="1"/>
  <c r="A8" i="5"/>
  <c r="B8" i="5"/>
  <c r="C8" i="5"/>
  <c r="D8" i="5"/>
  <c r="E8" i="5"/>
  <c r="A9" i="5"/>
  <c r="B9" i="5"/>
  <c r="C9" i="5"/>
  <c r="D9" i="5"/>
  <c r="E9" i="5"/>
  <c r="A10" i="5"/>
  <c r="B10" i="5"/>
  <c r="C10" i="5"/>
  <c r="D10" i="5"/>
  <c r="E10" i="5"/>
  <c r="A11" i="5"/>
  <c r="B11" i="5"/>
  <c r="C11" i="5"/>
  <c r="D11" i="5"/>
  <c r="E11" i="5"/>
  <c r="A12" i="5"/>
  <c r="B12" i="5"/>
  <c r="C12" i="5"/>
  <c r="D12" i="5"/>
  <c r="E12" i="5"/>
  <c r="A13" i="5"/>
  <c r="B13" i="5"/>
  <c r="C13" i="5"/>
  <c r="D13" i="5"/>
  <c r="E13" i="5"/>
  <c r="A14" i="5"/>
  <c r="B14" i="5"/>
  <c r="C14" i="5"/>
  <c r="D14" i="5"/>
  <c r="E14" i="5"/>
  <c r="A15" i="5"/>
  <c r="B15" i="5"/>
  <c r="C15" i="5"/>
  <c r="D15" i="5"/>
  <c r="E15" i="5"/>
  <c r="A16" i="5"/>
  <c r="B16" i="5"/>
  <c r="C16" i="5"/>
  <c r="D16" i="5"/>
  <c r="E16" i="5"/>
  <c r="A17" i="5"/>
  <c r="B17" i="5"/>
  <c r="C17" i="5"/>
  <c r="D17" i="5"/>
  <c r="E17" i="5"/>
  <c r="A18" i="5"/>
  <c r="B18" i="5"/>
  <c r="C18" i="5"/>
  <c r="D18" i="5"/>
  <c r="E18" i="5"/>
  <c r="A19" i="5"/>
  <c r="B19" i="5"/>
  <c r="C19" i="5"/>
  <c r="D19" i="5"/>
  <c r="E19" i="5"/>
  <c r="A20" i="5"/>
  <c r="B20" i="5"/>
  <c r="C20" i="5"/>
  <c r="D20" i="5"/>
  <c r="E20" i="5"/>
  <c r="A21" i="5"/>
  <c r="B21" i="5"/>
  <c r="C21" i="5"/>
  <c r="D21" i="5"/>
  <c r="E21" i="5"/>
  <c r="A22" i="5"/>
  <c r="B22" i="5"/>
  <c r="C22" i="5"/>
  <c r="D22" i="5"/>
  <c r="E22" i="5"/>
  <c r="B7" i="5"/>
  <c r="C7" i="5"/>
  <c r="D7" i="5"/>
  <c r="E7" i="5"/>
  <c r="A7" i="5"/>
  <c r="P17" i="3"/>
  <c r="O17" i="3"/>
  <c r="N17" i="3"/>
  <c r="M17" i="3"/>
  <c r="P16" i="3"/>
  <c r="O16" i="3"/>
  <c r="N16" i="3"/>
  <c r="M16" i="3"/>
  <c r="P15" i="3"/>
  <c r="O15" i="3"/>
  <c r="N15" i="3"/>
  <c r="M15" i="3"/>
  <c r="P14" i="3"/>
  <c r="O14" i="3"/>
  <c r="N14" i="3"/>
  <c r="M14" i="3"/>
  <c r="P13" i="3"/>
  <c r="O13" i="3"/>
  <c r="N13" i="3"/>
  <c r="M13" i="3"/>
  <c r="P12" i="3"/>
  <c r="O12" i="3"/>
  <c r="N12" i="3"/>
  <c r="M12" i="3"/>
  <c r="P10" i="3"/>
  <c r="N10" i="3"/>
  <c r="M10" i="3"/>
  <c r="P9" i="3"/>
  <c r="O9" i="3"/>
  <c r="N9" i="3"/>
  <c r="M9" i="3"/>
  <c r="P8" i="3"/>
  <c r="O8" i="3"/>
  <c r="N8" i="3"/>
  <c r="M8" i="3"/>
  <c r="P7" i="3"/>
  <c r="O7" i="3"/>
  <c r="N7" i="3"/>
  <c r="M7" i="3"/>
  <c r="P6" i="3"/>
  <c r="O6" i="3"/>
  <c r="N6" i="3"/>
  <c r="M6" i="3"/>
  <c r="P5" i="3"/>
  <c r="O5" i="3"/>
  <c r="N5" i="3"/>
  <c r="M5" i="3"/>
  <c r="P4" i="3"/>
  <c r="O4" i="3"/>
  <c r="N4" i="3"/>
  <c r="M4" i="3"/>
  <c r="P3" i="3"/>
  <c r="O3" i="3"/>
  <c r="N3" i="3"/>
  <c r="M3" i="3"/>
  <c r="N2" i="3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4" i="2"/>
  <c r="H5" i="2"/>
  <c r="I5" i="2"/>
  <c r="G35" i="5" s="1"/>
  <c r="J5" i="2"/>
  <c r="H6" i="2"/>
  <c r="I6" i="2"/>
  <c r="J6" i="2"/>
  <c r="H7" i="2"/>
  <c r="I7" i="2"/>
  <c r="G37" i="5" s="1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G43" i="5" s="1"/>
  <c r="J13" i="2"/>
  <c r="H14" i="2"/>
  <c r="I14" i="2"/>
  <c r="J14" i="2"/>
  <c r="H15" i="2"/>
  <c r="I15" i="2"/>
  <c r="J15" i="2"/>
  <c r="H16" i="2"/>
  <c r="I16" i="2"/>
  <c r="G46" i="5" s="1"/>
  <c r="J16" i="2"/>
  <c r="H17" i="2"/>
  <c r="I17" i="2"/>
  <c r="J17" i="2"/>
  <c r="H18" i="2"/>
  <c r="I18" i="2"/>
  <c r="J18" i="2"/>
  <c r="H19" i="2"/>
  <c r="I19" i="2"/>
  <c r="G49" i="5" s="1"/>
  <c r="J19" i="2"/>
  <c r="I4" i="2"/>
  <c r="Y4" i="2" s="1"/>
  <c r="J4" i="2"/>
  <c r="H4" i="2"/>
  <c r="M19" i="3" l="1"/>
  <c r="M21" i="3" s="1"/>
  <c r="P19" i="3"/>
  <c r="P21" i="3" s="1"/>
  <c r="I7" i="5"/>
  <c r="I34" i="5"/>
  <c r="I22" i="5"/>
  <c r="I49" i="5"/>
  <c r="I21" i="5"/>
  <c r="I48" i="5"/>
  <c r="I20" i="5"/>
  <c r="I47" i="5"/>
  <c r="I19" i="5"/>
  <c r="I46" i="5"/>
  <c r="I18" i="5"/>
  <c r="I45" i="5"/>
  <c r="I17" i="5"/>
  <c r="I44" i="5"/>
  <c r="I16" i="5"/>
  <c r="I43" i="5"/>
  <c r="I15" i="5"/>
  <c r="I42" i="5"/>
  <c r="I14" i="5"/>
  <c r="I41" i="5"/>
  <c r="I13" i="5"/>
  <c r="I40" i="5"/>
  <c r="I12" i="5"/>
  <c r="I39" i="5"/>
  <c r="I11" i="5"/>
  <c r="I38" i="5"/>
  <c r="I10" i="5"/>
  <c r="I37" i="5"/>
  <c r="I9" i="5"/>
  <c r="I36" i="5"/>
  <c r="I8" i="5"/>
  <c r="I35" i="5"/>
  <c r="O7" i="5"/>
  <c r="O34" i="5"/>
  <c r="O22" i="5"/>
  <c r="O49" i="5"/>
  <c r="AA49" i="5" s="1"/>
  <c r="O21" i="5"/>
  <c r="O48" i="5"/>
  <c r="O20" i="5"/>
  <c r="O47" i="5"/>
  <c r="O19" i="5"/>
  <c r="O46" i="5"/>
  <c r="O18" i="5"/>
  <c r="O45" i="5"/>
  <c r="O17" i="5"/>
  <c r="O44" i="5"/>
  <c r="O16" i="5"/>
  <c r="O43" i="5"/>
  <c r="AA43" i="5" s="1"/>
  <c r="O15" i="5"/>
  <c r="O42" i="5"/>
  <c r="O14" i="5"/>
  <c r="O41" i="5"/>
  <c r="O13" i="5"/>
  <c r="O40" i="5"/>
  <c r="O12" i="5"/>
  <c r="O39" i="5"/>
  <c r="O11" i="5"/>
  <c r="O38" i="5"/>
  <c r="O10" i="5"/>
  <c r="O37" i="5"/>
  <c r="O9" i="5"/>
  <c r="O36" i="5"/>
  <c r="O8" i="5"/>
  <c r="O35" i="5"/>
  <c r="AA35" i="5" s="1"/>
  <c r="N19" i="3"/>
  <c r="N21" i="3" s="1"/>
  <c r="O19" i="3"/>
  <c r="R2" i="3"/>
  <c r="D23" i="7"/>
  <c r="E23" i="7"/>
  <c r="D35" i="7"/>
  <c r="D31" i="7"/>
  <c r="E24" i="7"/>
  <c r="D36" i="7"/>
  <c r="E35" i="7"/>
  <c r="E38" i="7"/>
  <c r="E34" i="7"/>
  <c r="E30" i="7"/>
  <c r="E26" i="7"/>
  <c r="E36" i="7"/>
  <c r="D28" i="7"/>
  <c r="D38" i="7"/>
  <c r="D34" i="7"/>
  <c r="D30" i="7"/>
  <c r="D26" i="7"/>
  <c r="E28" i="7"/>
  <c r="D24" i="7"/>
  <c r="E31" i="7"/>
  <c r="E37" i="7"/>
  <c r="E33" i="7"/>
  <c r="E29" i="7"/>
  <c r="E25" i="7"/>
  <c r="E32" i="7"/>
  <c r="D32" i="7"/>
  <c r="D37" i="7"/>
  <c r="D33" i="7"/>
  <c r="D29" i="7"/>
  <c r="D25" i="7"/>
  <c r="H18" i="5"/>
  <c r="Z18" i="5" s="1"/>
  <c r="H45" i="5"/>
  <c r="V13" i="2"/>
  <c r="F43" i="5"/>
  <c r="G13" i="5"/>
  <c r="AA13" i="5" s="1"/>
  <c r="G40" i="5"/>
  <c r="H10" i="5"/>
  <c r="Z10" i="5" s="1"/>
  <c r="H37" i="5"/>
  <c r="V5" i="2"/>
  <c r="F35" i="5"/>
  <c r="V4" i="2"/>
  <c r="F34" i="5"/>
  <c r="V18" i="2"/>
  <c r="F48" i="5"/>
  <c r="G18" i="5"/>
  <c r="AA18" i="5" s="1"/>
  <c r="G45" i="5"/>
  <c r="H15" i="5"/>
  <c r="Z15" i="5" s="1"/>
  <c r="H42" i="5"/>
  <c r="V10" i="2"/>
  <c r="F40" i="5"/>
  <c r="H12" i="5"/>
  <c r="Z12" i="5" s="1"/>
  <c r="H39" i="5"/>
  <c r="H7" i="5"/>
  <c r="Z7" i="5" s="1"/>
  <c r="H34" i="5"/>
  <c r="G7" i="5"/>
  <c r="AA7" i="5" s="1"/>
  <c r="G34" i="5"/>
  <c r="H17" i="5"/>
  <c r="Z17" i="5" s="1"/>
  <c r="H44" i="5"/>
  <c r="F15" i="5"/>
  <c r="F42" i="5"/>
  <c r="G12" i="5"/>
  <c r="G39" i="5"/>
  <c r="H9" i="5"/>
  <c r="H36" i="5"/>
  <c r="H20" i="5"/>
  <c r="Z20" i="5" s="1"/>
  <c r="H47" i="5"/>
  <c r="G20" i="5"/>
  <c r="AA20" i="5" s="1"/>
  <c r="G47" i="5"/>
  <c r="F20" i="5"/>
  <c r="F47" i="5"/>
  <c r="G17" i="5"/>
  <c r="AA17" i="5" s="1"/>
  <c r="G44" i="5"/>
  <c r="P11" i="2"/>
  <c r="H41" i="5"/>
  <c r="F12" i="5"/>
  <c r="F39" i="5"/>
  <c r="G9" i="5"/>
  <c r="AA9" i="5" s="1"/>
  <c r="G36" i="5"/>
  <c r="F10" i="5"/>
  <c r="F37" i="5"/>
  <c r="H19" i="5"/>
  <c r="Z19" i="5" s="1"/>
  <c r="H46" i="5"/>
  <c r="F17" i="5"/>
  <c r="F44" i="5"/>
  <c r="G14" i="5"/>
  <c r="AA14" i="5" s="1"/>
  <c r="G41" i="5"/>
  <c r="H11" i="5"/>
  <c r="Z11" i="5" s="1"/>
  <c r="H38" i="5"/>
  <c r="F9" i="5"/>
  <c r="F36" i="5"/>
  <c r="AA37" i="5"/>
  <c r="F18" i="5"/>
  <c r="F45" i="5"/>
  <c r="P19" i="2"/>
  <c r="H49" i="5"/>
  <c r="V19" i="2"/>
  <c r="F49" i="5"/>
  <c r="H16" i="5"/>
  <c r="Z16" i="5" s="1"/>
  <c r="H43" i="5"/>
  <c r="V11" i="2"/>
  <c r="F41" i="5"/>
  <c r="G11" i="5"/>
  <c r="AA11" i="5" s="1"/>
  <c r="G38" i="5"/>
  <c r="H8" i="5"/>
  <c r="Z8" i="5" s="1"/>
  <c r="H35" i="5"/>
  <c r="AA46" i="5"/>
  <c r="G21" i="5"/>
  <c r="AA21" i="5" s="1"/>
  <c r="G48" i="5"/>
  <c r="G15" i="5"/>
  <c r="AA15" i="5" s="1"/>
  <c r="G42" i="5"/>
  <c r="P18" i="2"/>
  <c r="H48" i="5"/>
  <c r="F19" i="5"/>
  <c r="F46" i="5"/>
  <c r="P10" i="2"/>
  <c r="H40" i="5"/>
  <c r="F11" i="5"/>
  <c r="F38" i="5"/>
  <c r="Q15" i="3"/>
  <c r="W17" i="2" s="1"/>
  <c r="Y17" i="2" s="1"/>
  <c r="E63" i="7" s="1"/>
  <c r="Q17" i="3"/>
  <c r="W19" i="2" s="1"/>
  <c r="U22" i="5" s="1"/>
  <c r="Q3" i="3"/>
  <c r="W5" i="2" s="1"/>
  <c r="U8" i="5" s="1"/>
  <c r="Q9" i="3"/>
  <c r="W11" i="2" s="1"/>
  <c r="U14" i="5" s="1"/>
  <c r="W13" i="2"/>
  <c r="U16" i="5" s="1"/>
  <c r="Q13" i="3"/>
  <c r="W15" i="2" s="1"/>
  <c r="U18" i="5" s="1"/>
  <c r="R6" i="3"/>
  <c r="X8" i="2" s="1"/>
  <c r="V38" i="5" s="1"/>
  <c r="R8" i="3"/>
  <c r="X10" i="2" s="1"/>
  <c r="V40" i="5" s="1"/>
  <c r="R10" i="3"/>
  <c r="X12" i="2" s="1"/>
  <c r="V15" i="5" s="1"/>
  <c r="R12" i="3"/>
  <c r="X14" i="2" s="1"/>
  <c r="V44" i="5" s="1"/>
  <c r="Q4" i="3"/>
  <c r="W6" i="2" s="1"/>
  <c r="Y6" i="2" s="1"/>
  <c r="E52" i="7" s="1"/>
  <c r="Q6" i="3"/>
  <c r="W8" i="2" s="1"/>
  <c r="Y8" i="2" s="1"/>
  <c r="E54" i="7" s="1"/>
  <c r="Q8" i="3"/>
  <c r="W10" i="2" s="1"/>
  <c r="U40" i="5" s="1"/>
  <c r="Q12" i="3"/>
  <c r="W14" i="2" s="1"/>
  <c r="Y14" i="2" s="1"/>
  <c r="Q16" i="3"/>
  <c r="W18" i="2" s="1"/>
  <c r="U21" i="5" s="1"/>
  <c r="R7" i="3"/>
  <c r="X9" i="2" s="1"/>
  <c r="V39" i="5" s="1"/>
  <c r="X13" i="2"/>
  <c r="V16" i="5" s="1"/>
  <c r="Q10" i="3"/>
  <c r="R14" i="3"/>
  <c r="X16" i="2" s="1"/>
  <c r="V19" i="5" s="1"/>
  <c r="R16" i="3"/>
  <c r="X18" i="2" s="1"/>
  <c r="Z18" i="2" s="1"/>
  <c r="P64" i="7" s="1"/>
  <c r="L37" i="7" s="1"/>
  <c r="J23" i="4" s="1"/>
  <c r="K23" i="4" s="1"/>
  <c r="L23" i="4" s="1"/>
  <c r="Q14" i="3"/>
  <c r="W16" i="2" s="1"/>
  <c r="U19" i="5" s="1"/>
  <c r="R5" i="3"/>
  <c r="X7" i="2" s="1"/>
  <c r="V10" i="5" s="1"/>
  <c r="R3" i="3"/>
  <c r="X5" i="2" s="1"/>
  <c r="V35" i="5" s="1"/>
  <c r="Q5" i="3"/>
  <c r="W7" i="2" s="1"/>
  <c r="U10" i="5" s="1"/>
  <c r="Q7" i="3"/>
  <c r="W9" i="2" s="1"/>
  <c r="U39" i="5" s="1"/>
  <c r="R9" i="3"/>
  <c r="X11" i="2" s="1"/>
  <c r="V14" i="5" s="1"/>
  <c r="R4" i="3"/>
  <c r="X6" i="2" s="1"/>
  <c r="V36" i="5" s="1"/>
  <c r="Q48" i="4"/>
  <c r="Q22" i="4"/>
  <c r="Q47" i="4"/>
  <c r="Q21" i="4"/>
  <c r="Q35" i="4"/>
  <c r="Q9" i="4"/>
  <c r="Q36" i="4"/>
  <c r="Q10" i="4"/>
  <c r="Q50" i="4"/>
  <c r="Q24" i="4"/>
  <c r="Q46" i="4"/>
  <c r="Q20" i="4"/>
  <c r="Q42" i="4"/>
  <c r="Q16" i="4"/>
  <c r="Q38" i="4"/>
  <c r="Q12" i="4"/>
  <c r="Q43" i="4"/>
  <c r="Q17" i="4"/>
  <c r="Q44" i="4"/>
  <c r="Q18" i="4"/>
  <c r="Q39" i="4"/>
  <c r="Q23" i="4"/>
  <c r="Q49" i="4"/>
  <c r="Q45" i="4"/>
  <c r="Q19" i="4"/>
  <c r="Q15" i="4"/>
  <c r="Q41" i="4"/>
  <c r="Q37" i="4"/>
  <c r="Q11" i="4"/>
  <c r="Q40" i="4"/>
  <c r="Q14" i="4"/>
  <c r="N14" i="2"/>
  <c r="L6" i="2"/>
  <c r="P6" i="2"/>
  <c r="U6" i="2"/>
  <c r="M14" i="2"/>
  <c r="R14" i="2"/>
  <c r="V14" i="2"/>
  <c r="M6" i="2"/>
  <c r="R6" i="2"/>
  <c r="V6" i="2"/>
  <c r="S14" i="2"/>
  <c r="N6" i="2"/>
  <c r="S6" i="2"/>
  <c r="O14" i="2"/>
  <c r="T14" i="2"/>
  <c r="O6" i="2"/>
  <c r="T6" i="2"/>
  <c r="L14" i="2"/>
  <c r="P14" i="2"/>
  <c r="U14" i="2"/>
  <c r="R13" i="3"/>
  <c r="X15" i="2" s="1"/>
  <c r="R15" i="3"/>
  <c r="X17" i="2" s="1"/>
  <c r="R17" i="3"/>
  <c r="X19" i="2" s="1"/>
  <c r="L17" i="2"/>
  <c r="L9" i="2"/>
  <c r="M17" i="2"/>
  <c r="M9" i="2"/>
  <c r="N17" i="2"/>
  <c r="N9" i="2"/>
  <c r="O17" i="2"/>
  <c r="O9" i="2"/>
  <c r="P17" i="2"/>
  <c r="P9" i="2"/>
  <c r="R17" i="2"/>
  <c r="R9" i="2"/>
  <c r="S17" i="2"/>
  <c r="S9" i="2"/>
  <c r="T17" i="2"/>
  <c r="T9" i="2"/>
  <c r="U17" i="2"/>
  <c r="U9" i="2"/>
  <c r="V17" i="2"/>
  <c r="V9" i="2"/>
  <c r="F7" i="5"/>
  <c r="G16" i="5"/>
  <c r="G8" i="5"/>
  <c r="L16" i="2"/>
  <c r="L8" i="2"/>
  <c r="M16" i="2"/>
  <c r="M8" i="2"/>
  <c r="N16" i="2"/>
  <c r="N8" i="2"/>
  <c r="O16" i="2"/>
  <c r="O8" i="2"/>
  <c r="P16" i="2"/>
  <c r="P8" i="2"/>
  <c r="R16" i="2"/>
  <c r="R8" i="2"/>
  <c r="S16" i="2"/>
  <c r="S8" i="2"/>
  <c r="T16" i="2"/>
  <c r="T8" i="2"/>
  <c r="U16" i="2"/>
  <c r="U8" i="2"/>
  <c r="V16" i="2"/>
  <c r="V8" i="2"/>
  <c r="H21" i="5"/>
  <c r="Z21" i="5" s="1"/>
  <c r="F16" i="5"/>
  <c r="H13" i="5"/>
  <c r="Z13" i="5" s="1"/>
  <c r="F8" i="5"/>
  <c r="L15" i="2"/>
  <c r="L7" i="2"/>
  <c r="M15" i="2"/>
  <c r="M7" i="2"/>
  <c r="N15" i="2"/>
  <c r="N7" i="2"/>
  <c r="O15" i="2"/>
  <c r="O7" i="2"/>
  <c r="P15" i="2"/>
  <c r="P7" i="2"/>
  <c r="R15" i="2"/>
  <c r="R7" i="2"/>
  <c r="S15" i="2"/>
  <c r="S7" i="2"/>
  <c r="T15" i="2"/>
  <c r="T7" i="2"/>
  <c r="U15" i="2"/>
  <c r="U7" i="2"/>
  <c r="V15" i="2"/>
  <c r="V7" i="2"/>
  <c r="H22" i="5"/>
  <c r="Z22" i="5" s="1"/>
  <c r="F21" i="5"/>
  <c r="H14" i="5"/>
  <c r="F13" i="5"/>
  <c r="L13" i="2"/>
  <c r="L5" i="2"/>
  <c r="M13" i="2"/>
  <c r="M5" i="2"/>
  <c r="N13" i="2"/>
  <c r="N5" i="2"/>
  <c r="O13" i="2"/>
  <c r="O5" i="2"/>
  <c r="P13" i="2"/>
  <c r="P5" i="2"/>
  <c r="R13" i="2"/>
  <c r="R5" i="2"/>
  <c r="S13" i="2"/>
  <c r="S5" i="2"/>
  <c r="T13" i="2"/>
  <c r="T5" i="2"/>
  <c r="U13" i="2"/>
  <c r="U5" i="2"/>
  <c r="G22" i="5"/>
  <c r="AA22" i="5" s="1"/>
  <c r="G10" i="5"/>
  <c r="AA10" i="5" s="1"/>
  <c r="L4" i="2"/>
  <c r="L12" i="2"/>
  <c r="M4" i="2"/>
  <c r="M12" i="2"/>
  <c r="N4" i="2"/>
  <c r="N12" i="2"/>
  <c r="O4" i="2"/>
  <c r="O12" i="2"/>
  <c r="P4" i="2"/>
  <c r="P12" i="2"/>
  <c r="R4" i="2"/>
  <c r="R12" i="2"/>
  <c r="S4" i="2"/>
  <c r="S12" i="2"/>
  <c r="T4" i="2"/>
  <c r="T12" i="2"/>
  <c r="U4" i="2"/>
  <c r="U12" i="2"/>
  <c r="V12" i="2"/>
  <c r="F22" i="5"/>
  <c r="F14" i="5"/>
  <c r="L19" i="2"/>
  <c r="L11" i="2"/>
  <c r="M19" i="2"/>
  <c r="M11" i="2"/>
  <c r="N19" i="2"/>
  <c r="N11" i="2"/>
  <c r="O19" i="2"/>
  <c r="O11" i="2"/>
  <c r="R19" i="2"/>
  <c r="R11" i="2"/>
  <c r="S19" i="2"/>
  <c r="S11" i="2"/>
  <c r="T19" i="2"/>
  <c r="T11" i="2"/>
  <c r="U19" i="2"/>
  <c r="U11" i="2"/>
  <c r="G19" i="5"/>
  <c r="L18" i="2"/>
  <c r="L10" i="2"/>
  <c r="M18" i="2"/>
  <c r="M10" i="2"/>
  <c r="N18" i="2"/>
  <c r="N10" i="2"/>
  <c r="O18" i="2"/>
  <c r="O10" i="2"/>
  <c r="R18" i="2"/>
  <c r="R10" i="2"/>
  <c r="S18" i="2"/>
  <c r="S10" i="2"/>
  <c r="T18" i="2"/>
  <c r="T10" i="2"/>
  <c r="U18" i="2"/>
  <c r="U10" i="2"/>
  <c r="Z9" i="5"/>
  <c r="W4" i="2"/>
  <c r="W12" i="2" l="1"/>
  <c r="U15" i="5" s="1"/>
  <c r="E60" i="7"/>
  <c r="I33" i="7" s="1"/>
  <c r="G19" i="4" s="1"/>
  <c r="H19" i="4" s="1"/>
  <c r="I19" i="4" s="1"/>
  <c r="W17" i="5" s="1"/>
  <c r="Y5" i="2"/>
  <c r="AA12" i="5"/>
  <c r="X4" i="2"/>
  <c r="Z4" i="2" s="1"/>
  <c r="C37" i="9"/>
  <c r="C8" i="9"/>
  <c r="C34" i="9"/>
  <c r="C5" i="9"/>
  <c r="C38" i="9"/>
  <c r="C9" i="9"/>
  <c r="C42" i="9"/>
  <c r="C13" i="9"/>
  <c r="C46" i="9"/>
  <c r="C17" i="9"/>
  <c r="C36" i="9"/>
  <c r="C7" i="9"/>
  <c r="C41" i="9"/>
  <c r="C12" i="9"/>
  <c r="C40" i="9"/>
  <c r="C11" i="9"/>
  <c r="C35" i="9"/>
  <c r="C6" i="9"/>
  <c r="C39" i="9"/>
  <c r="C10" i="9"/>
  <c r="C43" i="9"/>
  <c r="C14" i="9"/>
  <c r="C47" i="9"/>
  <c r="C18" i="9"/>
  <c r="C33" i="9"/>
  <c r="C4" i="9"/>
  <c r="C32" i="9"/>
  <c r="C3" i="9"/>
  <c r="C44" i="9"/>
  <c r="C15" i="9"/>
  <c r="C45" i="9"/>
  <c r="C16" i="9"/>
  <c r="O21" i="3"/>
  <c r="I27" i="7"/>
  <c r="G13" i="4" s="1"/>
  <c r="H13" i="4" s="1"/>
  <c r="I13" i="4" s="1"/>
  <c r="W11" i="5" s="1"/>
  <c r="AB11" i="5" s="1"/>
  <c r="I25" i="7"/>
  <c r="G11" i="4" s="1"/>
  <c r="H11" i="4" s="1"/>
  <c r="I11" i="4" s="1"/>
  <c r="W9" i="5" s="1"/>
  <c r="X21" i="5"/>
  <c r="AC21" i="5" s="1"/>
  <c r="W47" i="5"/>
  <c r="I36" i="7"/>
  <c r="G22" i="4" s="1"/>
  <c r="H22" i="4" s="1"/>
  <c r="I22" i="4" s="1"/>
  <c r="W20" i="5" s="1"/>
  <c r="U38" i="7"/>
  <c r="P38" i="7"/>
  <c r="U25" i="7"/>
  <c r="P25" i="7"/>
  <c r="U36" i="7"/>
  <c r="P36" i="7"/>
  <c r="U29" i="7"/>
  <c r="P29" i="7"/>
  <c r="U26" i="7"/>
  <c r="P26" i="7"/>
  <c r="U35" i="7"/>
  <c r="P35" i="7"/>
  <c r="U33" i="7"/>
  <c r="P33" i="7"/>
  <c r="U28" i="7"/>
  <c r="P28" i="7"/>
  <c r="U23" i="7"/>
  <c r="P23" i="7"/>
  <c r="U30" i="7"/>
  <c r="P30" i="7"/>
  <c r="U34" i="7"/>
  <c r="P34" i="7"/>
  <c r="U32" i="7"/>
  <c r="P32" i="7"/>
  <c r="P37" i="7"/>
  <c r="U37" i="7"/>
  <c r="U24" i="7"/>
  <c r="P24" i="7"/>
  <c r="U31" i="7"/>
  <c r="P31" i="7"/>
  <c r="Y13" i="2"/>
  <c r="E59" i="7" s="1"/>
  <c r="U13" i="5"/>
  <c r="Z13" i="2"/>
  <c r="U47" i="5"/>
  <c r="U20" i="5"/>
  <c r="Y19" i="2"/>
  <c r="E65" i="7" s="1"/>
  <c r="U49" i="5"/>
  <c r="U35" i="5"/>
  <c r="Y18" i="2"/>
  <c r="E64" i="7" s="1"/>
  <c r="Z8" i="2"/>
  <c r="P54" i="7" s="1"/>
  <c r="L27" i="7" s="1"/>
  <c r="J13" i="4" s="1"/>
  <c r="K13" i="4" s="1"/>
  <c r="L13" i="4" s="1"/>
  <c r="Y11" i="2"/>
  <c r="E57" i="7" s="1"/>
  <c r="U41" i="5"/>
  <c r="W34" i="5"/>
  <c r="AH7" i="5"/>
  <c r="AH22" i="5"/>
  <c r="W38" i="5"/>
  <c r="W36" i="5"/>
  <c r="P14" i="5"/>
  <c r="AW14" i="5" s="1"/>
  <c r="P41" i="5"/>
  <c r="AW41" i="5" s="1"/>
  <c r="K21" i="5"/>
  <c r="BN21" i="5" s="1"/>
  <c r="K48" i="5"/>
  <c r="BN48" i="5" s="1"/>
  <c r="P13" i="5"/>
  <c r="AW13" i="5" s="1"/>
  <c r="P40" i="5"/>
  <c r="AW40" i="5" s="1"/>
  <c r="J13" i="5"/>
  <c r="AV13" i="5" s="1"/>
  <c r="J40" i="5"/>
  <c r="AV40" i="5" s="1"/>
  <c r="Q14" i="5"/>
  <c r="BO14" i="5" s="1"/>
  <c r="Q41" i="5"/>
  <c r="BO41" i="5" s="1"/>
  <c r="K14" i="5"/>
  <c r="BN14" i="5" s="1"/>
  <c r="K41" i="5"/>
  <c r="BN41" i="5" s="1"/>
  <c r="S7" i="5"/>
  <c r="CY7" i="5" s="1"/>
  <c r="S34" i="5"/>
  <c r="CY34" i="5" s="1"/>
  <c r="N7" i="5"/>
  <c r="DP7" i="5" s="1"/>
  <c r="N34" i="5"/>
  <c r="DP34" i="5" s="1"/>
  <c r="J7" i="5"/>
  <c r="AV7" i="5" s="1"/>
  <c r="J34" i="5"/>
  <c r="AV34" i="5" s="1"/>
  <c r="Q16" i="5"/>
  <c r="BO16" i="5" s="1"/>
  <c r="Q43" i="5"/>
  <c r="BO43" i="5" s="1"/>
  <c r="L16" i="5"/>
  <c r="CF16" i="5" s="1"/>
  <c r="L43" i="5"/>
  <c r="CF43" i="5" s="1"/>
  <c r="Q18" i="5"/>
  <c r="BO18" i="5" s="1"/>
  <c r="Q45" i="5"/>
  <c r="BO45" i="5" s="1"/>
  <c r="L18" i="5"/>
  <c r="CF18" i="5" s="1"/>
  <c r="L45" i="5"/>
  <c r="CF45" i="5" s="1"/>
  <c r="Q19" i="5"/>
  <c r="BO19" i="5" s="1"/>
  <c r="Q46" i="5"/>
  <c r="BO46" i="5" s="1"/>
  <c r="L19" i="5"/>
  <c r="CF19" i="5" s="1"/>
  <c r="L46" i="5"/>
  <c r="CF46" i="5" s="1"/>
  <c r="T12" i="5"/>
  <c r="DQ12" i="5" s="1"/>
  <c r="T39" i="5"/>
  <c r="DQ39" i="5" s="1"/>
  <c r="P12" i="5"/>
  <c r="AW12" i="5" s="1"/>
  <c r="P39" i="5"/>
  <c r="AW39" i="5" s="1"/>
  <c r="K12" i="5"/>
  <c r="BN12" i="5" s="1"/>
  <c r="K39" i="5"/>
  <c r="BN39" i="5" s="1"/>
  <c r="S17" i="5"/>
  <c r="CY17" i="5" s="1"/>
  <c r="S44" i="5"/>
  <c r="CY44" i="5" s="1"/>
  <c r="L9" i="5"/>
  <c r="CF9" i="5" s="1"/>
  <c r="L36" i="5"/>
  <c r="CF36" i="5" s="1"/>
  <c r="S9" i="5"/>
  <c r="CY9" i="5" s="1"/>
  <c r="S36" i="5"/>
  <c r="CY36" i="5" s="1"/>
  <c r="Z43" i="5"/>
  <c r="Z41" i="5"/>
  <c r="Z47" i="5"/>
  <c r="Z34" i="5"/>
  <c r="AA40" i="5"/>
  <c r="J21" i="5"/>
  <c r="AV21" i="5" s="1"/>
  <c r="J48" i="5"/>
  <c r="AV48" i="5" s="1"/>
  <c r="Q22" i="5"/>
  <c r="BO22" i="5" s="1"/>
  <c r="Q49" i="5"/>
  <c r="BO49" i="5" s="1"/>
  <c r="K22" i="5"/>
  <c r="BN22" i="5" s="1"/>
  <c r="K49" i="5"/>
  <c r="BN49" i="5" s="1"/>
  <c r="R15" i="5"/>
  <c r="CG15" i="5" s="1"/>
  <c r="R42" i="5"/>
  <c r="CG42" i="5" s="1"/>
  <c r="M15" i="5"/>
  <c r="CX15" i="5" s="1"/>
  <c r="M42" i="5"/>
  <c r="CX42" i="5" s="1"/>
  <c r="P8" i="5"/>
  <c r="AW8" i="5" s="1"/>
  <c r="P35" i="5"/>
  <c r="AW35" i="5" s="1"/>
  <c r="K8" i="5"/>
  <c r="BN8" i="5" s="1"/>
  <c r="K35" i="5"/>
  <c r="BN35" i="5" s="1"/>
  <c r="T10" i="5"/>
  <c r="DQ10" i="5" s="1"/>
  <c r="T37" i="5"/>
  <c r="DQ37" i="5" s="1"/>
  <c r="P10" i="5"/>
  <c r="AW10" i="5" s="1"/>
  <c r="P37" i="5"/>
  <c r="AW37" i="5" s="1"/>
  <c r="K10" i="5"/>
  <c r="BN10" i="5" s="1"/>
  <c r="K37" i="5"/>
  <c r="BN37" i="5" s="1"/>
  <c r="T11" i="5"/>
  <c r="DQ11" i="5" s="1"/>
  <c r="T38" i="5"/>
  <c r="DQ38" i="5" s="1"/>
  <c r="P11" i="5"/>
  <c r="AW11" i="5" s="1"/>
  <c r="P38" i="5"/>
  <c r="AW38" i="5" s="1"/>
  <c r="K11" i="5"/>
  <c r="BN11" i="5" s="1"/>
  <c r="K38" i="5"/>
  <c r="BN38" i="5" s="1"/>
  <c r="T20" i="5"/>
  <c r="DQ20" i="5" s="1"/>
  <c r="T47" i="5"/>
  <c r="DQ47" i="5" s="1"/>
  <c r="P20" i="5"/>
  <c r="AW20" i="5" s="1"/>
  <c r="P47" i="5"/>
  <c r="AW47" i="5" s="1"/>
  <c r="K20" i="5"/>
  <c r="BN20" i="5" s="1"/>
  <c r="K47" i="5"/>
  <c r="BN47" i="5" s="1"/>
  <c r="N17" i="5"/>
  <c r="DP17" i="5" s="1"/>
  <c r="N44" i="5"/>
  <c r="DP44" i="5" s="1"/>
  <c r="Q17" i="5"/>
  <c r="BO17" i="5" s="1"/>
  <c r="Q44" i="5"/>
  <c r="BO44" i="5" s="1"/>
  <c r="N9" i="5"/>
  <c r="DP9" i="5" s="1"/>
  <c r="N36" i="5"/>
  <c r="DP36" i="5" s="1"/>
  <c r="Z48" i="5"/>
  <c r="N14" i="5"/>
  <c r="DP14" i="5" s="1"/>
  <c r="N41" i="5"/>
  <c r="DP41" i="5" s="1"/>
  <c r="T21" i="5"/>
  <c r="DQ21" i="5" s="1"/>
  <c r="T48" i="5"/>
  <c r="DQ48" i="5" s="1"/>
  <c r="S13" i="5"/>
  <c r="CY13" i="5" s="1"/>
  <c r="S40" i="5"/>
  <c r="CY40" i="5" s="1"/>
  <c r="R7" i="5"/>
  <c r="CG7" i="5" s="1"/>
  <c r="R34" i="5"/>
  <c r="CG34" i="5" s="1"/>
  <c r="M7" i="5"/>
  <c r="CX7" i="5" s="1"/>
  <c r="M34" i="5"/>
  <c r="CX34" i="5" s="1"/>
  <c r="P16" i="5"/>
  <c r="AW16" i="5" s="1"/>
  <c r="P43" i="5"/>
  <c r="AW43" i="5" s="1"/>
  <c r="K16" i="5"/>
  <c r="BN16" i="5" s="1"/>
  <c r="K43" i="5"/>
  <c r="BN43" i="5" s="1"/>
  <c r="T18" i="5"/>
  <c r="DQ18" i="5" s="1"/>
  <c r="T45" i="5"/>
  <c r="DQ45" i="5" s="1"/>
  <c r="P18" i="5"/>
  <c r="AW18" i="5" s="1"/>
  <c r="P45" i="5"/>
  <c r="AW45" i="5" s="1"/>
  <c r="K18" i="5"/>
  <c r="BN18" i="5" s="1"/>
  <c r="K45" i="5"/>
  <c r="BN45" i="5" s="1"/>
  <c r="T19" i="5"/>
  <c r="DQ19" i="5" s="1"/>
  <c r="T46" i="5"/>
  <c r="DQ46" i="5" s="1"/>
  <c r="P19" i="5"/>
  <c r="AW19" i="5" s="1"/>
  <c r="P46" i="5"/>
  <c r="AW46" i="5" s="1"/>
  <c r="K19" i="5"/>
  <c r="BN19" i="5" s="1"/>
  <c r="K46" i="5"/>
  <c r="BN46" i="5" s="1"/>
  <c r="S12" i="5"/>
  <c r="CY12" i="5" s="1"/>
  <c r="S39" i="5"/>
  <c r="CY39" i="5" s="1"/>
  <c r="N12" i="5"/>
  <c r="DP12" i="5" s="1"/>
  <c r="N39" i="5"/>
  <c r="DP39" i="5" s="1"/>
  <c r="J12" i="5"/>
  <c r="AV12" i="5" s="1"/>
  <c r="J39" i="5"/>
  <c r="AV39" i="5" s="1"/>
  <c r="J17" i="5"/>
  <c r="AV17" i="5" s="1"/>
  <c r="J44" i="5"/>
  <c r="AV44" i="5" s="1"/>
  <c r="T9" i="5"/>
  <c r="DQ9" i="5" s="1"/>
  <c r="T36" i="5"/>
  <c r="DQ36" i="5" s="1"/>
  <c r="J9" i="5"/>
  <c r="AV9" i="5" s="1"/>
  <c r="J36" i="5"/>
  <c r="AV36" i="5" s="1"/>
  <c r="N21" i="5"/>
  <c r="DP21" i="5" s="1"/>
  <c r="N48" i="5"/>
  <c r="DP48" i="5" s="1"/>
  <c r="Z35" i="5"/>
  <c r="AA44" i="5"/>
  <c r="F29" i="5"/>
  <c r="S21" i="5"/>
  <c r="CY21" i="5" s="1"/>
  <c r="S48" i="5"/>
  <c r="CY48" i="5" s="1"/>
  <c r="Q15" i="5"/>
  <c r="BO15" i="5" s="1"/>
  <c r="Q42" i="5"/>
  <c r="BO42" i="5" s="1"/>
  <c r="L15" i="5"/>
  <c r="CF15" i="5" s="1"/>
  <c r="L42" i="5"/>
  <c r="CF42" i="5" s="1"/>
  <c r="S8" i="5"/>
  <c r="CY8" i="5" s="1"/>
  <c r="S35" i="5"/>
  <c r="CY35" i="5" s="1"/>
  <c r="N8" i="5"/>
  <c r="DP8" i="5" s="1"/>
  <c r="N35" i="5"/>
  <c r="DP35" i="5" s="1"/>
  <c r="J8" i="5"/>
  <c r="AV8" i="5" s="1"/>
  <c r="J35" i="5"/>
  <c r="AV35" i="5" s="1"/>
  <c r="S10" i="5"/>
  <c r="CY10" i="5" s="1"/>
  <c r="S37" i="5"/>
  <c r="CY37" i="5" s="1"/>
  <c r="N10" i="5"/>
  <c r="DP10" i="5" s="1"/>
  <c r="N37" i="5"/>
  <c r="DP37" i="5" s="1"/>
  <c r="J10" i="5"/>
  <c r="AV10" i="5" s="1"/>
  <c r="J37" i="5"/>
  <c r="AV37" i="5" s="1"/>
  <c r="S11" i="5"/>
  <c r="CY11" i="5" s="1"/>
  <c r="S38" i="5"/>
  <c r="CY38" i="5" s="1"/>
  <c r="N11" i="5"/>
  <c r="DP11" i="5" s="1"/>
  <c r="N38" i="5"/>
  <c r="DP38" i="5" s="1"/>
  <c r="J11" i="5"/>
  <c r="AV11" i="5" s="1"/>
  <c r="J38" i="5"/>
  <c r="AV38" i="5" s="1"/>
  <c r="S20" i="5"/>
  <c r="CY20" i="5" s="1"/>
  <c r="S47" i="5"/>
  <c r="CY47" i="5" s="1"/>
  <c r="N20" i="5"/>
  <c r="DP20" i="5" s="1"/>
  <c r="N47" i="5"/>
  <c r="DP47" i="5" s="1"/>
  <c r="J20" i="5"/>
  <c r="AV20" i="5" s="1"/>
  <c r="J47" i="5"/>
  <c r="AV47" i="5" s="1"/>
  <c r="R9" i="5"/>
  <c r="CG9" i="5" s="1"/>
  <c r="R36" i="5"/>
  <c r="CG36" i="5" s="1"/>
  <c r="P9" i="5"/>
  <c r="AW9" i="5" s="1"/>
  <c r="P36" i="5"/>
  <c r="AW36" i="5" s="1"/>
  <c r="Z40" i="5"/>
  <c r="AA42" i="5"/>
  <c r="T22" i="5"/>
  <c r="DQ22" i="5" s="1"/>
  <c r="T49" i="5"/>
  <c r="DQ49" i="5" s="1"/>
  <c r="Z46" i="5"/>
  <c r="Z44" i="5"/>
  <c r="Z39" i="5"/>
  <c r="T13" i="5"/>
  <c r="DQ13" i="5" s="1"/>
  <c r="T40" i="5"/>
  <c r="DQ40" i="5" s="1"/>
  <c r="T7" i="5"/>
  <c r="DQ7" i="5" s="1"/>
  <c r="T34" i="5"/>
  <c r="DQ34" i="5" s="1"/>
  <c r="T16" i="5"/>
  <c r="DQ16" i="5" s="1"/>
  <c r="T43" i="5"/>
  <c r="DQ43" i="5" s="1"/>
  <c r="M13" i="5"/>
  <c r="CX13" i="5" s="1"/>
  <c r="M40" i="5"/>
  <c r="CX40" i="5" s="1"/>
  <c r="P22" i="5"/>
  <c r="AW22" i="5" s="1"/>
  <c r="P49" i="5"/>
  <c r="AW49" i="5" s="1"/>
  <c r="L13" i="5"/>
  <c r="CF13" i="5" s="1"/>
  <c r="L40" i="5"/>
  <c r="CF40" i="5" s="1"/>
  <c r="S14" i="5"/>
  <c r="CY14" i="5" s="1"/>
  <c r="S41" i="5"/>
  <c r="CY41" i="5" s="1"/>
  <c r="M14" i="5"/>
  <c r="CX14" i="5" s="1"/>
  <c r="M41" i="5"/>
  <c r="CX41" i="5" s="1"/>
  <c r="Q7" i="5"/>
  <c r="BO7" i="5" s="1"/>
  <c r="Q34" i="5"/>
  <c r="BO34" i="5" s="1"/>
  <c r="L7" i="5"/>
  <c r="CF7" i="5" s="1"/>
  <c r="L34" i="5"/>
  <c r="CF34" i="5" s="1"/>
  <c r="S16" i="5"/>
  <c r="CY16" i="5" s="1"/>
  <c r="S43" i="5"/>
  <c r="CY43" i="5" s="1"/>
  <c r="N16" i="5"/>
  <c r="DP16" i="5" s="1"/>
  <c r="N43" i="5"/>
  <c r="DP43" i="5" s="1"/>
  <c r="J16" i="5"/>
  <c r="AV16" i="5" s="1"/>
  <c r="J43" i="5"/>
  <c r="AV43" i="5" s="1"/>
  <c r="S18" i="5"/>
  <c r="CY18" i="5" s="1"/>
  <c r="S45" i="5"/>
  <c r="CY45" i="5" s="1"/>
  <c r="N18" i="5"/>
  <c r="DP18" i="5" s="1"/>
  <c r="N45" i="5"/>
  <c r="DP45" i="5" s="1"/>
  <c r="J18" i="5"/>
  <c r="AV18" i="5" s="1"/>
  <c r="J45" i="5"/>
  <c r="AV45" i="5" s="1"/>
  <c r="S19" i="5"/>
  <c r="CY19" i="5" s="1"/>
  <c r="S46" i="5"/>
  <c r="CY46" i="5" s="1"/>
  <c r="N19" i="5"/>
  <c r="DP19" i="5" s="1"/>
  <c r="N46" i="5"/>
  <c r="DP46" i="5" s="1"/>
  <c r="J19" i="5"/>
  <c r="AV19" i="5" s="1"/>
  <c r="J46" i="5"/>
  <c r="AV46" i="5" s="1"/>
  <c r="R12" i="5"/>
  <c r="CG12" i="5" s="1"/>
  <c r="R39" i="5"/>
  <c r="CG39" i="5" s="1"/>
  <c r="M12" i="5"/>
  <c r="CX12" i="5" s="1"/>
  <c r="M39" i="5"/>
  <c r="CX39" i="5" s="1"/>
  <c r="M9" i="5"/>
  <c r="CX9" i="5" s="1"/>
  <c r="M36" i="5"/>
  <c r="CX36" i="5" s="1"/>
  <c r="K9" i="5"/>
  <c r="BN9" i="5" s="1"/>
  <c r="K36" i="5"/>
  <c r="BN36" i="5" s="1"/>
  <c r="N13" i="5"/>
  <c r="DP13" i="5" s="1"/>
  <c r="N40" i="5"/>
  <c r="DP40" i="5" s="1"/>
  <c r="AA38" i="5"/>
  <c r="Z49" i="5"/>
  <c r="AA36" i="5"/>
  <c r="Z42" i="5"/>
  <c r="Z45" i="5"/>
  <c r="M21" i="5"/>
  <c r="CX21" i="5" s="1"/>
  <c r="M48" i="5"/>
  <c r="CX48" i="5" s="1"/>
  <c r="R13" i="5"/>
  <c r="CG13" i="5" s="1"/>
  <c r="R40" i="5"/>
  <c r="CG40" i="5" s="1"/>
  <c r="L21" i="5"/>
  <c r="CF21" i="5" s="1"/>
  <c r="L48" i="5"/>
  <c r="CF48" i="5" s="1"/>
  <c r="M22" i="5"/>
  <c r="CX22" i="5" s="1"/>
  <c r="M49" i="5"/>
  <c r="CX49" i="5" s="1"/>
  <c r="P15" i="5"/>
  <c r="AW15" i="5" s="1"/>
  <c r="P42" i="5"/>
  <c r="AW42" i="5" s="1"/>
  <c r="K15" i="5"/>
  <c r="BN15" i="5" s="1"/>
  <c r="K42" i="5"/>
  <c r="BN42" i="5" s="1"/>
  <c r="R8" i="5"/>
  <c r="CG8" i="5" s="1"/>
  <c r="R35" i="5"/>
  <c r="CG35" i="5" s="1"/>
  <c r="M8" i="5"/>
  <c r="CX8" i="5" s="1"/>
  <c r="M35" i="5"/>
  <c r="CX35" i="5" s="1"/>
  <c r="R10" i="5"/>
  <c r="CG10" i="5" s="1"/>
  <c r="R37" i="5"/>
  <c r="CG37" i="5" s="1"/>
  <c r="M10" i="5"/>
  <c r="CX10" i="5" s="1"/>
  <c r="M37" i="5"/>
  <c r="CX37" i="5" s="1"/>
  <c r="R11" i="5"/>
  <c r="CG11" i="5" s="1"/>
  <c r="R38" i="5"/>
  <c r="CG38" i="5" s="1"/>
  <c r="M11" i="5"/>
  <c r="CX11" i="5" s="1"/>
  <c r="M38" i="5"/>
  <c r="CX38" i="5" s="1"/>
  <c r="R20" i="5"/>
  <c r="CG20" i="5" s="1"/>
  <c r="R47" i="5"/>
  <c r="CG47" i="5" s="1"/>
  <c r="M20" i="5"/>
  <c r="CX20" i="5" s="1"/>
  <c r="M47" i="5"/>
  <c r="CX47" i="5" s="1"/>
  <c r="R17" i="5"/>
  <c r="CG17" i="5" s="1"/>
  <c r="R44" i="5"/>
  <c r="CG44" i="5" s="1"/>
  <c r="T17" i="5"/>
  <c r="DQ17" i="5" s="1"/>
  <c r="T44" i="5"/>
  <c r="DQ44" i="5" s="1"/>
  <c r="L17" i="5"/>
  <c r="CF17" i="5" s="1"/>
  <c r="L44" i="5"/>
  <c r="CF44" i="5" s="1"/>
  <c r="AA48" i="5"/>
  <c r="N22" i="5"/>
  <c r="DP22" i="5" s="1"/>
  <c r="N49" i="5"/>
  <c r="DP49" i="5" s="1"/>
  <c r="Z38" i="5"/>
  <c r="Z36" i="5"/>
  <c r="AA34" i="5"/>
  <c r="G29" i="5"/>
  <c r="T8" i="5"/>
  <c r="DQ8" i="5" s="1"/>
  <c r="T35" i="5"/>
  <c r="DQ35" i="5" s="1"/>
  <c r="J14" i="5"/>
  <c r="AV14" i="5" s="1"/>
  <c r="J41" i="5"/>
  <c r="AV41" i="5" s="1"/>
  <c r="J22" i="5"/>
  <c r="AV22" i="5" s="1"/>
  <c r="J49" i="5"/>
  <c r="AV49" i="5" s="1"/>
  <c r="R21" i="5"/>
  <c r="CG21" i="5" s="1"/>
  <c r="R48" i="5"/>
  <c r="CG48" i="5" s="1"/>
  <c r="S22" i="5"/>
  <c r="CY22" i="5" s="1"/>
  <c r="S49" i="5"/>
  <c r="CY49" i="5" s="1"/>
  <c r="Q13" i="5"/>
  <c r="BO13" i="5" s="1"/>
  <c r="Q40" i="5"/>
  <c r="BO40" i="5" s="1"/>
  <c r="K13" i="5"/>
  <c r="BN13" i="5" s="1"/>
  <c r="K40" i="5"/>
  <c r="BN40" i="5" s="1"/>
  <c r="R14" i="5"/>
  <c r="CG14" i="5" s="1"/>
  <c r="R41" i="5"/>
  <c r="CG41" i="5" s="1"/>
  <c r="L14" i="5"/>
  <c r="CF14" i="5" s="1"/>
  <c r="L41" i="5"/>
  <c r="CF41" i="5" s="1"/>
  <c r="T15" i="5"/>
  <c r="DQ15" i="5" s="1"/>
  <c r="T42" i="5"/>
  <c r="DQ42" i="5" s="1"/>
  <c r="P7" i="5"/>
  <c r="AW7" i="5" s="1"/>
  <c r="P34" i="5"/>
  <c r="AW34" i="5" s="1"/>
  <c r="K7" i="5"/>
  <c r="BN7" i="5" s="1"/>
  <c r="K34" i="5"/>
  <c r="BN34" i="5" s="1"/>
  <c r="R16" i="5"/>
  <c r="CG16" i="5" s="1"/>
  <c r="R43" i="5"/>
  <c r="CG43" i="5" s="1"/>
  <c r="M16" i="5"/>
  <c r="CX16" i="5" s="1"/>
  <c r="M43" i="5"/>
  <c r="CX43" i="5" s="1"/>
  <c r="R18" i="5"/>
  <c r="CG18" i="5" s="1"/>
  <c r="R45" i="5"/>
  <c r="CG45" i="5" s="1"/>
  <c r="M18" i="5"/>
  <c r="CX18" i="5" s="1"/>
  <c r="M45" i="5"/>
  <c r="CX45" i="5" s="1"/>
  <c r="R19" i="5"/>
  <c r="CG19" i="5" s="1"/>
  <c r="R46" i="5"/>
  <c r="CG46" i="5" s="1"/>
  <c r="M19" i="5"/>
  <c r="CX19" i="5" s="1"/>
  <c r="M46" i="5"/>
  <c r="CX46" i="5" s="1"/>
  <c r="Q12" i="5"/>
  <c r="BO12" i="5" s="1"/>
  <c r="Q39" i="5"/>
  <c r="BO39" i="5" s="1"/>
  <c r="L12" i="5"/>
  <c r="CF12" i="5" s="1"/>
  <c r="L39" i="5"/>
  <c r="CF39" i="5" s="1"/>
  <c r="M17" i="5"/>
  <c r="CX17" i="5" s="1"/>
  <c r="M44" i="5"/>
  <c r="CX44" i="5" s="1"/>
  <c r="P17" i="5"/>
  <c r="AW17" i="5" s="1"/>
  <c r="P44" i="5"/>
  <c r="AW44" i="5" s="1"/>
  <c r="AA47" i="5"/>
  <c r="AA45" i="5"/>
  <c r="Z37" i="5"/>
  <c r="P21" i="5"/>
  <c r="AW21" i="5" s="1"/>
  <c r="P48" i="5"/>
  <c r="AW48" i="5" s="1"/>
  <c r="Q21" i="5"/>
  <c r="BO21" i="5" s="1"/>
  <c r="Q48" i="5"/>
  <c r="BO48" i="5" s="1"/>
  <c r="R22" i="5"/>
  <c r="CG22" i="5" s="1"/>
  <c r="R49" i="5"/>
  <c r="CG49" i="5" s="1"/>
  <c r="L22" i="5"/>
  <c r="CF22" i="5" s="1"/>
  <c r="L49" i="5"/>
  <c r="CF49" i="5" s="1"/>
  <c r="S15" i="5"/>
  <c r="CY15" i="5" s="1"/>
  <c r="S42" i="5"/>
  <c r="CY42" i="5" s="1"/>
  <c r="N15" i="5"/>
  <c r="DP15" i="5" s="1"/>
  <c r="N42" i="5"/>
  <c r="DP42" i="5" s="1"/>
  <c r="J15" i="5"/>
  <c r="AV15" i="5" s="1"/>
  <c r="J42" i="5"/>
  <c r="AV42" i="5" s="1"/>
  <c r="Q8" i="5"/>
  <c r="BO8" i="5" s="1"/>
  <c r="Q35" i="5"/>
  <c r="BO35" i="5" s="1"/>
  <c r="L8" i="5"/>
  <c r="CF8" i="5" s="1"/>
  <c r="L35" i="5"/>
  <c r="CF35" i="5" s="1"/>
  <c r="Q10" i="5"/>
  <c r="BO10" i="5" s="1"/>
  <c r="Q37" i="5"/>
  <c r="BO37" i="5" s="1"/>
  <c r="L10" i="5"/>
  <c r="CF10" i="5" s="1"/>
  <c r="L37" i="5"/>
  <c r="CF37" i="5" s="1"/>
  <c r="Q11" i="5"/>
  <c r="BO11" i="5" s="1"/>
  <c r="Q38" i="5"/>
  <c r="BO38" i="5" s="1"/>
  <c r="L11" i="5"/>
  <c r="CF11" i="5" s="1"/>
  <c r="L38" i="5"/>
  <c r="CF38" i="5" s="1"/>
  <c r="Q20" i="5"/>
  <c r="BO20" i="5" s="1"/>
  <c r="Q47" i="5"/>
  <c r="BO47" i="5" s="1"/>
  <c r="L20" i="5"/>
  <c r="CF20" i="5" s="1"/>
  <c r="L47" i="5"/>
  <c r="CF47" i="5" s="1"/>
  <c r="Q9" i="5"/>
  <c r="BO9" i="5" s="1"/>
  <c r="Q36" i="5"/>
  <c r="BO36" i="5" s="1"/>
  <c r="K17" i="5"/>
  <c r="BN17" i="5" s="1"/>
  <c r="K44" i="5"/>
  <c r="BN44" i="5" s="1"/>
  <c r="T14" i="5"/>
  <c r="DQ14" i="5" s="1"/>
  <c r="T41" i="5"/>
  <c r="DQ41" i="5" s="1"/>
  <c r="AA41" i="5"/>
  <c r="AA39" i="5"/>
  <c r="Z6" i="2"/>
  <c r="P52" i="7" s="1"/>
  <c r="L25" i="7" s="1"/>
  <c r="J11" i="4" s="1"/>
  <c r="K11" i="4" s="1"/>
  <c r="L11" i="4" s="1"/>
  <c r="V9" i="5"/>
  <c r="Z16" i="2"/>
  <c r="P62" i="7" s="1"/>
  <c r="L35" i="7" s="1"/>
  <c r="J21" i="4" s="1"/>
  <c r="K21" i="4" s="1"/>
  <c r="L21" i="4" s="1"/>
  <c r="Z10" i="2"/>
  <c r="P56" i="7" s="1"/>
  <c r="L29" i="7" s="1"/>
  <c r="J15" i="4" s="1"/>
  <c r="K15" i="4" s="1"/>
  <c r="L15" i="4" s="1"/>
  <c r="V13" i="5"/>
  <c r="U48" i="5"/>
  <c r="Z9" i="2"/>
  <c r="P55" i="7" s="1"/>
  <c r="L28" i="7" s="1"/>
  <c r="J14" i="4" s="1"/>
  <c r="K14" i="4" s="1"/>
  <c r="L14" i="4" s="1"/>
  <c r="Y7" i="2"/>
  <c r="E53" i="7" s="1"/>
  <c r="V12" i="5"/>
  <c r="V11" i="5"/>
  <c r="U46" i="5"/>
  <c r="Y10" i="2"/>
  <c r="E56" i="7" s="1"/>
  <c r="Y15" i="2"/>
  <c r="E61" i="7" s="1"/>
  <c r="Z7" i="2"/>
  <c r="P53" i="7" s="1"/>
  <c r="L26" i="7" s="1"/>
  <c r="J12" i="4" s="1"/>
  <c r="K12" i="4" s="1"/>
  <c r="L12" i="4" s="1"/>
  <c r="U45" i="5"/>
  <c r="V43" i="5"/>
  <c r="V42" i="5"/>
  <c r="U12" i="5"/>
  <c r="Y16" i="2"/>
  <c r="E62" i="7" s="1"/>
  <c r="Z12" i="2"/>
  <c r="P58" i="7" s="1"/>
  <c r="L31" i="7" s="1"/>
  <c r="J17" i="4" s="1"/>
  <c r="K17" i="4" s="1"/>
  <c r="L17" i="4" s="1"/>
  <c r="Z14" i="2"/>
  <c r="U36" i="5"/>
  <c r="U43" i="5"/>
  <c r="Z11" i="2"/>
  <c r="V17" i="5"/>
  <c r="U9" i="5"/>
  <c r="V46" i="5"/>
  <c r="Y9" i="2"/>
  <c r="E55" i="7" s="1"/>
  <c r="V37" i="5"/>
  <c r="U38" i="5"/>
  <c r="V48" i="5"/>
  <c r="U44" i="5"/>
  <c r="U11" i="5"/>
  <c r="V21" i="5"/>
  <c r="U17" i="5"/>
  <c r="U37" i="5"/>
  <c r="Z5" i="2"/>
  <c r="P51" i="7" s="1"/>
  <c r="L24" i="7" s="1"/>
  <c r="J10" i="4" s="1"/>
  <c r="K10" i="4" s="1"/>
  <c r="L10" i="4" s="1"/>
  <c r="V41" i="5"/>
  <c r="V8" i="5"/>
  <c r="U42" i="5"/>
  <c r="Y12" i="2"/>
  <c r="V22" i="5"/>
  <c r="V49" i="5"/>
  <c r="U7" i="5"/>
  <c r="U34" i="5"/>
  <c r="Z19" i="2"/>
  <c r="P65" i="7" s="1"/>
  <c r="L38" i="7" s="1"/>
  <c r="J24" i="4" s="1"/>
  <c r="K24" i="4" s="1"/>
  <c r="L24" i="4" s="1"/>
  <c r="X48" i="5"/>
  <c r="W44" i="5"/>
  <c r="V20" i="5"/>
  <c r="V47" i="5"/>
  <c r="V18" i="5"/>
  <c r="V45" i="5"/>
  <c r="AA19" i="5"/>
  <c r="AA16" i="5"/>
  <c r="Z14" i="5"/>
  <c r="AH14" i="5" s="1"/>
  <c r="AH18" i="5"/>
  <c r="AH15" i="5"/>
  <c r="Z17" i="2"/>
  <c r="P63" i="7" s="1"/>
  <c r="L36" i="7" s="1"/>
  <c r="J22" i="4" s="1"/>
  <c r="K22" i="4" s="1"/>
  <c r="L22" i="4" s="1"/>
  <c r="Z15" i="2"/>
  <c r="P61" i="7" s="1"/>
  <c r="L34" i="7" s="1"/>
  <c r="J20" i="4" s="1"/>
  <c r="K20" i="4" s="1"/>
  <c r="L20" i="4" s="1"/>
  <c r="AH17" i="5"/>
  <c r="F2" i="5"/>
  <c r="AA8" i="5"/>
  <c r="G2" i="5"/>
  <c r="AH13" i="5"/>
  <c r="AH11" i="5"/>
  <c r="AH9" i="5"/>
  <c r="AH12" i="5"/>
  <c r="AH21" i="5"/>
  <c r="AH20" i="5"/>
  <c r="AH10" i="5"/>
  <c r="E58" i="7" l="1"/>
  <c r="I31" i="7" s="1"/>
  <c r="G17" i="4" s="1"/>
  <c r="H17" i="4" s="1"/>
  <c r="I17" i="4" s="1"/>
  <c r="W35" i="5"/>
  <c r="E51" i="7"/>
  <c r="I24" i="7" s="1"/>
  <c r="E50" i="7"/>
  <c r="X34" i="5"/>
  <c r="CI34" i="5" s="1"/>
  <c r="P50" i="7"/>
  <c r="L23" i="7" s="1"/>
  <c r="J9" i="4" s="1"/>
  <c r="V7" i="5"/>
  <c r="V34" i="5"/>
  <c r="W15" i="5"/>
  <c r="AB15" i="5" s="1"/>
  <c r="W48" i="5"/>
  <c r="AX48" i="5" s="1"/>
  <c r="AZ48" i="5" s="1"/>
  <c r="I37" i="7"/>
  <c r="G23" i="4" s="1"/>
  <c r="H23" i="4" s="1"/>
  <c r="I23" i="4" s="1"/>
  <c r="W21" i="5" s="1"/>
  <c r="I32" i="7"/>
  <c r="G18" i="4" s="1"/>
  <c r="H18" i="4" s="1"/>
  <c r="I18" i="4" s="1"/>
  <c r="W16" i="5" s="1"/>
  <c r="CH16" i="5" s="1"/>
  <c r="X20" i="5"/>
  <c r="CI20" i="5" s="1"/>
  <c r="CP20" i="5" s="1"/>
  <c r="P57" i="7"/>
  <c r="I26" i="7"/>
  <c r="G12" i="4" s="1"/>
  <c r="H12" i="4" s="1"/>
  <c r="I12" i="4" s="1"/>
  <c r="W10" i="5" s="1"/>
  <c r="AB10" i="5" s="1"/>
  <c r="W43" i="5"/>
  <c r="AB43" i="5" s="1"/>
  <c r="X12" i="5"/>
  <c r="CI12" i="5" s="1"/>
  <c r="CP12" i="5" s="1"/>
  <c r="X9" i="5"/>
  <c r="AY9" i="5" s="1"/>
  <c r="BF9" i="5" s="1"/>
  <c r="W49" i="5"/>
  <c r="AB49" i="5" s="1"/>
  <c r="AD49" i="5" s="1"/>
  <c r="I38" i="7"/>
  <c r="G24" i="4" s="1"/>
  <c r="H24" i="4" s="1"/>
  <c r="I24" i="4" s="1"/>
  <c r="W22" i="5" s="1"/>
  <c r="X10" i="5"/>
  <c r="AY10" i="5" s="1"/>
  <c r="BF10" i="5" s="1"/>
  <c r="P60" i="7"/>
  <c r="L33" i="7" s="1"/>
  <c r="J19" i="4" s="1"/>
  <c r="K19" i="4" s="1"/>
  <c r="L19" i="4" s="1"/>
  <c r="X17" i="5" s="1"/>
  <c r="AC17" i="5" s="1"/>
  <c r="I34" i="7"/>
  <c r="G20" i="4" s="1"/>
  <c r="H20" i="4" s="1"/>
  <c r="I20" i="4" s="1"/>
  <c r="W18" i="5" s="1"/>
  <c r="CH18" i="5" s="1"/>
  <c r="CO18" i="5" s="1"/>
  <c r="X18" i="5"/>
  <c r="AC18" i="5" s="1"/>
  <c r="X8" i="5"/>
  <c r="DA8" i="5" s="1"/>
  <c r="DH8" i="5" s="1"/>
  <c r="I28" i="7"/>
  <c r="G14" i="4" s="1"/>
  <c r="H14" i="4" s="1"/>
  <c r="I14" i="4" s="1"/>
  <c r="W12" i="5" s="1"/>
  <c r="AX12" i="5" s="1"/>
  <c r="BE12" i="5" s="1"/>
  <c r="X15" i="5"/>
  <c r="AY15" i="5" s="1"/>
  <c r="BF15" i="5" s="1"/>
  <c r="I29" i="7"/>
  <c r="G15" i="4" s="1"/>
  <c r="H15" i="4" s="1"/>
  <c r="I15" i="4" s="1"/>
  <c r="W13" i="5" s="1"/>
  <c r="CH13" i="5" s="1"/>
  <c r="CO13" i="5" s="1"/>
  <c r="X13" i="5"/>
  <c r="AC13" i="5" s="1"/>
  <c r="X22" i="5"/>
  <c r="DS22" i="5" s="1"/>
  <c r="DV22" i="5" s="1"/>
  <c r="I35" i="7"/>
  <c r="G21" i="4" s="1"/>
  <c r="H21" i="4" s="1"/>
  <c r="I21" i="4" s="1"/>
  <c r="W19" i="5" s="1"/>
  <c r="X19" i="5"/>
  <c r="BQ19" i="5" s="1"/>
  <c r="BX19" i="5" s="1"/>
  <c r="W41" i="5"/>
  <c r="AX41" i="5" s="1"/>
  <c r="BE41" i="5" s="1"/>
  <c r="I30" i="7"/>
  <c r="G16" i="4" s="1"/>
  <c r="H16" i="4" s="1"/>
  <c r="I16" i="4" s="1"/>
  <c r="W14" i="5" s="1"/>
  <c r="BP14" i="5" s="1"/>
  <c r="BW14" i="5" s="1"/>
  <c r="X43" i="5"/>
  <c r="AC43" i="5" s="1"/>
  <c r="AJ43" i="5" s="1"/>
  <c r="P59" i="7"/>
  <c r="L32" i="7" s="1"/>
  <c r="J18" i="4" s="1"/>
  <c r="K18" i="4" s="1"/>
  <c r="L18" i="4" s="1"/>
  <c r="X16" i="5" s="1"/>
  <c r="BQ16" i="5" s="1"/>
  <c r="BT16" i="5" s="1"/>
  <c r="X11" i="5"/>
  <c r="DS11" i="5" s="1"/>
  <c r="DW11" i="5" s="1"/>
  <c r="X38" i="5"/>
  <c r="AC38" i="5" s="1"/>
  <c r="T13" i="4"/>
  <c r="S13" i="4"/>
  <c r="U13" i="4"/>
  <c r="R13" i="4"/>
  <c r="AA2" i="5"/>
  <c r="CZ47" i="5"/>
  <c r="DG47" i="5" s="1"/>
  <c r="BQ21" i="5"/>
  <c r="BT21" i="5" s="1"/>
  <c r="BP11" i="5"/>
  <c r="BS11" i="5" s="1"/>
  <c r="AX47" i="5"/>
  <c r="BE47" i="5" s="1"/>
  <c r="CZ17" i="5"/>
  <c r="DG17" i="5" s="1"/>
  <c r="CN12" i="5"/>
  <c r="DF12" i="5"/>
  <c r="BD7" i="5"/>
  <c r="DX13" i="5"/>
  <c r="BD9" i="5"/>
  <c r="DX15" i="5"/>
  <c r="U15" i="4"/>
  <c r="BD14" i="5"/>
  <c r="U22" i="4"/>
  <c r="BV10" i="5"/>
  <c r="AX11" i="5"/>
  <c r="BA11" i="5" s="1"/>
  <c r="DX12" i="5"/>
  <c r="BV18" i="5"/>
  <c r="BD12" i="5"/>
  <c r="BV17" i="5"/>
  <c r="DX20" i="5"/>
  <c r="CZ11" i="5"/>
  <c r="DB11" i="5" s="1"/>
  <c r="DX9" i="5"/>
  <c r="DR11" i="5"/>
  <c r="DY11" i="5" s="1"/>
  <c r="R18" i="4"/>
  <c r="CZ36" i="5"/>
  <c r="DG36" i="5" s="1"/>
  <c r="DX8" i="5"/>
  <c r="DX7" i="5"/>
  <c r="BV9" i="5"/>
  <c r="S20" i="4"/>
  <c r="BD20" i="5"/>
  <c r="DX11" i="5"/>
  <c r="DF7" i="5"/>
  <c r="BD49" i="5"/>
  <c r="BV13" i="5"/>
  <c r="CH20" i="5"/>
  <c r="CO20" i="5" s="1"/>
  <c r="DF13" i="5"/>
  <c r="AH19" i="5"/>
  <c r="AH16" i="5"/>
  <c r="T16" i="4"/>
  <c r="BD18" i="5"/>
  <c r="BD40" i="5"/>
  <c r="CN15" i="5"/>
  <c r="CN45" i="5"/>
  <c r="DX16" i="5"/>
  <c r="U14" i="4"/>
  <c r="CN18" i="5"/>
  <c r="S11" i="4"/>
  <c r="T20" i="4"/>
  <c r="S9" i="4"/>
  <c r="CZ38" i="5"/>
  <c r="DC38" i="5" s="1"/>
  <c r="DF9" i="5"/>
  <c r="BV35" i="5"/>
  <c r="BD44" i="5"/>
  <c r="DF40" i="5"/>
  <c r="CN9" i="5"/>
  <c r="BD11" i="5"/>
  <c r="T15" i="4"/>
  <c r="CN46" i="5"/>
  <c r="CN17" i="5"/>
  <c r="CN11" i="5"/>
  <c r="CN8" i="5"/>
  <c r="S22" i="4"/>
  <c r="R12" i="4"/>
  <c r="BV14" i="5"/>
  <c r="DF20" i="5"/>
  <c r="T11" i="4"/>
  <c r="DX39" i="5"/>
  <c r="BD13" i="5"/>
  <c r="W46" i="5"/>
  <c r="CH46" i="5" s="1"/>
  <c r="DF17" i="5"/>
  <c r="X39" i="5"/>
  <c r="DS39" i="5" s="1"/>
  <c r="DX14" i="5"/>
  <c r="U11" i="4"/>
  <c r="BP20" i="5"/>
  <c r="BW20" i="5" s="1"/>
  <c r="AX9" i="5"/>
  <c r="BA9" i="5" s="1"/>
  <c r="DX17" i="5"/>
  <c r="DF15" i="5"/>
  <c r="T17" i="4"/>
  <c r="BV45" i="5"/>
  <c r="R21" i="4"/>
  <c r="DX18" i="5"/>
  <c r="CN7" i="5"/>
  <c r="CZ9" i="5"/>
  <c r="DC9" i="5" s="1"/>
  <c r="CN14" i="5"/>
  <c r="R9" i="4"/>
  <c r="R11" i="4"/>
  <c r="X40" i="5"/>
  <c r="CI40" i="5" s="1"/>
  <c r="T19" i="4"/>
  <c r="S21" i="4"/>
  <c r="BV15" i="5"/>
  <c r="CH9" i="5"/>
  <c r="CK9" i="5" s="1"/>
  <c r="BV12" i="5"/>
  <c r="U16" i="4"/>
  <c r="S10" i="4"/>
  <c r="CH11" i="5"/>
  <c r="CK11" i="5" s="1"/>
  <c r="AB9" i="5"/>
  <c r="BP9" i="5"/>
  <c r="BW9" i="5" s="1"/>
  <c r="BV11" i="5"/>
  <c r="BV7" i="5"/>
  <c r="DF11" i="5"/>
  <c r="DR9" i="5"/>
  <c r="DU9" i="5" s="1"/>
  <c r="W37" i="5"/>
  <c r="AX37" i="5" s="1"/>
  <c r="X44" i="5"/>
  <c r="AC44" i="5" s="1"/>
  <c r="AJ44" i="5" s="1"/>
  <c r="X37" i="5"/>
  <c r="DS37" i="5" s="1"/>
  <c r="BD8" i="5"/>
  <c r="W39" i="5"/>
  <c r="AB39" i="5" s="1"/>
  <c r="X46" i="5"/>
  <c r="CI46" i="5" s="1"/>
  <c r="DF18" i="5"/>
  <c r="CN13" i="5"/>
  <c r="W45" i="5"/>
  <c r="AX45" i="5" s="1"/>
  <c r="X41" i="5"/>
  <c r="AY41" i="5" s="1"/>
  <c r="CZ20" i="5"/>
  <c r="DG20" i="5" s="1"/>
  <c r="CN43" i="5"/>
  <c r="BV20" i="5"/>
  <c r="AB20" i="5"/>
  <c r="R19" i="4"/>
  <c r="CN20" i="5"/>
  <c r="BD15" i="5"/>
  <c r="DX21" i="5"/>
  <c r="BD22" i="5"/>
  <c r="BD17" i="5"/>
  <c r="T38" i="4"/>
  <c r="D53" i="7" s="1"/>
  <c r="R20" i="4"/>
  <c r="U19" i="4"/>
  <c r="R22" i="4"/>
  <c r="S17" i="4"/>
  <c r="CN44" i="5"/>
  <c r="CN40" i="5"/>
  <c r="BV38" i="5"/>
  <c r="BP38" i="5"/>
  <c r="BW38" i="5" s="1"/>
  <c r="R17" i="4"/>
  <c r="R14" i="4"/>
  <c r="CN47" i="5"/>
  <c r="U20" i="4"/>
  <c r="T9" i="4"/>
  <c r="R10" i="4"/>
  <c r="CH47" i="5"/>
  <c r="CJ47" i="5" s="1"/>
  <c r="W40" i="5"/>
  <c r="CH40" i="5" s="1"/>
  <c r="DX38" i="5"/>
  <c r="BD45" i="5"/>
  <c r="DF34" i="5"/>
  <c r="BV49" i="5"/>
  <c r="T23" i="4"/>
  <c r="DX42" i="5"/>
  <c r="BV40" i="5"/>
  <c r="S12" i="4"/>
  <c r="AB47" i="5"/>
  <c r="AI47" i="5" s="1"/>
  <c r="BV21" i="5"/>
  <c r="T47" i="4"/>
  <c r="D62" i="7" s="1"/>
  <c r="BD48" i="5"/>
  <c r="DF39" i="5"/>
  <c r="CN21" i="5"/>
  <c r="T14" i="4"/>
  <c r="S18" i="4"/>
  <c r="DF14" i="5"/>
  <c r="BD39" i="5"/>
  <c r="BD42" i="5"/>
  <c r="CN39" i="5"/>
  <c r="DX37" i="5"/>
  <c r="CN42" i="5"/>
  <c r="CN41" i="5"/>
  <c r="CN48" i="5"/>
  <c r="DX36" i="5"/>
  <c r="DR36" i="5"/>
  <c r="DT36" i="5" s="1"/>
  <c r="BV47" i="5"/>
  <c r="BP47" i="5"/>
  <c r="BW47" i="5" s="1"/>
  <c r="BV48" i="5"/>
  <c r="DX41" i="5"/>
  <c r="DX40" i="5"/>
  <c r="BV44" i="5"/>
  <c r="DX47" i="5"/>
  <c r="DR47" i="5"/>
  <c r="DT47" i="5" s="1"/>
  <c r="BP36" i="5"/>
  <c r="BR36" i="5" s="1"/>
  <c r="CN36" i="5"/>
  <c r="CH36" i="5"/>
  <c r="CJ36" i="5" s="1"/>
  <c r="AX38" i="5"/>
  <c r="AZ38" i="5" s="1"/>
  <c r="BD38" i="5"/>
  <c r="S14" i="4"/>
  <c r="S19" i="4"/>
  <c r="DF45" i="5"/>
  <c r="R39" i="4"/>
  <c r="C54" i="7" s="1"/>
  <c r="S39" i="4"/>
  <c r="CN35" i="5"/>
  <c r="S40" i="4"/>
  <c r="R40" i="4"/>
  <c r="C55" i="7" s="1"/>
  <c r="DF37" i="5"/>
  <c r="CG2" i="5"/>
  <c r="DF41" i="5"/>
  <c r="T49" i="4"/>
  <c r="D64" i="7" s="1"/>
  <c r="U49" i="4"/>
  <c r="R50" i="4"/>
  <c r="C65" i="7" s="1"/>
  <c r="S50" i="4"/>
  <c r="AH49" i="5"/>
  <c r="DQ2" i="5"/>
  <c r="AH35" i="5"/>
  <c r="R36" i="4"/>
  <c r="C51" i="7" s="1"/>
  <c r="S36" i="4"/>
  <c r="DX46" i="5"/>
  <c r="T36" i="4"/>
  <c r="D51" i="7" s="1"/>
  <c r="BD35" i="5"/>
  <c r="U36" i="4"/>
  <c r="T22" i="4"/>
  <c r="U17" i="4"/>
  <c r="BD41" i="5"/>
  <c r="T35" i="4"/>
  <c r="D50" i="7" s="1"/>
  <c r="U35" i="4"/>
  <c r="AH34" i="5"/>
  <c r="AA29" i="5"/>
  <c r="T39" i="4"/>
  <c r="D54" i="7" s="1"/>
  <c r="U39" i="4"/>
  <c r="AB38" i="5"/>
  <c r="AH38" i="5"/>
  <c r="DF46" i="5"/>
  <c r="U50" i="4"/>
  <c r="T50" i="4"/>
  <c r="D65" i="7" s="1"/>
  <c r="T41" i="4"/>
  <c r="D56" i="7" s="1"/>
  <c r="U41" i="4"/>
  <c r="AH40" i="5"/>
  <c r="BV41" i="5"/>
  <c r="AX17" i="5"/>
  <c r="AZ17" i="5" s="1"/>
  <c r="BV39" i="5"/>
  <c r="U48" i="4"/>
  <c r="T48" i="4"/>
  <c r="D63" i="7" s="1"/>
  <c r="DQ29" i="5"/>
  <c r="DX34" i="5"/>
  <c r="R37" i="4"/>
  <c r="C52" i="7" s="1"/>
  <c r="S37" i="4"/>
  <c r="DX48" i="5"/>
  <c r="AH45" i="5"/>
  <c r="S46" i="4"/>
  <c r="R46" i="4"/>
  <c r="C61" i="7" s="1"/>
  <c r="AX36" i="5"/>
  <c r="BD36" i="5"/>
  <c r="BO2" i="5"/>
  <c r="T43" i="4"/>
  <c r="D58" i="7" s="1"/>
  <c r="U43" i="4"/>
  <c r="DF44" i="5"/>
  <c r="U44" i="4"/>
  <c r="T44" i="4"/>
  <c r="D59" i="7" s="1"/>
  <c r="BD43" i="5"/>
  <c r="AH48" i="5"/>
  <c r="R49" i="4"/>
  <c r="C64" i="7" s="1"/>
  <c r="S49" i="4"/>
  <c r="BD37" i="5"/>
  <c r="S42" i="4"/>
  <c r="R42" i="4"/>
  <c r="C57" i="7" s="1"/>
  <c r="U47" i="4"/>
  <c r="CY2" i="5"/>
  <c r="DR20" i="5"/>
  <c r="DY20" i="5" s="1"/>
  <c r="U40" i="4"/>
  <c r="T40" i="4"/>
  <c r="D55" i="7" s="1"/>
  <c r="AH39" i="5"/>
  <c r="U42" i="4"/>
  <c r="T42" i="4"/>
  <c r="D57" i="7" s="1"/>
  <c r="AH41" i="5"/>
  <c r="CN49" i="5"/>
  <c r="S38" i="4"/>
  <c r="R38" i="4"/>
  <c r="C53" i="7" s="1"/>
  <c r="AH37" i="5"/>
  <c r="DX45" i="5"/>
  <c r="AW2" i="5"/>
  <c r="CY29" i="5"/>
  <c r="CN37" i="5"/>
  <c r="AH42" i="5"/>
  <c r="R43" i="4"/>
  <c r="C58" i="7" s="1"/>
  <c r="S43" i="4"/>
  <c r="R47" i="4"/>
  <c r="C62" i="7" s="1"/>
  <c r="S47" i="4"/>
  <c r="AH46" i="5"/>
  <c r="T45" i="4"/>
  <c r="D60" i="7" s="1"/>
  <c r="U45" i="4"/>
  <c r="AH44" i="5"/>
  <c r="BV46" i="5"/>
  <c r="BV43" i="5"/>
  <c r="U46" i="4"/>
  <c r="T46" i="4"/>
  <c r="D61" i="7" s="1"/>
  <c r="AW29" i="5"/>
  <c r="BD34" i="5"/>
  <c r="BV36" i="5"/>
  <c r="T37" i="4"/>
  <c r="D52" i="7" s="1"/>
  <c r="U37" i="4"/>
  <c r="AB36" i="5"/>
  <c r="AI36" i="5" s="1"/>
  <c r="AH36" i="5"/>
  <c r="BV42" i="5"/>
  <c r="DR38" i="5"/>
  <c r="DY38" i="5" s="1"/>
  <c r="U23" i="4"/>
  <c r="BD21" i="5"/>
  <c r="X36" i="5"/>
  <c r="AY36" i="5" s="1"/>
  <c r="BV37" i="5"/>
  <c r="BD47" i="5"/>
  <c r="CG29" i="5"/>
  <c r="CN34" i="5"/>
  <c r="DF42" i="5"/>
  <c r="DF38" i="5"/>
  <c r="DF43" i="5"/>
  <c r="DX43" i="5"/>
  <c r="DX44" i="5"/>
  <c r="DX49" i="5"/>
  <c r="DF35" i="5"/>
  <c r="U38" i="4"/>
  <c r="AH47" i="5"/>
  <c r="S48" i="4"/>
  <c r="R48" i="4"/>
  <c r="C63" i="7" s="1"/>
  <c r="AH43" i="5"/>
  <c r="S44" i="4"/>
  <c r="R44" i="4"/>
  <c r="C59" i="7" s="1"/>
  <c r="DF36" i="5"/>
  <c r="AX20" i="5"/>
  <c r="BE20" i="5" s="1"/>
  <c r="U9" i="4"/>
  <c r="DF47" i="5"/>
  <c r="DF49" i="5"/>
  <c r="DX35" i="5"/>
  <c r="BV34" i="5"/>
  <c r="BO29" i="5"/>
  <c r="DF48" i="5"/>
  <c r="CH38" i="5"/>
  <c r="CN38" i="5"/>
  <c r="R45" i="4"/>
  <c r="C60" i="7" s="1"/>
  <c r="S45" i="4"/>
  <c r="R41" i="4"/>
  <c r="C56" i="7" s="1"/>
  <c r="S41" i="4"/>
  <c r="BD46" i="5"/>
  <c r="R35" i="4"/>
  <c r="C50" i="7" s="1"/>
  <c r="S35" i="4"/>
  <c r="X35" i="5"/>
  <c r="DA35" i="5" s="1"/>
  <c r="W42" i="5"/>
  <c r="BP42" i="5" s="1"/>
  <c r="CH17" i="5"/>
  <c r="CK17" i="5" s="1"/>
  <c r="X42" i="5"/>
  <c r="AY42" i="5" s="1"/>
  <c r="CI21" i="5"/>
  <c r="CM21" i="5" s="1"/>
  <c r="AJ21" i="5"/>
  <c r="DA21" i="5"/>
  <c r="DH21" i="5" s="1"/>
  <c r="DR17" i="5"/>
  <c r="DY17" i="5" s="1"/>
  <c r="AB17" i="5"/>
  <c r="BP17" i="5"/>
  <c r="BW17" i="5" s="1"/>
  <c r="AC48" i="5"/>
  <c r="AY48" i="5"/>
  <c r="BQ48" i="5"/>
  <c r="CI48" i="5"/>
  <c r="DA48" i="5"/>
  <c r="DS48" i="5"/>
  <c r="X49" i="5"/>
  <c r="X45" i="5"/>
  <c r="X47" i="5"/>
  <c r="DS21" i="5"/>
  <c r="DZ21" i="5" s="1"/>
  <c r="AB44" i="5"/>
  <c r="CZ44" i="5"/>
  <c r="BP44" i="5"/>
  <c r="DR44" i="5"/>
  <c r="AX44" i="5"/>
  <c r="CH44" i="5"/>
  <c r="AB35" i="5"/>
  <c r="CH35" i="5"/>
  <c r="DR35" i="5"/>
  <c r="AX35" i="5"/>
  <c r="BP35" i="5"/>
  <c r="CZ35" i="5"/>
  <c r="AY21" i="5"/>
  <c r="BF21" i="5" s="1"/>
  <c r="BV16" i="5"/>
  <c r="CN10" i="5"/>
  <c r="DX10" i="5"/>
  <c r="T24" i="4"/>
  <c r="DF16" i="5"/>
  <c r="BV22" i="5"/>
  <c r="DF8" i="5"/>
  <c r="DX19" i="5"/>
  <c r="R24" i="4"/>
  <c r="DX22" i="5"/>
  <c r="U24" i="4"/>
  <c r="DF22" i="5"/>
  <c r="CN19" i="5"/>
  <c r="CN22" i="5"/>
  <c r="U21" i="4"/>
  <c r="T21" i="4"/>
  <c r="S24" i="4"/>
  <c r="DF10" i="5"/>
  <c r="BV8" i="5"/>
  <c r="R23" i="4"/>
  <c r="T18" i="4"/>
  <c r="BD16" i="5"/>
  <c r="R16" i="4"/>
  <c r="BD19" i="5"/>
  <c r="S23" i="4"/>
  <c r="DF21" i="5"/>
  <c r="S16" i="4"/>
  <c r="BD10" i="5"/>
  <c r="R15" i="4"/>
  <c r="S15" i="4"/>
  <c r="DF19" i="5"/>
  <c r="CN16" i="5"/>
  <c r="U12" i="4"/>
  <c r="T10" i="4"/>
  <c r="U10" i="4"/>
  <c r="AH8" i="5"/>
  <c r="T12" i="4"/>
  <c r="BV19" i="5"/>
  <c r="U18" i="4"/>
  <c r="AE11" i="5"/>
  <c r="AD11" i="5"/>
  <c r="AI11" i="5"/>
  <c r="AY34" i="5" l="1"/>
  <c r="BF34" i="5" s="1"/>
  <c r="AC34" i="5"/>
  <c r="E68" i="7"/>
  <c r="I23" i="7"/>
  <c r="I41" i="7" s="1"/>
  <c r="DA34" i="5"/>
  <c r="DS34" i="5"/>
  <c r="DW34" i="5" s="1"/>
  <c r="BQ34" i="5"/>
  <c r="BX34" i="5" s="1"/>
  <c r="G10" i="4"/>
  <c r="H10" i="4" s="1"/>
  <c r="I10" i="4" s="1"/>
  <c r="W8" i="5" s="1"/>
  <c r="BP8" i="5" s="1"/>
  <c r="BW8" i="5" s="1"/>
  <c r="CZ48" i="5"/>
  <c r="DB48" i="5" s="1"/>
  <c r="DR41" i="5"/>
  <c r="DT41" i="5" s="1"/>
  <c r="CH41" i="5"/>
  <c r="CO41" i="5" s="1"/>
  <c r="AI49" i="5"/>
  <c r="AE49" i="5"/>
  <c r="AX43" i="5"/>
  <c r="BA43" i="5" s="1"/>
  <c r="CH43" i="5"/>
  <c r="CO43" i="5" s="1"/>
  <c r="BP43" i="5"/>
  <c r="BW43" i="5" s="1"/>
  <c r="DR43" i="5"/>
  <c r="DY43" i="5" s="1"/>
  <c r="CZ43" i="5"/>
  <c r="CH48" i="5"/>
  <c r="CO48" i="5" s="1"/>
  <c r="AX49" i="5"/>
  <c r="BE49" i="5" s="1"/>
  <c r="CH49" i="5"/>
  <c r="CO49" i="5" s="1"/>
  <c r="CZ49" i="5"/>
  <c r="DG49" i="5" s="1"/>
  <c r="AF43" i="5"/>
  <c r="BP49" i="5"/>
  <c r="BR49" i="5" s="1"/>
  <c r="AG43" i="5"/>
  <c r="DR49" i="5"/>
  <c r="DY49" i="5" s="1"/>
  <c r="DS38" i="5"/>
  <c r="DW38" i="5" s="1"/>
  <c r="BP48" i="5"/>
  <c r="BW48" i="5" s="1"/>
  <c r="AB48" i="5"/>
  <c r="AI48" i="5" s="1"/>
  <c r="D68" i="7"/>
  <c r="L30" i="7"/>
  <c r="J16" i="4" s="1"/>
  <c r="K16" i="4" s="1"/>
  <c r="L16" i="4" s="1"/>
  <c r="P68" i="7"/>
  <c r="AY38" i="5"/>
  <c r="BF38" i="5" s="1"/>
  <c r="DA38" i="5"/>
  <c r="DD38" i="5" s="1"/>
  <c r="BQ38" i="5"/>
  <c r="BT38" i="5" s="1"/>
  <c r="CI38" i="5"/>
  <c r="CL38" i="5" s="1"/>
  <c r="AB41" i="5"/>
  <c r="AI41" i="5" s="1"/>
  <c r="BP41" i="5"/>
  <c r="BS41" i="5" s="1"/>
  <c r="C68" i="7"/>
  <c r="AY43" i="5"/>
  <c r="BC43" i="5" s="1"/>
  <c r="CI43" i="5"/>
  <c r="CP43" i="5" s="1"/>
  <c r="CI22" i="5"/>
  <c r="CM22" i="5" s="1"/>
  <c r="DR15" i="5"/>
  <c r="DY15" i="5" s="1"/>
  <c r="CI15" i="5"/>
  <c r="CM15" i="5" s="1"/>
  <c r="AB21" i="5"/>
  <c r="AI21" i="5" s="1"/>
  <c r="DR21" i="5"/>
  <c r="DY21" i="5" s="1"/>
  <c r="BP21" i="5"/>
  <c r="BR21" i="5" s="1"/>
  <c r="CH21" i="5"/>
  <c r="CO21" i="5" s="1"/>
  <c r="DR19" i="5"/>
  <c r="DY19" i="5" s="1"/>
  <c r="AB19" i="5"/>
  <c r="AI19" i="5" s="1"/>
  <c r="AX19" i="5"/>
  <c r="AZ19" i="5" s="1"/>
  <c r="BP19" i="5"/>
  <c r="BW19" i="5" s="1"/>
  <c r="CH15" i="5"/>
  <c r="CJ15" i="5" s="1"/>
  <c r="DR48" i="5"/>
  <c r="DT48" i="5" s="1"/>
  <c r="CZ41" i="5"/>
  <c r="DG41" i="5" s="1"/>
  <c r="DA43" i="5"/>
  <c r="DH43" i="5" s="1"/>
  <c r="AC12" i="5"/>
  <c r="AG12" i="5" s="1"/>
  <c r="BQ12" i="5"/>
  <c r="BT12" i="5" s="1"/>
  <c r="AY12" i="5"/>
  <c r="BC12" i="5" s="1"/>
  <c r="DR13" i="5"/>
  <c r="DY13" i="5" s="1"/>
  <c r="BP13" i="5"/>
  <c r="BW13" i="5" s="1"/>
  <c r="CZ13" i="5"/>
  <c r="DG13" i="5" s="1"/>
  <c r="BP15" i="5"/>
  <c r="BW15" i="5" s="1"/>
  <c r="AX15" i="5"/>
  <c r="BE15" i="5" s="1"/>
  <c r="AB22" i="5"/>
  <c r="AI22" i="5" s="1"/>
  <c r="BP22" i="5"/>
  <c r="BS22" i="5" s="1"/>
  <c r="DR22" i="5"/>
  <c r="DU22" i="5" s="1"/>
  <c r="BQ11" i="5"/>
  <c r="BT11" i="5" s="1"/>
  <c r="AC11" i="5"/>
  <c r="AF11" i="5" s="1"/>
  <c r="AY11" i="5"/>
  <c r="BB11" i="5" s="1"/>
  <c r="AB13" i="5"/>
  <c r="AD13" i="5" s="1"/>
  <c r="CZ19" i="5"/>
  <c r="DB19" i="5" s="1"/>
  <c r="CZ21" i="5"/>
  <c r="DB21" i="5" s="1"/>
  <c r="AX13" i="5"/>
  <c r="BE13" i="5" s="1"/>
  <c r="CH19" i="5"/>
  <c r="CO19" i="5" s="1"/>
  <c r="CZ15" i="5"/>
  <c r="DG15" i="5" s="1"/>
  <c r="AX21" i="5"/>
  <c r="BE21" i="5" s="1"/>
  <c r="DS9" i="5"/>
  <c r="DZ9" i="5" s="1"/>
  <c r="DS16" i="5"/>
  <c r="DW16" i="5" s="1"/>
  <c r="AY16" i="5"/>
  <c r="BB16" i="5" s="1"/>
  <c r="AC16" i="5"/>
  <c r="AF16" i="5" s="1"/>
  <c r="DA16" i="5"/>
  <c r="DD16" i="5" s="1"/>
  <c r="BQ43" i="5"/>
  <c r="BX43" i="5" s="1"/>
  <c r="DS43" i="5"/>
  <c r="DZ43" i="5" s="1"/>
  <c r="DA9" i="5"/>
  <c r="DH9" i="5" s="1"/>
  <c r="CI16" i="5"/>
  <c r="CP16" i="5" s="1"/>
  <c r="BQ15" i="5"/>
  <c r="BX15" i="5" s="1"/>
  <c r="AY8" i="5"/>
  <c r="BB8" i="5" s="1"/>
  <c r="AC15" i="5"/>
  <c r="AG15" i="5" s="1"/>
  <c r="DA12" i="5"/>
  <c r="DE12" i="5" s="1"/>
  <c r="DS12" i="5"/>
  <c r="DW12" i="5" s="1"/>
  <c r="CZ16" i="5"/>
  <c r="DG16" i="5" s="1"/>
  <c r="AB16" i="5"/>
  <c r="AI16" i="5" s="1"/>
  <c r="BP16" i="5"/>
  <c r="BR16" i="5" s="1"/>
  <c r="AX16" i="5"/>
  <c r="AZ16" i="5" s="1"/>
  <c r="DR16" i="5"/>
  <c r="DT16" i="5" s="1"/>
  <c r="DS8" i="5"/>
  <c r="DZ8" i="5" s="1"/>
  <c r="AC9" i="5"/>
  <c r="AF9" i="5" s="1"/>
  <c r="CI11" i="5"/>
  <c r="CM11" i="5" s="1"/>
  <c r="DS15" i="5"/>
  <c r="DW15" i="5" s="1"/>
  <c r="DA11" i="5"/>
  <c r="DD11" i="5" s="1"/>
  <c r="CI8" i="5"/>
  <c r="CL8" i="5" s="1"/>
  <c r="BQ8" i="5"/>
  <c r="BT8" i="5" s="1"/>
  <c r="DA15" i="5"/>
  <c r="DD15" i="5" s="1"/>
  <c r="CI9" i="5"/>
  <c r="CP9" i="5" s="1"/>
  <c r="BQ9" i="5"/>
  <c r="BT9" i="5" s="1"/>
  <c r="AC8" i="5"/>
  <c r="AJ8" i="5" s="1"/>
  <c r="X14" i="5"/>
  <c r="K33" i="7"/>
  <c r="N33" i="7"/>
  <c r="K30" i="7"/>
  <c r="K32" i="7"/>
  <c r="N32" i="7"/>
  <c r="K36" i="7"/>
  <c r="N36" i="7"/>
  <c r="K38" i="7"/>
  <c r="N38" i="7"/>
  <c r="K24" i="7"/>
  <c r="N24" i="7"/>
  <c r="K27" i="7"/>
  <c r="N27" i="7"/>
  <c r="K9" i="4"/>
  <c r="L9" i="4" s="1"/>
  <c r="K34" i="7"/>
  <c r="N34" i="7"/>
  <c r="K23" i="7"/>
  <c r="N23" i="7"/>
  <c r="K37" i="7"/>
  <c r="N37" i="7"/>
  <c r="K28" i="7"/>
  <c r="N28" i="7"/>
  <c r="K35" i="7"/>
  <c r="N35" i="7"/>
  <c r="K31" i="7"/>
  <c r="N31" i="7"/>
  <c r="K25" i="7"/>
  <c r="N25" i="7"/>
  <c r="K29" i="7"/>
  <c r="N29" i="7"/>
  <c r="K26" i="7"/>
  <c r="N26" i="7"/>
  <c r="CH22" i="5"/>
  <c r="CJ22" i="5" s="1"/>
  <c r="CZ22" i="5"/>
  <c r="DG22" i="5" s="1"/>
  <c r="AX22" i="5"/>
  <c r="BA22" i="5" s="1"/>
  <c r="AB14" i="5"/>
  <c r="AI14" i="5" s="1"/>
  <c r="CZ14" i="5"/>
  <c r="DG14" i="5" s="1"/>
  <c r="DR14" i="5"/>
  <c r="DT14" i="5" s="1"/>
  <c r="CH14" i="5"/>
  <c r="CO14" i="5" s="1"/>
  <c r="AX14" i="5"/>
  <c r="BA14" i="5" s="1"/>
  <c r="CI44" i="5"/>
  <c r="CM44" i="5" s="1"/>
  <c r="AJ17" i="5"/>
  <c r="AJ13" i="5"/>
  <c r="AJ18" i="5"/>
  <c r="AE20" i="5"/>
  <c r="BE48" i="5"/>
  <c r="DS44" i="5"/>
  <c r="DV44" i="5" s="1"/>
  <c r="AY44" i="5"/>
  <c r="BF44" i="5" s="1"/>
  <c r="BA41" i="5"/>
  <c r="DB47" i="5"/>
  <c r="DC47" i="5"/>
  <c r="AZ41" i="5"/>
  <c r="BA48" i="5"/>
  <c r="BX21" i="5"/>
  <c r="BR9" i="5"/>
  <c r="BU21" i="5"/>
  <c r="BW11" i="5"/>
  <c r="BR11" i="5"/>
  <c r="DT11" i="5"/>
  <c r="DC17" i="5"/>
  <c r="DS19" i="5"/>
  <c r="DW19" i="5" s="1"/>
  <c r="DB17" i="5"/>
  <c r="DG11" i="5"/>
  <c r="DC11" i="5"/>
  <c r="AZ47" i="5"/>
  <c r="BA47" i="5"/>
  <c r="DA19" i="5"/>
  <c r="DD19" i="5" s="1"/>
  <c r="AY19" i="5"/>
  <c r="BF19" i="5" s="1"/>
  <c r="CI19" i="5"/>
  <c r="CM19" i="5" s="1"/>
  <c r="CI37" i="5"/>
  <c r="CM37" i="5" s="1"/>
  <c r="DU11" i="5"/>
  <c r="AC19" i="5"/>
  <c r="BS9" i="5"/>
  <c r="DA44" i="5"/>
  <c r="DH44" i="5" s="1"/>
  <c r="AX39" i="5"/>
  <c r="AZ39" i="5" s="1"/>
  <c r="AC36" i="5"/>
  <c r="AJ36" i="5" s="1"/>
  <c r="BR14" i="5"/>
  <c r="DU47" i="5"/>
  <c r="BS14" i="5"/>
  <c r="DY47" i="5"/>
  <c r="BS20" i="5"/>
  <c r="BR20" i="5"/>
  <c r="DA37" i="5"/>
  <c r="DD37" i="5" s="1"/>
  <c r="BQ37" i="5"/>
  <c r="BU37" i="5" s="1"/>
  <c r="DS40" i="5"/>
  <c r="DV40" i="5" s="1"/>
  <c r="DC36" i="5"/>
  <c r="AY40" i="5"/>
  <c r="BB40" i="5" s="1"/>
  <c r="DG38" i="5"/>
  <c r="BP40" i="5"/>
  <c r="BR40" i="5" s="1"/>
  <c r="BQ40" i="5"/>
  <c r="BX40" i="5" s="1"/>
  <c r="DB36" i="5"/>
  <c r="AY37" i="5"/>
  <c r="BB37" i="5" s="1"/>
  <c r="DA40" i="5"/>
  <c r="DE40" i="5" s="1"/>
  <c r="AC37" i="5"/>
  <c r="AF37" i="5" s="1"/>
  <c r="DB38" i="5"/>
  <c r="AC40" i="5"/>
  <c r="AF40" i="5" s="1"/>
  <c r="BQ44" i="5"/>
  <c r="BX44" i="5" s="1"/>
  <c r="DS36" i="5"/>
  <c r="DV36" i="5" s="1"/>
  <c r="CJ20" i="5"/>
  <c r="CJ11" i="5"/>
  <c r="CJ13" i="5"/>
  <c r="CI41" i="5"/>
  <c r="CL41" i="5" s="1"/>
  <c r="BC15" i="5"/>
  <c r="CK20" i="5"/>
  <c r="AZ11" i="5"/>
  <c r="BE11" i="5"/>
  <c r="DA36" i="5"/>
  <c r="DE36" i="5" s="1"/>
  <c r="CJ9" i="5"/>
  <c r="AD47" i="5"/>
  <c r="CO9" i="5"/>
  <c r="DT9" i="5"/>
  <c r="DG9" i="5"/>
  <c r="DB9" i="5"/>
  <c r="CI10" i="5"/>
  <c r="CL10" i="5" s="1"/>
  <c r="AZ20" i="5"/>
  <c r="AZ9" i="5"/>
  <c r="AX46" i="5"/>
  <c r="BA46" i="5" s="1"/>
  <c r="BP39" i="5"/>
  <c r="BR39" i="5" s="1"/>
  <c r="AB40" i="5"/>
  <c r="AI40" i="5" s="1"/>
  <c r="CO11" i="5"/>
  <c r="BE9" i="5"/>
  <c r="CZ46" i="5"/>
  <c r="DC46" i="5" s="1"/>
  <c r="DY9" i="5"/>
  <c r="BP46" i="5"/>
  <c r="BW46" i="5" s="1"/>
  <c r="CM40" i="5"/>
  <c r="CP40" i="5"/>
  <c r="DR10" i="5"/>
  <c r="DT10" i="5" s="1"/>
  <c r="AD10" i="5"/>
  <c r="CH39" i="5"/>
  <c r="CO39" i="5" s="1"/>
  <c r="AD17" i="5"/>
  <c r="AI20" i="5"/>
  <c r="AI9" i="5"/>
  <c r="AY46" i="5"/>
  <c r="BC46" i="5" s="1"/>
  <c r="AI15" i="5"/>
  <c r="BB15" i="5"/>
  <c r="DR46" i="5"/>
  <c r="DU46" i="5" s="1"/>
  <c r="DR39" i="5"/>
  <c r="DU39" i="5" s="1"/>
  <c r="DR18" i="5"/>
  <c r="DU18" i="5" s="1"/>
  <c r="DR40" i="5"/>
  <c r="DT40" i="5" s="1"/>
  <c r="AB46" i="5"/>
  <c r="AI46" i="5" s="1"/>
  <c r="CZ40" i="5"/>
  <c r="DG40" i="5" s="1"/>
  <c r="BQ39" i="5"/>
  <c r="BU39" i="5" s="1"/>
  <c r="CZ39" i="5"/>
  <c r="DB39" i="5" s="1"/>
  <c r="DU20" i="5"/>
  <c r="AX40" i="5"/>
  <c r="BA40" i="5" s="1"/>
  <c r="DT20" i="5"/>
  <c r="DA46" i="5"/>
  <c r="DH46" i="5" s="1"/>
  <c r="BQ46" i="5"/>
  <c r="BX46" i="5" s="1"/>
  <c r="DS46" i="5"/>
  <c r="DV46" i="5" s="1"/>
  <c r="U25" i="4"/>
  <c r="AC46" i="5"/>
  <c r="AF46" i="5" s="1"/>
  <c r="DY36" i="5"/>
  <c r="BA20" i="5"/>
  <c r="DU36" i="5"/>
  <c r="AC10" i="5"/>
  <c r="BQ41" i="5"/>
  <c r="BU41" i="5" s="1"/>
  <c r="AD9" i="5"/>
  <c r="DA41" i="5"/>
  <c r="DD41" i="5" s="1"/>
  <c r="AB45" i="5"/>
  <c r="AI45" i="5" s="1"/>
  <c r="AD20" i="5"/>
  <c r="DA10" i="5"/>
  <c r="DE10" i="5" s="1"/>
  <c r="DS41" i="5"/>
  <c r="DV41" i="5" s="1"/>
  <c r="AY39" i="5"/>
  <c r="BB39" i="5" s="1"/>
  <c r="CO47" i="5"/>
  <c r="DR45" i="5"/>
  <c r="DU45" i="5" s="1"/>
  <c r="DA39" i="5"/>
  <c r="DD39" i="5" s="1"/>
  <c r="DS10" i="5"/>
  <c r="DW10" i="5" s="1"/>
  <c r="AB42" i="5"/>
  <c r="AC41" i="5"/>
  <c r="AF41" i="5" s="1"/>
  <c r="CI39" i="5"/>
  <c r="CP39" i="5" s="1"/>
  <c r="BP45" i="5"/>
  <c r="BR45" i="5" s="1"/>
  <c r="CL40" i="5"/>
  <c r="T25" i="4"/>
  <c r="R25" i="4"/>
  <c r="CK47" i="5"/>
  <c r="BQ10" i="5"/>
  <c r="BT10" i="5" s="1"/>
  <c r="CH42" i="5"/>
  <c r="CK42" i="5" s="1"/>
  <c r="AC39" i="5"/>
  <c r="AJ39" i="5" s="1"/>
  <c r="CH45" i="5"/>
  <c r="CJ45" i="5" s="1"/>
  <c r="AE9" i="5"/>
  <c r="CZ42" i="5"/>
  <c r="DG42" i="5" s="1"/>
  <c r="CZ45" i="5"/>
  <c r="DC45" i="5" s="1"/>
  <c r="CZ10" i="5"/>
  <c r="DC10" i="5" s="1"/>
  <c r="AX10" i="5"/>
  <c r="BA10" i="5" s="1"/>
  <c r="BP10" i="5"/>
  <c r="BS10" i="5" s="1"/>
  <c r="CH10" i="5"/>
  <c r="CK10" i="5" s="1"/>
  <c r="AB18" i="5"/>
  <c r="AX18" i="5"/>
  <c r="BE37" i="5"/>
  <c r="AZ37" i="5"/>
  <c r="CZ18" i="5"/>
  <c r="DG18" i="5" s="1"/>
  <c r="BP18" i="5"/>
  <c r="BR18" i="5" s="1"/>
  <c r="CZ37" i="5"/>
  <c r="AI10" i="5"/>
  <c r="CI35" i="5"/>
  <c r="CL35" i="5" s="1"/>
  <c r="BP37" i="5"/>
  <c r="AE10" i="5"/>
  <c r="BS47" i="5"/>
  <c r="AB37" i="5"/>
  <c r="BR47" i="5"/>
  <c r="CH37" i="5"/>
  <c r="CJ37" i="5" s="1"/>
  <c r="BA37" i="5"/>
  <c r="DR37" i="5"/>
  <c r="DE21" i="5"/>
  <c r="DD21" i="5"/>
  <c r="DZ11" i="5"/>
  <c r="BC9" i="5"/>
  <c r="BB21" i="5"/>
  <c r="BU16" i="5"/>
  <c r="BX16" i="5"/>
  <c r="BB9" i="5"/>
  <c r="DC20" i="5"/>
  <c r="CJ17" i="5"/>
  <c r="BS17" i="5"/>
  <c r="CK18" i="5"/>
  <c r="DB20" i="5"/>
  <c r="BA17" i="5"/>
  <c r="AD15" i="5"/>
  <c r="CJ18" i="5"/>
  <c r="AE15" i="5"/>
  <c r="CO17" i="5"/>
  <c r="BE17" i="5"/>
  <c r="CK13" i="5"/>
  <c r="CI13" i="5"/>
  <c r="CM13" i="5" s="1"/>
  <c r="BQ36" i="5"/>
  <c r="BU36" i="5" s="1"/>
  <c r="BR17" i="5"/>
  <c r="BS36" i="5"/>
  <c r="BB10" i="5"/>
  <c r="DR42" i="5"/>
  <c r="DT42" i="5" s="1"/>
  <c r="AX42" i="5"/>
  <c r="BA42" i="5" s="1"/>
  <c r="CI36" i="5"/>
  <c r="CM36" i="5" s="1"/>
  <c r="AF44" i="5"/>
  <c r="AG44" i="5"/>
  <c r="BR38" i="5"/>
  <c r="BS38" i="5"/>
  <c r="AY22" i="5"/>
  <c r="BB22" i="5" s="1"/>
  <c r="AF13" i="5"/>
  <c r="AY13" i="5"/>
  <c r="BF13" i="5" s="1"/>
  <c r="AG13" i="5"/>
  <c r="DA13" i="5"/>
  <c r="DD13" i="5" s="1"/>
  <c r="DU38" i="5"/>
  <c r="BC21" i="5"/>
  <c r="AE47" i="5"/>
  <c r="AI38" i="5"/>
  <c r="AE38" i="5"/>
  <c r="AD38" i="5"/>
  <c r="DT38" i="5"/>
  <c r="BW36" i="5"/>
  <c r="CM12" i="5"/>
  <c r="CK38" i="5"/>
  <c r="CJ38" i="5"/>
  <c r="CO38" i="5"/>
  <c r="BE36" i="5"/>
  <c r="AZ36" i="5"/>
  <c r="BA36" i="5"/>
  <c r="CL12" i="5"/>
  <c r="R51" i="4"/>
  <c r="AD36" i="5"/>
  <c r="CO36" i="5"/>
  <c r="AF21" i="5"/>
  <c r="BP12" i="5"/>
  <c r="BW12" i="5" s="1"/>
  <c r="DS13" i="5"/>
  <c r="DW13" i="5" s="1"/>
  <c r="CK36" i="5"/>
  <c r="BE38" i="5"/>
  <c r="T51" i="4"/>
  <c r="BA38" i="5"/>
  <c r="AE36" i="5"/>
  <c r="DU41" i="5"/>
  <c r="CZ12" i="5"/>
  <c r="DC12" i="5" s="1"/>
  <c r="BA12" i="5"/>
  <c r="AZ12" i="5"/>
  <c r="DR12" i="5"/>
  <c r="DT12" i="5" s="1"/>
  <c r="CH12" i="5"/>
  <c r="CJ12" i="5" s="1"/>
  <c r="AB12" i="5"/>
  <c r="BQ13" i="5"/>
  <c r="DV11" i="5"/>
  <c r="BT19" i="5"/>
  <c r="BQ35" i="5"/>
  <c r="BU35" i="5" s="1"/>
  <c r="DS35" i="5"/>
  <c r="DW35" i="5" s="1"/>
  <c r="BU19" i="5"/>
  <c r="AG21" i="5"/>
  <c r="BC10" i="5"/>
  <c r="CP21" i="5"/>
  <c r="CL21" i="5"/>
  <c r="AC42" i="5"/>
  <c r="AG42" i="5" s="1"/>
  <c r="BQ42" i="5"/>
  <c r="BU42" i="5" s="1"/>
  <c r="DA42" i="5"/>
  <c r="DH42" i="5" s="1"/>
  <c r="AC35" i="5"/>
  <c r="AJ35" i="5" s="1"/>
  <c r="CI42" i="5"/>
  <c r="CL42" i="5" s="1"/>
  <c r="DT17" i="5"/>
  <c r="DS42" i="5"/>
  <c r="DW42" i="5" s="1"/>
  <c r="AY35" i="5"/>
  <c r="BF35" i="5" s="1"/>
  <c r="AD39" i="5"/>
  <c r="AI39" i="5"/>
  <c r="AE39" i="5"/>
  <c r="DA20" i="5"/>
  <c r="DH20" i="5" s="1"/>
  <c r="AY20" i="5"/>
  <c r="BB20" i="5" s="1"/>
  <c r="AC20" i="5"/>
  <c r="CM20" i="5"/>
  <c r="DZ22" i="5"/>
  <c r="AI17" i="5"/>
  <c r="AF17" i="5"/>
  <c r="CL20" i="5"/>
  <c r="X29" i="5"/>
  <c r="AE17" i="5"/>
  <c r="BQ20" i="5"/>
  <c r="BX20" i="5" s="1"/>
  <c r="DS17" i="5"/>
  <c r="AY17" i="5"/>
  <c r="DA17" i="5"/>
  <c r="BQ17" i="5"/>
  <c r="CI17" i="5"/>
  <c r="DW22" i="5"/>
  <c r="AG17" i="5"/>
  <c r="DS20" i="5"/>
  <c r="DZ20" i="5" s="1"/>
  <c r="DU17" i="5"/>
  <c r="DE8" i="5"/>
  <c r="DD8" i="5"/>
  <c r="DV21" i="5"/>
  <c r="BE44" i="5"/>
  <c r="BA44" i="5"/>
  <c r="AZ44" i="5"/>
  <c r="DW39" i="5"/>
  <c r="DV39" i="5"/>
  <c r="DZ39" i="5"/>
  <c r="DW21" i="5"/>
  <c r="AJ34" i="5"/>
  <c r="AF34" i="5"/>
  <c r="AG34" i="5"/>
  <c r="BF42" i="5"/>
  <c r="BB42" i="5"/>
  <c r="BC42" i="5"/>
  <c r="DY44" i="5"/>
  <c r="DU44" i="5"/>
  <c r="DT44" i="5"/>
  <c r="BE45" i="5"/>
  <c r="BA45" i="5"/>
  <c r="AZ45" i="5"/>
  <c r="AY49" i="5"/>
  <c r="AC49" i="5"/>
  <c r="CI49" i="5"/>
  <c r="DA49" i="5"/>
  <c r="BQ49" i="5"/>
  <c r="DS49" i="5"/>
  <c r="BW42" i="5"/>
  <c r="BR42" i="5"/>
  <c r="BS42" i="5"/>
  <c r="AI35" i="5"/>
  <c r="AD35" i="5"/>
  <c r="AE35" i="5"/>
  <c r="AF48" i="5"/>
  <c r="AJ48" i="5"/>
  <c r="AG48" i="5"/>
  <c r="BQ18" i="5"/>
  <c r="BX18" i="5" s="1"/>
  <c r="DH34" i="5"/>
  <c r="DE34" i="5"/>
  <c r="DD34" i="5"/>
  <c r="DG43" i="5"/>
  <c r="DC43" i="5"/>
  <c r="DB43" i="5"/>
  <c r="BB41" i="5"/>
  <c r="BF41" i="5"/>
  <c r="BC41" i="5"/>
  <c r="BW44" i="5"/>
  <c r="BR44" i="5"/>
  <c r="BS44" i="5"/>
  <c r="DV37" i="5"/>
  <c r="DZ37" i="5"/>
  <c r="DW37" i="5"/>
  <c r="AC47" i="5"/>
  <c r="DS47" i="5"/>
  <c r="DA47" i="5"/>
  <c r="BQ47" i="5"/>
  <c r="CI47" i="5"/>
  <c r="AY47" i="5"/>
  <c r="CP46" i="5"/>
  <c r="CM46" i="5"/>
  <c r="CL46" i="5"/>
  <c r="AC22" i="5"/>
  <c r="DA22" i="5"/>
  <c r="AI43" i="5"/>
  <c r="AD43" i="5"/>
  <c r="AE43" i="5"/>
  <c r="W29" i="5"/>
  <c r="CZ34" i="5"/>
  <c r="AB34" i="5"/>
  <c r="BP34" i="5"/>
  <c r="AX34" i="5"/>
  <c r="DR34" i="5"/>
  <c r="CH34" i="5"/>
  <c r="DB35" i="5"/>
  <c r="DG35" i="5"/>
  <c r="DC35" i="5"/>
  <c r="DG44" i="5"/>
  <c r="DC44" i="5"/>
  <c r="DB44" i="5"/>
  <c r="AJ38" i="5"/>
  <c r="AF38" i="5"/>
  <c r="AG38" i="5"/>
  <c r="DZ48" i="5"/>
  <c r="DV48" i="5"/>
  <c r="DW48" i="5"/>
  <c r="BW35" i="5"/>
  <c r="BR35" i="5"/>
  <c r="BS35" i="5"/>
  <c r="AE44" i="5"/>
  <c r="AI44" i="5"/>
  <c r="AD44" i="5"/>
  <c r="CO46" i="5"/>
  <c r="CK46" i="5"/>
  <c r="CJ46" i="5"/>
  <c r="DV38" i="5"/>
  <c r="BC36" i="5"/>
  <c r="BF36" i="5"/>
  <c r="BB36" i="5"/>
  <c r="DH48" i="5"/>
  <c r="DD48" i="5"/>
  <c r="DE48" i="5"/>
  <c r="AF18" i="5"/>
  <c r="AG18" i="5"/>
  <c r="CI18" i="5"/>
  <c r="CL18" i="5" s="1"/>
  <c r="DV34" i="5"/>
  <c r="BA35" i="5"/>
  <c r="AZ35" i="5"/>
  <c r="BE35" i="5"/>
  <c r="CP48" i="5"/>
  <c r="CL48" i="5"/>
  <c r="CM48" i="5"/>
  <c r="CJ40" i="5"/>
  <c r="CO40" i="5"/>
  <c r="CK40" i="5"/>
  <c r="AY18" i="5"/>
  <c r="BF18" i="5" s="1"/>
  <c r="DA18" i="5"/>
  <c r="DE18" i="5" s="1"/>
  <c r="DS18" i="5"/>
  <c r="DZ18" i="5" s="1"/>
  <c r="BT34" i="5"/>
  <c r="DY35" i="5"/>
  <c r="DU35" i="5"/>
  <c r="DT35" i="5"/>
  <c r="BX48" i="5"/>
  <c r="BT48" i="5"/>
  <c r="BU48" i="5"/>
  <c r="CL34" i="5"/>
  <c r="CP34" i="5"/>
  <c r="CM34" i="5"/>
  <c r="CO35" i="5"/>
  <c r="CJ35" i="5"/>
  <c r="CK35" i="5"/>
  <c r="CK44" i="5"/>
  <c r="CO44" i="5"/>
  <c r="CJ44" i="5"/>
  <c r="BQ22" i="5"/>
  <c r="AY45" i="5"/>
  <c r="DS45" i="5"/>
  <c r="AC45" i="5"/>
  <c r="DA45" i="5"/>
  <c r="BQ45" i="5"/>
  <c r="CI45" i="5"/>
  <c r="DH35" i="5"/>
  <c r="DD35" i="5"/>
  <c r="DE35" i="5"/>
  <c r="BF48" i="5"/>
  <c r="BC48" i="5"/>
  <c r="BB48" i="5"/>
  <c r="CJ16" i="5"/>
  <c r="CO16" i="5"/>
  <c r="CK16" i="5"/>
  <c r="BB34" i="5" l="1"/>
  <c r="BC34" i="5"/>
  <c r="BU34" i="5"/>
  <c r="AX8" i="5"/>
  <c r="BE8" i="5" s="1"/>
  <c r="DR8" i="5"/>
  <c r="DU8" i="5" s="1"/>
  <c r="AB8" i="5"/>
  <c r="AE8" i="5" s="1"/>
  <c r="BS8" i="5"/>
  <c r="BR8" i="5"/>
  <c r="P32" i="3"/>
  <c r="O32" i="3"/>
  <c r="E69" i="7"/>
  <c r="DZ34" i="5"/>
  <c r="CZ8" i="5"/>
  <c r="DB8" i="5" s="1"/>
  <c r="CH8" i="5"/>
  <c r="CO8" i="5" s="1"/>
  <c r="CK41" i="5"/>
  <c r="CJ48" i="5"/>
  <c r="CJ41" i="5"/>
  <c r="CP38" i="5"/>
  <c r="DY41" i="5"/>
  <c r="DT49" i="5"/>
  <c r="AE41" i="5"/>
  <c r="CM38" i="5"/>
  <c r="BA49" i="5"/>
  <c r="AZ49" i="5"/>
  <c r="BS48" i="5"/>
  <c r="BR48" i="5"/>
  <c r="CJ43" i="5"/>
  <c r="CK43" i="5"/>
  <c r="BR43" i="5"/>
  <c r="BS49" i="5"/>
  <c r="BS43" i="5"/>
  <c r="AZ43" i="5"/>
  <c r="BF16" i="5"/>
  <c r="BE43" i="5"/>
  <c r="BW41" i="5"/>
  <c r="BW49" i="5"/>
  <c r="DC48" i="5"/>
  <c r="DG48" i="5"/>
  <c r="DB49" i="5"/>
  <c r="DC49" i="5"/>
  <c r="DU43" i="5"/>
  <c r="DT43" i="5"/>
  <c r="CK48" i="5"/>
  <c r="AD41" i="5"/>
  <c r="DU49" i="5"/>
  <c r="CJ49" i="5"/>
  <c r="AD48" i="5"/>
  <c r="CK49" i="5"/>
  <c r="AE48" i="5"/>
  <c r="DZ38" i="5"/>
  <c r="BB38" i="5"/>
  <c r="AD39" i="4" s="1"/>
  <c r="BF43" i="5"/>
  <c r="BC38" i="5"/>
  <c r="DB41" i="5"/>
  <c r="DH38" i="5"/>
  <c r="BX38" i="5"/>
  <c r="DV43" i="5"/>
  <c r="BR41" i="5"/>
  <c r="DW43" i="5"/>
  <c r="N30" i="7"/>
  <c r="P69" i="7"/>
  <c r="BC16" i="5"/>
  <c r="BU38" i="5"/>
  <c r="DE38" i="5"/>
  <c r="CL43" i="5"/>
  <c r="CM43" i="5"/>
  <c r="L41" i="7"/>
  <c r="M41" i="7" s="1"/>
  <c r="N41" i="7" s="1"/>
  <c r="N42" i="7" s="1"/>
  <c r="P33" i="3"/>
  <c r="O33" i="3"/>
  <c r="BC44" i="5"/>
  <c r="BB43" i="5"/>
  <c r="DD43" i="5"/>
  <c r="DE43" i="5"/>
  <c r="CK15" i="5"/>
  <c r="DT22" i="5"/>
  <c r="DY22" i="5"/>
  <c r="CL22" i="5"/>
  <c r="BT15" i="5"/>
  <c r="CM8" i="5"/>
  <c r="CL15" i="5"/>
  <c r="CP15" i="5"/>
  <c r="BB44" i="5"/>
  <c r="BF12" i="5"/>
  <c r="DC41" i="5"/>
  <c r="AD22" i="5"/>
  <c r="BA16" i="5"/>
  <c r="BE16" i="5"/>
  <c r="DU13" i="5"/>
  <c r="BA13" i="5"/>
  <c r="DT15" i="5"/>
  <c r="DC21" i="5"/>
  <c r="DU15" i="5"/>
  <c r="BW21" i="5"/>
  <c r="AD21" i="5"/>
  <c r="BU11" i="5"/>
  <c r="BC8" i="5"/>
  <c r="BX11" i="5"/>
  <c r="DU48" i="5"/>
  <c r="DY48" i="5"/>
  <c r="CK19" i="5"/>
  <c r="BB12" i="5"/>
  <c r="DU21" i="5"/>
  <c r="BS13" i="5"/>
  <c r="DT21" i="5"/>
  <c r="CP22" i="5"/>
  <c r="CJ21" i="5"/>
  <c r="CK21" i="5"/>
  <c r="BS21" i="5"/>
  <c r="CP8" i="5"/>
  <c r="AD16" i="5"/>
  <c r="AZ8" i="5"/>
  <c r="DT13" i="5"/>
  <c r="BA19" i="5"/>
  <c r="BE19" i="5"/>
  <c r="AJ12" i="5"/>
  <c r="DC19" i="5"/>
  <c r="DG19" i="5"/>
  <c r="BX8" i="5"/>
  <c r="AZ13" i="5"/>
  <c r="BU12" i="5"/>
  <c r="Y14" i="4" s="1"/>
  <c r="R55" i="7" s="1"/>
  <c r="DW9" i="5"/>
  <c r="DV9" i="5"/>
  <c r="AF12" i="5"/>
  <c r="DE9" i="5"/>
  <c r="DD9" i="5"/>
  <c r="AE19" i="5"/>
  <c r="BX12" i="5"/>
  <c r="DE11" i="5"/>
  <c r="AG16" i="5"/>
  <c r="AE21" i="5"/>
  <c r="CJ19" i="5"/>
  <c r="CO15" i="5"/>
  <c r="AZ15" i="5"/>
  <c r="AI8" i="5"/>
  <c r="DU19" i="5"/>
  <c r="AD19" i="5"/>
  <c r="BA15" i="5"/>
  <c r="AI13" i="5"/>
  <c r="BA8" i="5"/>
  <c r="DY8" i="5"/>
  <c r="DT19" i="5"/>
  <c r="AE13" i="5"/>
  <c r="DG21" i="5"/>
  <c r="BS19" i="5"/>
  <c r="BW22" i="5"/>
  <c r="BR19" i="5"/>
  <c r="BR22" i="5"/>
  <c r="AJ11" i="5"/>
  <c r="DB13" i="5"/>
  <c r="DC13" i="5"/>
  <c r="DE16" i="5"/>
  <c r="AG11" i="5"/>
  <c r="DH16" i="5"/>
  <c r="DC15" i="5"/>
  <c r="BC11" i="5"/>
  <c r="BT43" i="5"/>
  <c r="BF11" i="5"/>
  <c r="AE22" i="5"/>
  <c r="BR15" i="5"/>
  <c r="BU43" i="5"/>
  <c r="DD12" i="5"/>
  <c r="AG9" i="5"/>
  <c r="BA21" i="5"/>
  <c r="BX9" i="5"/>
  <c r="BS15" i="5"/>
  <c r="AZ21" i="5"/>
  <c r="DH12" i="5"/>
  <c r="BR13" i="5"/>
  <c r="DZ15" i="5"/>
  <c r="DC16" i="5"/>
  <c r="DV15" i="5"/>
  <c r="CK8" i="5"/>
  <c r="DV12" i="5"/>
  <c r="AD8" i="5"/>
  <c r="DB16" i="5"/>
  <c r="DB15" i="5"/>
  <c r="DZ16" i="5"/>
  <c r="AE16" i="5"/>
  <c r="DU16" i="5"/>
  <c r="CM16" i="5"/>
  <c r="CL16" i="5"/>
  <c r="AJ16" i="5"/>
  <c r="BW16" i="5"/>
  <c r="BS16" i="5"/>
  <c r="DV16" i="5"/>
  <c r="AF15" i="5"/>
  <c r="DW8" i="5"/>
  <c r="DY16" i="5"/>
  <c r="DV8" i="5"/>
  <c r="AJ15" i="5"/>
  <c r="DE15" i="5"/>
  <c r="AF8" i="5"/>
  <c r="CP11" i="5"/>
  <c r="AG8" i="5"/>
  <c r="DZ12" i="5"/>
  <c r="BF8" i="5"/>
  <c r="BU15" i="5"/>
  <c r="DH11" i="5"/>
  <c r="DH15" i="5"/>
  <c r="CL11" i="5"/>
  <c r="AE13" i="4" s="1"/>
  <c r="BE22" i="5"/>
  <c r="BU8" i="5"/>
  <c r="AJ9" i="5"/>
  <c r="AC14" i="5"/>
  <c r="DS14" i="5"/>
  <c r="AY14" i="5"/>
  <c r="BQ14" i="5"/>
  <c r="CI14" i="5"/>
  <c r="DA14" i="5"/>
  <c r="CM9" i="5"/>
  <c r="CL9" i="5"/>
  <c r="BU9" i="5"/>
  <c r="CK22" i="5"/>
  <c r="AZ22" i="5"/>
  <c r="CO22" i="5"/>
  <c r="AE14" i="5"/>
  <c r="DB14" i="5"/>
  <c r="AD14" i="5"/>
  <c r="CJ14" i="5"/>
  <c r="CK14" i="5"/>
  <c r="DB22" i="5"/>
  <c r="BE14" i="5"/>
  <c r="DC22" i="5"/>
  <c r="DC14" i="5"/>
  <c r="DY14" i="5"/>
  <c r="DU14" i="5"/>
  <c r="AZ14" i="5"/>
  <c r="CP44" i="5"/>
  <c r="CL44" i="5"/>
  <c r="BT40" i="5"/>
  <c r="DZ44" i="5"/>
  <c r="AJ19" i="5"/>
  <c r="DW44" i="5"/>
  <c r="AG20" i="5"/>
  <c r="AG10" i="5"/>
  <c r="AG37" i="5"/>
  <c r="AB13" i="4"/>
  <c r="I54" i="7" s="1"/>
  <c r="V13" i="4"/>
  <c r="BB19" i="5"/>
  <c r="AC13" i="4"/>
  <c r="W13" i="4"/>
  <c r="X13" i="4" s="1"/>
  <c r="AT13" i="4" s="1"/>
  <c r="DZ40" i="5"/>
  <c r="AF19" i="5"/>
  <c r="BC37" i="5"/>
  <c r="AG41" i="5"/>
  <c r="BC19" i="5"/>
  <c r="DZ46" i="5"/>
  <c r="CL37" i="5"/>
  <c r="BS45" i="5"/>
  <c r="DW46" i="5"/>
  <c r="CP37" i="5"/>
  <c r="CP19" i="5"/>
  <c r="DZ19" i="5"/>
  <c r="BT39" i="5"/>
  <c r="BE39" i="5"/>
  <c r="BA39" i="5"/>
  <c r="DV19" i="5"/>
  <c r="DH37" i="5"/>
  <c r="W11" i="4"/>
  <c r="X11" i="4" s="1"/>
  <c r="AT11" i="4" s="1"/>
  <c r="DY10" i="5"/>
  <c r="CL19" i="5"/>
  <c r="DC40" i="5"/>
  <c r="DH19" i="5"/>
  <c r="DE44" i="5"/>
  <c r="DE19" i="5"/>
  <c r="BT44" i="5"/>
  <c r="BU40" i="5"/>
  <c r="AB48" i="4"/>
  <c r="D16" i="9" s="1"/>
  <c r="BU44" i="5"/>
  <c r="DW40" i="5"/>
  <c r="AG19" i="5"/>
  <c r="DZ41" i="5"/>
  <c r="DT46" i="5"/>
  <c r="DD44" i="5"/>
  <c r="CM41" i="5"/>
  <c r="BS46" i="5"/>
  <c r="CP41" i="5"/>
  <c r="BX39" i="5"/>
  <c r="DE37" i="5"/>
  <c r="BC22" i="5"/>
  <c r="BR46" i="5"/>
  <c r="AG36" i="5"/>
  <c r="BF22" i="5"/>
  <c r="AF36" i="5"/>
  <c r="AG39" i="5"/>
  <c r="BT37" i="5"/>
  <c r="BX37" i="5"/>
  <c r="AJ40" i="5"/>
  <c r="DW41" i="5"/>
  <c r="AF39" i="5"/>
  <c r="DG45" i="5"/>
  <c r="BE42" i="5"/>
  <c r="AE45" i="5"/>
  <c r="AD45" i="5"/>
  <c r="BF46" i="5"/>
  <c r="DW36" i="5"/>
  <c r="BF37" i="5"/>
  <c r="DZ36" i="5"/>
  <c r="BB46" i="5"/>
  <c r="DH40" i="5"/>
  <c r="DB40" i="5"/>
  <c r="DH39" i="5"/>
  <c r="BW40" i="5"/>
  <c r="DE39" i="5"/>
  <c r="BS40" i="5"/>
  <c r="AJ37" i="5"/>
  <c r="BW39" i="5"/>
  <c r="DD40" i="5"/>
  <c r="BC40" i="5"/>
  <c r="V11" i="4"/>
  <c r="DD36" i="5"/>
  <c r="AG40" i="5"/>
  <c r="BF40" i="5"/>
  <c r="DY42" i="5"/>
  <c r="DH36" i="5"/>
  <c r="AD40" i="5"/>
  <c r="AE40" i="5"/>
  <c r="AZ40" i="5"/>
  <c r="BE40" i="5"/>
  <c r="DG46" i="5"/>
  <c r="DZ42" i="5"/>
  <c r="DB46" i="5"/>
  <c r="BW18" i="5"/>
  <c r="CM10" i="5"/>
  <c r="BW45" i="5"/>
  <c r="DY39" i="5"/>
  <c r="BS39" i="5"/>
  <c r="DE42" i="5"/>
  <c r="W22" i="4"/>
  <c r="X22" i="4" s="1"/>
  <c r="AT22" i="4" s="1"/>
  <c r="AC48" i="4"/>
  <c r="DU10" i="5"/>
  <c r="V12" i="4" s="1"/>
  <c r="DT39" i="5"/>
  <c r="CO45" i="5"/>
  <c r="AC11" i="4"/>
  <c r="DY18" i="5"/>
  <c r="AE42" i="5"/>
  <c r="CJ42" i="5"/>
  <c r="AD42" i="5"/>
  <c r="AD37" i="5"/>
  <c r="AB11" i="4"/>
  <c r="I52" i="7" s="1"/>
  <c r="AZ46" i="5"/>
  <c r="BE46" i="5"/>
  <c r="DD46" i="5"/>
  <c r="DY46" i="5"/>
  <c r="BE10" i="5"/>
  <c r="BX10" i="5"/>
  <c r="DE46" i="5"/>
  <c r="AJ41" i="5"/>
  <c r="BU10" i="5"/>
  <c r="DT18" i="5"/>
  <c r="CP10" i="5"/>
  <c r="AD46" i="5"/>
  <c r="AZ10" i="5"/>
  <c r="CO42" i="5"/>
  <c r="BT41" i="5"/>
  <c r="AE42" i="4" s="1"/>
  <c r="E39" i="9" s="1"/>
  <c r="CM39" i="5"/>
  <c r="BX41" i="5"/>
  <c r="BC39" i="5"/>
  <c r="AJ10" i="5"/>
  <c r="AD18" i="5"/>
  <c r="CJ39" i="5"/>
  <c r="CL39" i="5"/>
  <c r="DU42" i="5"/>
  <c r="BF39" i="5"/>
  <c r="AE46" i="5"/>
  <c r="CK39" i="5"/>
  <c r="BU46" i="5"/>
  <c r="AF10" i="5"/>
  <c r="BT36" i="5"/>
  <c r="DU40" i="5"/>
  <c r="DG39" i="5"/>
  <c r="BX36" i="5"/>
  <c r="DY40" i="5"/>
  <c r="DC39" i="5"/>
  <c r="DB10" i="5"/>
  <c r="DV35" i="5"/>
  <c r="AI42" i="5"/>
  <c r="CP42" i="5"/>
  <c r="DZ35" i="5"/>
  <c r="BT46" i="5"/>
  <c r="DH10" i="5"/>
  <c r="DG10" i="5"/>
  <c r="DD10" i="5"/>
  <c r="AG46" i="5"/>
  <c r="DT45" i="5"/>
  <c r="CP35" i="5"/>
  <c r="AB22" i="4"/>
  <c r="I63" i="7" s="1"/>
  <c r="CK45" i="5"/>
  <c r="DY45" i="5"/>
  <c r="DE41" i="5"/>
  <c r="AJ46" i="5"/>
  <c r="DH41" i="5"/>
  <c r="CM35" i="5"/>
  <c r="CJ10" i="5"/>
  <c r="BR10" i="5"/>
  <c r="BW10" i="5"/>
  <c r="DZ10" i="5"/>
  <c r="DB45" i="5"/>
  <c r="V48" i="4"/>
  <c r="DV10" i="5"/>
  <c r="DB42" i="5"/>
  <c r="DC42" i="5"/>
  <c r="CO10" i="5"/>
  <c r="BS18" i="5"/>
  <c r="DV18" i="5"/>
  <c r="DW18" i="5"/>
  <c r="BA18" i="5"/>
  <c r="AZ18" i="5"/>
  <c r="BE18" i="5"/>
  <c r="AC22" i="4"/>
  <c r="CO37" i="5"/>
  <c r="CK37" i="5"/>
  <c r="BS37" i="5"/>
  <c r="BR37" i="5"/>
  <c r="BW37" i="5"/>
  <c r="AI18" i="5"/>
  <c r="AE18" i="5"/>
  <c r="DC37" i="5"/>
  <c r="DB37" i="5"/>
  <c r="DG37" i="5"/>
  <c r="DC18" i="5"/>
  <c r="DB18" i="5"/>
  <c r="AC39" i="4"/>
  <c r="DY37" i="5"/>
  <c r="DU37" i="5"/>
  <c r="DT37" i="5"/>
  <c r="CL36" i="5"/>
  <c r="BT42" i="5"/>
  <c r="W48" i="4"/>
  <c r="X48" i="4" s="1"/>
  <c r="AT48" i="4" s="1"/>
  <c r="CP36" i="5"/>
  <c r="BX42" i="5"/>
  <c r="W37" i="4"/>
  <c r="X37" i="4" s="1"/>
  <c r="AT37" i="4" s="1"/>
  <c r="AI37" i="5"/>
  <c r="AE37" i="5"/>
  <c r="BC20" i="5"/>
  <c r="V22" i="4"/>
  <c r="G63" i="7" s="1"/>
  <c r="BT18" i="5"/>
  <c r="BB13" i="5"/>
  <c r="AE23" i="4"/>
  <c r="BU18" i="5"/>
  <c r="DW20" i="5"/>
  <c r="AD23" i="4"/>
  <c r="T64" i="7" s="1"/>
  <c r="DV20" i="5"/>
  <c r="CP13" i="5"/>
  <c r="AC19" i="4"/>
  <c r="DH13" i="5"/>
  <c r="DE13" i="5"/>
  <c r="BC13" i="5"/>
  <c r="CL13" i="5"/>
  <c r="DB12" i="5"/>
  <c r="BS12" i="5"/>
  <c r="DG12" i="5"/>
  <c r="BT20" i="5"/>
  <c r="AZ42" i="5"/>
  <c r="Z23" i="4"/>
  <c r="AA23" i="4" s="1"/>
  <c r="AV23" i="4" s="1"/>
  <c r="BX35" i="5"/>
  <c r="BB35" i="5"/>
  <c r="BT35" i="5"/>
  <c r="BC35" i="5"/>
  <c r="AJ42" i="5"/>
  <c r="AB39" i="4"/>
  <c r="D7" i="9" s="1"/>
  <c r="W19" i="4"/>
  <c r="X19" i="4" s="1"/>
  <c r="AT19" i="4" s="1"/>
  <c r="AF20" i="5"/>
  <c r="BQ29" i="5"/>
  <c r="DV42" i="5"/>
  <c r="AB37" i="4"/>
  <c r="D5" i="9" s="1"/>
  <c r="AC37" i="4"/>
  <c r="DD42" i="5"/>
  <c r="DZ13" i="5"/>
  <c r="DV13" i="5"/>
  <c r="DA29" i="5"/>
  <c r="V37" i="4"/>
  <c r="V39" i="4"/>
  <c r="W39" i="4"/>
  <c r="X39" i="4" s="1"/>
  <c r="AT39" i="4" s="1"/>
  <c r="BF20" i="5"/>
  <c r="BR12" i="5"/>
  <c r="AD12" i="5"/>
  <c r="AE12" i="5"/>
  <c r="AI12" i="5"/>
  <c r="CK12" i="5"/>
  <c r="CO12" i="5"/>
  <c r="DU12" i="5"/>
  <c r="DY12" i="5"/>
  <c r="BU13" i="5"/>
  <c r="BX13" i="5"/>
  <c r="BT13" i="5"/>
  <c r="CM42" i="5"/>
  <c r="AF35" i="5"/>
  <c r="AG35" i="5"/>
  <c r="DD18" i="5"/>
  <c r="DH18" i="5"/>
  <c r="Y23" i="4"/>
  <c r="R64" i="7" s="1"/>
  <c r="BU20" i="5"/>
  <c r="V19" i="4"/>
  <c r="G60" i="7" s="1"/>
  <c r="AF42" i="5"/>
  <c r="AB19" i="4"/>
  <c r="I60" i="7" s="1"/>
  <c r="DD20" i="5"/>
  <c r="AJ20" i="5"/>
  <c r="DS29" i="5"/>
  <c r="CP17" i="5"/>
  <c r="CM17" i="5"/>
  <c r="CL17" i="5"/>
  <c r="DE20" i="5"/>
  <c r="BC18" i="5"/>
  <c r="BT17" i="5"/>
  <c r="BX17" i="5"/>
  <c r="BU17" i="5"/>
  <c r="DE17" i="5"/>
  <c r="DH17" i="5"/>
  <c r="DD17" i="5"/>
  <c r="BB18" i="5"/>
  <c r="BF17" i="5"/>
  <c r="BB17" i="5"/>
  <c r="BC17" i="5"/>
  <c r="DZ17" i="5"/>
  <c r="DV17" i="5"/>
  <c r="DW17" i="5"/>
  <c r="AY29" i="5"/>
  <c r="AC29" i="5"/>
  <c r="AC28" i="5" s="1"/>
  <c r="DY34" i="5"/>
  <c r="DT34" i="5"/>
  <c r="DR29" i="5"/>
  <c r="DU34" i="5"/>
  <c r="DH22" i="5"/>
  <c r="DD22" i="5"/>
  <c r="DE22" i="5"/>
  <c r="AJ47" i="5"/>
  <c r="AG47" i="5"/>
  <c r="AF47" i="5"/>
  <c r="CP49" i="5"/>
  <c r="CM49" i="5"/>
  <c r="CL49" i="5"/>
  <c r="CL45" i="5"/>
  <c r="CM45" i="5"/>
  <c r="CP45" i="5"/>
  <c r="AB45" i="4"/>
  <c r="D13" i="9" s="1"/>
  <c r="AC45" i="4"/>
  <c r="AX29" i="5"/>
  <c r="BE34" i="5"/>
  <c r="BA34" i="5"/>
  <c r="AZ34" i="5"/>
  <c r="AJ22" i="5"/>
  <c r="AF22" i="5"/>
  <c r="AG22" i="5"/>
  <c r="AE49" i="4"/>
  <c r="E46" i="9" s="1"/>
  <c r="AD49" i="4"/>
  <c r="AJ49" i="5"/>
  <c r="AG49" i="5"/>
  <c r="AF49" i="5"/>
  <c r="CM18" i="5"/>
  <c r="DD45" i="5"/>
  <c r="DH45" i="5"/>
  <c r="DE45" i="5"/>
  <c r="V45" i="4"/>
  <c r="W45" i="4"/>
  <c r="X45" i="4" s="1"/>
  <c r="AT45" i="4" s="1"/>
  <c r="AD34" i="5"/>
  <c r="AE34" i="5"/>
  <c r="AB29" i="5"/>
  <c r="AB28" i="5" s="1"/>
  <c r="AI34" i="5"/>
  <c r="BF47" i="5"/>
  <c r="BC47" i="5"/>
  <c r="BB47" i="5"/>
  <c r="V36" i="4"/>
  <c r="W36" i="4"/>
  <c r="X36" i="4" s="1"/>
  <c r="AT36" i="4" s="1"/>
  <c r="BW34" i="5"/>
  <c r="BP29" i="5"/>
  <c r="BR34" i="5"/>
  <c r="BS34" i="5"/>
  <c r="BF49" i="5"/>
  <c r="BC49" i="5"/>
  <c r="BB49" i="5"/>
  <c r="AJ45" i="5"/>
  <c r="AF45" i="5"/>
  <c r="AG45" i="5"/>
  <c r="DC34" i="5"/>
  <c r="DG34" i="5"/>
  <c r="DB34" i="5"/>
  <c r="CZ29" i="5"/>
  <c r="CP47" i="5"/>
  <c r="CM47" i="5"/>
  <c r="CL47" i="5"/>
  <c r="AB36" i="4"/>
  <c r="D4" i="9" s="1"/>
  <c r="AC36" i="4"/>
  <c r="Y35" i="4"/>
  <c r="Z35" i="4"/>
  <c r="AA35" i="4" s="1"/>
  <c r="AV35" i="4" s="1"/>
  <c r="BX45" i="5"/>
  <c r="BT45" i="5"/>
  <c r="BU45" i="5"/>
  <c r="CP18" i="5"/>
  <c r="DZ45" i="5"/>
  <c r="DV45" i="5"/>
  <c r="DW45" i="5"/>
  <c r="BX47" i="5"/>
  <c r="BU47" i="5"/>
  <c r="BT47" i="5"/>
  <c r="DZ49" i="5"/>
  <c r="DW49" i="5"/>
  <c r="DV49" i="5"/>
  <c r="AE35" i="4"/>
  <c r="E32" i="9" s="1"/>
  <c r="AD35" i="4"/>
  <c r="BB45" i="5"/>
  <c r="BC45" i="5"/>
  <c r="BF45" i="5"/>
  <c r="DD47" i="5"/>
  <c r="DH47" i="5"/>
  <c r="DE47" i="5"/>
  <c r="BX49" i="5"/>
  <c r="BT49" i="5"/>
  <c r="BU49" i="5"/>
  <c r="BX22" i="5"/>
  <c r="BU22" i="5"/>
  <c r="BT22" i="5"/>
  <c r="CI29" i="5"/>
  <c r="CK34" i="5"/>
  <c r="CH29" i="5"/>
  <c r="CJ34" i="5"/>
  <c r="CO34" i="5"/>
  <c r="DZ47" i="5"/>
  <c r="DV47" i="5"/>
  <c r="DW47" i="5"/>
  <c r="Y49" i="4"/>
  <c r="Z49" i="4"/>
  <c r="AA49" i="4" s="1"/>
  <c r="AV49" i="4" s="1"/>
  <c r="DH49" i="5"/>
  <c r="DD49" i="5"/>
  <c r="DE49" i="5"/>
  <c r="DT8" i="5" l="1"/>
  <c r="CJ8" i="5"/>
  <c r="DG8" i="5"/>
  <c r="DC8" i="5"/>
  <c r="V42" i="4"/>
  <c r="AS42" i="4" s="1"/>
  <c r="AC49" i="4"/>
  <c r="E17" i="9" s="1"/>
  <c r="AB44" i="4"/>
  <c r="D12" i="9" s="1"/>
  <c r="V44" i="4"/>
  <c r="F59" i="7" s="1"/>
  <c r="AC44" i="4"/>
  <c r="E12" i="9" s="1"/>
  <c r="W44" i="4"/>
  <c r="X44" i="4" s="1"/>
  <c r="AT44" i="4" s="1"/>
  <c r="W50" i="4"/>
  <c r="X50" i="4" s="1"/>
  <c r="AT50" i="4" s="1"/>
  <c r="Z44" i="4"/>
  <c r="AA44" i="4" s="1"/>
  <c r="AV44" i="4" s="1"/>
  <c r="AC42" i="4"/>
  <c r="E10" i="9" s="1"/>
  <c r="AC50" i="4"/>
  <c r="E18" i="9" s="1"/>
  <c r="AB49" i="4"/>
  <c r="D17" i="9" s="1"/>
  <c r="W42" i="4"/>
  <c r="X42" i="4" s="1"/>
  <c r="AT42" i="4" s="1"/>
  <c r="V50" i="4"/>
  <c r="AS50" i="4" s="1"/>
  <c r="AB42" i="4"/>
  <c r="D10" i="9" s="1"/>
  <c r="AB50" i="4"/>
  <c r="D18" i="9" s="1"/>
  <c r="V49" i="4"/>
  <c r="F64" i="7" s="1"/>
  <c r="Y44" i="4"/>
  <c r="AU44" i="4" s="1"/>
  <c r="AE17" i="4"/>
  <c r="AE39" i="4"/>
  <c r="E36" i="9" s="1"/>
  <c r="W49" i="4"/>
  <c r="X49" i="4" s="1"/>
  <c r="AT49" i="4" s="1"/>
  <c r="Y39" i="4"/>
  <c r="AU39" i="4" s="1"/>
  <c r="Z39" i="4"/>
  <c r="AA39" i="4" s="1"/>
  <c r="AV39" i="4" s="1"/>
  <c r="AD38" i="4"/>
  <c r="S53" i="7" s="1"/>
  <c r="AE44" i="4"/>
  <c r="E41" i="9" s="1"/>
  <c r="AD44" i="4"/>
  <c r="S59" i="7" s="1"/>
  <c r="W15" i="4"/>
  <c r="X15" i="4" s="1"/>
  <c r="AT15" i="4" s="1"/>
  <c r="Z10" i="4"/>
  <c r="AA10" i="4" s="1"/>
  <c r="AV10" i="4" s="1"/>
  <c r="AS13" i="4"/>
  <c r="G54" i="7"/>
  <c r="S64" i="7"/>
  <c r="D46" i="9"/>
  <c r="G46" i="9" s="1"/>
  <c r="S50" i="7"/>
  <c r="D32" i="9"/>
  <c r="S54" i="7"/>
  <c r="D36" i="9"/>
  <c r="AC23" i="4"/>
  <c r="W23" i="4"/>
  <c r="X23" i="4" s="1"/>
  <c r="AT23" i="4" s="1"/>
  <c r="AD18" i="4"/>
  <c r="T59" i="7" s="1"/>
  <c r="Y18" i="4"/>
  <c r="R59" i="7" s="1"/>
  <c r="Z14" i="4"/>
  <c r="AA14" i="4" s="1"/>
  <c r="AV14" i="4" s="1"/>
  <c r="Z18" i="4"/>
  <c r="AA18" i="4" s="1"/>
  <c r="AE18" i="4"/>
  <c r="V15" i="4"/>
  <c r="G56" i="7" s="1"/>
  <c r="AB15" i="4"/>
  <c r="I56" i="7" s="1"/>
  <c r="AC21" i="4"/>
  <c r="AD10" i="4"/>
  <c r="T51" i="7" s="1"/>
  <c r="Z13" i="4"/>
  <c r="AA13" i="4" s="1"/>
  <c r="AV13" i="4" s="1"/>
  <c r="AD17" i="4"/>
  <c r="T58" i="7" s="1"/>
  <c r="W21" i="4"/>
  <c r="X21" i="4" s="1"/>
  <c r="AT21" i="4" s="1"/>
  <c r="AC18" i="4"/>
  <c r="AD14" i="4"/>
  <c r="T55" i="7" s="1"/>
  <c r="V23" i="4"/>
  <c r="AE14" i="4"/>
  <c r="AC15" i="4"/>
  <c r="AE11" i="4"/>
  <c r="AB18" i="4"/>
  <c r="W10" i="4"/>
  <c r="X10" i="4" s="1"/>
  <c r="AT10" i="4" s="1"/>
  <c r="V17" i="4"/>
  <c r="V21" i="4"/>
  <c r="AB21" i="4"/>
  <c r="I62" i="7" s="1"/>
  <c r="AC10" i="4"/>
  <c r="V10" i="4"/>
  <c r="AB17" i="4"/>
  <c r="I58" i="7" s="1"/>
  <c r="AB23" i="4"/>
  <c r="W17" i="4"/>
  <c r="X17" i="4" s="1"/>
  <c r="AT17" i="4" s="1"/>
  <c r="G16" i="9"/>
  <c r="F16" i="9"/>
  <c r="G13" i="9"/>
  <c r="F13" i="9"/>
  <c r="G7" i="9"/>
  <c r="F7" i="9"/>
  <c r="E5" i="9"/>
  <c r="E7" i="9"/>
  <c r="G5" i="9"/>
  <c r="F5" i="9"/>
  <c r="E4" i="9"/>
  <c r="E16" i="9"/>
  <c r="E13" i="9"/>
  <c r="Y11" i="4"/>
  <c r="AU11" i="4" s="1"/>
  <c r="Y17" i="4"/>
  <c r="Y13" i="4"/>
  <c r="AS12" i="4"/>
  <c r="G53" i="7"/>
  <c r="AB10" i="4"/>
  <c r="I51" i="7" s="1"/>
  <c r="AC17" i="4"/>
  <c r="Z17" i="4"/>
  <c r="AA17" i="4" s="1"/>
  <c r="AV17" i="4" s="1"/>
  <c r="Y10" i="4"/>
  <c r="AE10" i="4"/>
  <c r="Z11" i="4"/>
  <c r="AA11" i="4" s="1"/>
  <c r="AV11" i="4" s="1"/>
  <c r="AS11" i="4"/>
  <c r="G52" i="7"/>
  <c r="V18" i="4"/>
  <c r="G59" i="7" s="1"/>
  <c r="W18" i="4"/>
  <c r="X18" i="4" s="1"/>
  <c r="H51" i="7"/>
  <c r="AD13" i="4"/>
  <c r="T54" i="7" s="1"/>
  <c r="H60" i="7"/>
  <c r="H63" i="7"/>
  <c r="H52" i="7"/>
  <c r="H54" i="7"/>
  <c r="W24" i="4"/>
  <c r="X24" i="4" s="1"/>
  <c r="AT24" i="4" s="1"/>
  <c r="DE14" i="5"/>
  <c r="DD14" i="5"/>
  <c r="DH14" i="5"/>
  <c r="CL14" i="5"/>
  <c r="CM14" i="5"/>
  <c r="CP14" i="5"/>
  <c r="BX14" i="5"/>
  <c r="BT14" i="5"/>
  <c r="BU14" i="5"/>
  <c r="AD11" i="4"/>
  <c r="BF14" i="5"/>
  <c r="BB14" i="5"/>
  <c r="BC14" i="5"/>
  <c r="DW14" i="5"/>
  <c r="DV14" i="5"/>
  <c r="DZ14" i="5"/>
  <c r="AG14" i="5"/>
  <c r="AJ14" i="5"/>
  <c r="AF14" i="5"/>
  <c r="AU23" i="4"/>
  <c r="V24" i="4"/>
  <c r="AC24" i="4"/>
  <c r="AB24" i="4"/>
  <c r="I65" i="7" s="1"/>
  <c r="V16" i="4"/>
  <c r="G57" i="7" s="1"/>
  <c r="AC16" i="4"/>
  <c r="AB16" i="4"/>
  <c r="I57" i="7" s="1"/>
  <c r="W16" i="4"/>
  <c r="X16" i="4" s="1"/>
  <c r="AE38" i="4"/>
  <c r="E35" i="9" s="1"/>
  <c r="AS19" i="4"/>
  <c r="AU14" i="4"/>
  <c r="AE41" i="4"/>
  <c r="E38" i="9" s="1"/>
  <c r="AE45" i="4"/>
  <c r="E42" i="9" s="1"/>
  <c r="AU49" i="4"/>
  <c r="Q64" i="7"/>
  <c r="AS48" i="4"/>
  <c r="F63" i="7"/>
  <c r="AS39" i="4"/>
  <c r="F54" i="7"/>
  <c r="AS37" i="4"/>
  <c r="F52" i="7"/>
  <c r="AS45" i="4"/>
  <c r="F60" i="7"/>
  <c r="AU35" i="4"/>
  <c r="Q50" i="7"/>
  <c r="AS36" i="4"/>
  <c r="F51" i="7"/>
  <c r="Z45" i="4"/>
  <c r="AA45" i="4" s="1"/>
  <c r="AV45" i="4" s="1"/>
  <c r="Y38" i="4"/>
  <c r="Y42" i="4"/>
  <c r="Y45" i="4"/>
  <c r="Y21" i="4"/>
  <c r="R62" i="7" s="1"/>
  <c r="W12" i="4"/>
  <c r="X12" i="4" s="1"/>
  <c r="AT12" i="4" s="1"/>
  <c r="Z21" i="4"/>
  <c r="AA21" i="4" s="1"/>
  <c r="AV21" i="4" s="1"/>
  <c r="Z38" i="4"/>
  <c r="AA38" i="4" s="1"/>
  <c r="AV38" i="4" s="1"/>
  <c r="AE21" i="4"/>
  <c r="AD21" i="4"/>
  <c r="T62" i="7" s="1"/>
  <c r="Y37" i="4"/>
  <c r="W47" i="4"/>
  <c r="X47" i="4" s="1"/>
  <c r="AT47" i="4" s="1"/>
  <c r="CU53" i="5"/>
  <c r="Z37" i="4"/>
  <c r="AA37" i="4" s="1"/>
  <c r="AV37" i="4" s="1"/>
  <c r="CC53" i="5"/>
  <c r="AD45" i="4"/>
  <c r="CD53" i="5"/>
  <c r="AD41" i="4"/>
  <c r="BL53" i="5"/>
  <c r="DM53" i="5"/>
  <c r="DN53" i="5"/>
  <c r="EF53" i="5"/>
  <c r="V46" i="4"/>
  <c r="CV53" i="5"/>
  <c r="BK53" i="5"/>
  <c r="EE53" i="5"/>
  <c r="AE47" i="4"/>
  <c r="E44" i="9" s="1"/>
  <c r="AB41" i="4"/>
  <c r="D9" i="9" s="1"/>
  <c r="AE40" i="4"/>
  <c r="E37" i="9" s="1"/>
  <c r="Y41" i="4"/>
  <c r="BE28" i="5"/>
  <c r="BG44" i="5" s="1"/>
  <c r="AD42" i="4"/>
  <c r="AT53" i="5"/>
  <c r="Y12" i="4"/>
  <c r="AC40" i="4"/>
  <c r="AC47" i="4"/>
  <c r="AS53" i="5"/>
  <c r="AC41" i="4"/>
  <c r="Z47" i="4"/>
  <c r="AA47" i="4" s="1"/>
  <c r="AV47" i="4" s="1"/>
  <c r="W41" i="4"/>
  <c r="X41" i="4" s="1"/>
  <c r="AT41" i="4" s="1"/>
  <c r="Z41" i="4"/>
  <c r="AA41" i="4" s="1"/>
  <c r="AV41" i="4" s="1"/>
  <c r="AB40" i="4"/>
  <c r="D8" i="9" s="1"/>
  <c r="AB47" i="4"/>
  <c r="D15" i="9" s="1"/>
  <c r="Z12" i="4"/>
  <c r="AA12" i="4" s="1"/>
  <c r="AV12" i="4" s="1"/>
  <c r="Y43" i="4"/>
  <c r="CO28" i="5"/>
  <c r="CQ38" i="5" s="1"/>
  <c r="AD40" i="4"/>
  <c r="AD47" i="4"/>
  <c r="V47" i="4"/>
  <c r="V41" i="4"/>
  <c r="AB43" i="4"/>
  <c r="D11" i="9" s="1"/>
  <c r="AD36" i="4"/>
  <c r="AC46" i="4"/>
  <c r="Y47" i="4"/>
  <c r="V43" i="4"/>
  <c r="DG28" i="5"/>
  <c r="DI38" i="5" s="1"/>
  <c r="Y15" i="4"/>
  <c r="R56" i="7" s="1"/>
  <c r="AB46" i="4"/>
  <c r="D14" i="9" s="1"/>
  <c r="Z40" i="4"/>
  <c r="AA40" i="4" s="1"/>
  <c r="AV40" i="4" s="1"/>
  <c r="Y40" i="4"/>
  <c r="AE37" i="4"/>
  <c r="E34" i="9" s="1"/>
  <c r="AC12" i="4"/>
  <c r="AE12" i="4"/>
  <c r="V40" i="4"/>
  <c r="Z42" i="4"/>
  <c r="AA42" i="4" s="1"/>
  <c r="AV42" i="4" s="1"/>
  <c r="AC43" i="4"/>
  <c r="W40" i="4"/>
  <c r="X40" i="4" s="1"/>
  <c r="AT40" i="4" s="1"/>
  <c r="AD37" i="4"/>
  <c r="W46" i="4"/>
  <c r="X46" i="4" s="1"/>
  <c r="AT46" i="4" s="1"/>
  <c r="W43" i="4"/>
  <c r="X43" i="4" s="1"/>
  <c r="AT43" i="4" s="1"/>
  <c r="BW28" i="5"/>
  <c r="BY44" i="5" s="1"/>
  <c r="W20" i="4"/>
  <c r="X20" i="4" s="1"/>
  <c r="AT20" i="4" s="1"/>
  <c r="AE20" i="4"/>
  <c r="Z36" i="4"/>
  <c r="AA36" i="4" s="1"/>
  <c r="AV36" i="4" s="1"/>
  <c r="AD12" i="4"/>
  <c r="AB12" i="4"/>
  <c r="I53" i="7" s="1"/>
  <c r="AC38" i="4"/>
  <c r="AI28" i="5"/>
  <c r="AK47" i="5" s="1"/>
  <c r="V20" i="4"/>
  <c r="AB20" i="4"/>
  <c r="I61" i="7" s="1"/>
  <c r="AS22" i="4"/>
  <c r="AC20" i="4"/>
  <c r="V38" i="4"/>
  <c r="W38" i="4"/>
  <c r="X38" i="4" s="1"/>
  <c r="AT38" i="4" s="1"/>
  <c r="AE36" i="4"/>
  <c r="E33" i="9" s="1"/>
  <c r="AB38" i="4"/>
  <c r="D6" i="9" s="1"/>
  <c r="Y36" i="4"/>
  <c r="DY28" i="5"/>
  <c r="EA34" i="5" s="1"/>
  <c r="DZ28" i="5"/>
  <c r="EB39" i="5" s="1"/>
  <c r="AB35" i="4"/>
  <c r="AB14" i="4"/>
  <c r="I55" i="7" s="1"/>
  <c r="Z22" i="4"/>
  <c r="AA22" i="4" s="1"/>
  <c r="AV22" i="4" s="1"/>
  <c r="Y20" i="4"/>
  <c r="AD20" i="4"/>
  <c r="T61" i="7" s="1"/>
  <c r="Z15" i="4"/>
  <c r="AA15" i="4" s="1"/>
  <c r="AV15" i="4" s="1"/>
  <c r="AC14" i="4"/>
  <c r="AD22" i="4"/>
  <c r="T63" i="7" s="1"/>
  <c r="AD15" i="4"/>
  <c r="AE43" i="4"/>
  <c r="E40" i="9" s="1"/>
  <c r="V14" i="4"/>
  <c r="G55" i="7" s="1"/>
  <c r="W14" i="4"/>
  <c r="X14" i="4" s="1"/>
  <c r="Y22" i="4"/>
  <c r="AE15" i="4"/>
  <c r="AE22" i="4"/>
  <c r="Z43" i="4"/>
  <c r="AA43" i="4" s="1"/>
  <c r="AV43" i="4" s="1"/>
  <c r="AD19" i="4"/>
  <c r="T60" i="7" s="1"/>
  <c r="CP28" i="5"/>
  <c r="CR34" i="5" s="1"/>
  <c r="AD43" i="4"/>
  <c r="Z20" i="4"/>
  <c r="AA20" i="4" s="1"/>
  <c r="AV20" i="4" s="1"/>
  <c r="Y19" i="4"/>
  <c r="R60" i="7" s="1"/>
  <c r="Z19" i="4"/>
  <c r="AA19" i="4" s="1"/>
  <c r="BX28" i="5"/>
  <c r="BZ41" i="5" s="1"/>
  <c r="AE19" i="4"/>
  <c r="Z24" i="4"/>
  <c r="AA24" i="4" s="1"/>
  <c r="AV24" i="4" s="1"/>
  <c r="BF28" i="5"/>
  <c r="BH45" i="5" s="1"/>
  <c r="AJ28" i="5"/>
  <c r="AL47" i="5" s="1"/>
  <c r="Y24" i="4"/>
  <c r="DH28" i="5"/>
  <c r="DJ47" i="5" s="1"/>
  <c r="Y50" i="4"/>
  <c r="Z50" i="4"/>
  <c r="AA50" i="4" s="1"/>
  <c r="AV50" i="4" s="1"/>
  <c r="V35" i="4"/>
  <c r="W35" i="4"/>
  <c r="X35" i="4" s="1"/>
  <c r="AT35" i="4" s="1"/>
  <c r="AC35" i="4"/>
  <c r="Y46" i="4"/>
  <c r="Z46" i="4"/>
  <c r="AA46" i="4" s="1"/>
  <c r="AV46" i="4" s="1"/>
  <c r="AD46" i="4"/>
  <c r="AE46" i="4"/>
  <c r="E43" i="9" s="1"/>
  <c r="AD48" i="4"/>
  <c r="AE48" i="4"/>
  <c r="E45" i="9" s="1"/>
  <c r="AD50" i="4"/>
  <c r="AE50" i="4"/>
  <c r="E47" i="9" s="1"/>
  <c r="AD24" i="4"/>
  <c r="T65" i="7" s="1"/>
  <c r="AE24" i="4"/>
  <c r="Z48" i="4"/>
  <c r="AA48" i="4" s="1"/>
  <c r="AV48" i="4" s="1"/>
  <c r="Y48" i="4"/>
  <c r="AS44" i="4" l="1"/>
  <c r="F57" i="7"/>
  <c r="H59" i="7"/>
  <c r="Q59" i="7"/>
  <c r="AS49" i="4"/>
  <c r="H64" i="7"/>
  <c r="F65" i="7"/>
  <c r="H57" i="7"/>
  <c r="H65" i="7"/>
  <c r="Q54" i="7"/>
  <c r="D35" i="9"/>
  <c r="F35" i="9" s="1"/>
  <c r="D41" i="9"/>
  <c r="G41" i="9" s="1"/>
  <c r="F46" i="9"/>
  <c r="AU22" i="4"/>
  <c r="R63" i="7"/>
  <c r="AU24" i="4"/>
  <c r="R65" i="7"/>
  <c r="AS21" i="4"/>
  <c r="G62" i="7"/>
  <c r="AS17" i="4"/>
  <c r="G58" i="7"/>
  <c r="AS20" i="4"/>
  <c r="G61" i="7"/>
  <c r="AS24" i="4"/>
  <c r="G65" i="7"/>
  <c r="AS23" i="4"/>
  <c r="G64" i="7"/>
  <c r="AU20" i="4"/>
  <c r="R61" i="7"/>
  <c r="AU17" i="4"/>
  <c r="R58" i="7"/>
  <c r="F17" i="9"/>
  <c r="I64" i="7"/>
  <c r="F12" i="9"/>
  <c r="I59" i="7"/>
  <c r="AU13" i="4"/>
  <c r="R54" i="7"/>
  <c r="R52" i="7"/>
  <c r="AS10" i="4"/>
  <c r="G51" i="7"/>
  <c r="AU10" i="4"/>
  <c r="R51" i="7"/>
  <c r="AU18" i="4"/>
  <c r="S61" i="7"/>
  <c r="D43" i="9"/>
  <c r="F43" i="9" s="1"/>
  <c r="S56" i="7"/>
  <c r="D38" i="9"/>
  <c r="G38" i="9" s="1"/>
  <c r="S51" i="7"/>
  <c r="D33" i="9"/>
  <c r="F33" i="9" s="1"/>
  <c r="S62" i="7"/>
  <c r="D44" i="9"/>
  <c r="F44" i="9" s="1"/>
  <c r="S57" i="7"/>
  <c r="D39" i="9"/>
  <c r="S60" i="7"/>
  <c r="D42" i="9"/>
  <c r="F42" i="9" s="1"/>
  <c r="S63" i="7"/>
  <c r="D45" i="9"/>
  <c r="G45" i="9" s="1"/>
  <c r="S58" i="7"/>
  <c r="D40" i="9"/>
  <c r="G40" i="9" s="1"/>
  <c r="S55" i="7"/>
  <c r="D37" i="9"/>
  <c r="G37" i="9" s="1"/>
  <c r="F9" i="9"/>
  <c r="S52" i="7"/>
  <c r="D34" i="9"/>
  <c r="G34" i="9" s="1"/>
  <c r="S65" i="7"/>
  <c r="D47" i="9"/>
  <c r="F47" i="9" s="1"/>
  <c r="G12" i="9"/>
  <c r="G15" i="9"/>
  <c r="AS15" i="4"/>
  <c r="G9" i="9"/>
  <c r="F11" i="9"/>
  <c r="T52" i="7"/>
  <c r="G36" i="9"/>
  <c r="F36" i="9"/>
  <c r="T53" i="7"/>
  <c r="G17" i="9"/>
  <c r="T56" i="7"/>
  <c r="E3" i="9"/>
  <c r="G8" i="9"/>
  <c r="F8" i="9"/>
  <c r="D3" i="9"/>
  <c r="E9" i="9"/>
  <c r="F10" i="9"/>
  <c r="G10" i="9"/>
  <c r="F15" i="9"/>
  <c r="E14" i="9"/>
  <c r="E6" i="9"/>
  <c r="G6" i="9"/>
  <c r="F6" i="9"/>
  <c r="E15" i="9"/>
  <c r="G14" i="9"/>
  <c r="F14" i="9"/>
  <c r="E8" i="9"/>
  <c r="F18" i="9"/>
  <c r="G18" i="9"/>
  <c r="G4" i="9"/>
  <c r="F4" i="9"/>
  <c r="G11" i="9"/>
  <c r="E11" i="9"/>
  <c r="AU12" i="4"/>
  <c r="R53" i="7"/>
  <c r="AS18" i="4"/>
  <c r="H56" i="7"/>
  <c r="H53" i="7"/>
  <c r="H58" i="7"/>
  <c r="H62" i="7"/>
  <c r="H61" i="7"/>
  <c r="H55" i="7"/>
  <c r="CQ48" i="5"/>
  <c r="CS48" i="5" s="1"/>
  <c r="CU48" i="5" s="1"/>
  <c r="H50" i="7"/>
  <c r="CQ49" i="5"/>
  <c r="CS49" i="5" s="1"/>
  <c r="CU49" i="5" s="1"/>
  <c r="Y16" i="4"/>
  <c r="Z16" i="4"/>
  <c r="AA16" i="4" s="1"/>
  <c r="AV16" i="4" s="1"/>
  <c r="AD16" i="4"/>
  <c r="AE16" i="4"/>
  <c r="AS16" i="4"/>
  <c r="AT16" i="4"/>
  <c r="AU19" i="4"/>
  <c r="AU15" i="4"/>
  <c r="AS14" i="4"/>
  <c r="CQ34" i="5"/>
  <c r="CS34" i="5" s="1"/>
  <c r="CU34" i="5" s="1"/>
  <c r="CQ36" i="5"/>
  <c r="CS36" i="5" s="1"/>
  <c r="CU36" i="5" s="1"/>
  <c r="CQ47" i="5"/>
  <c r="CS47" i="5" s="1"/>
  <c r="CU47" i="5" s="1"/>
  <c r="CQ35" i="5"/>
  <c r="CS35" i="5" s="1"/>
  <c r="CU35" i="5" s="1"/>
  <c r="CQ39" i="5"/>
  <c r="CS39" i="5" s="1"/>
  <c r="CU39" i="5" s="1"/>
  <c r="CQ43" i="5"/>
  <c r="CS43" i="5" s="1"/>
  <c r="CU43" i="5" s="1"/>
  <c r="AU21" i="4"/>
  <c r="AU48" i="4"/>
  <c r="Q63" i="7"/>
  <c r="AS38" i="4"/>
  <c r="F53" i="7"/>
  <c r="AS47" i="4"/>
  <c r="F62" i="7"/>
  <c r="AU45" i="4"/>
  <c r="Q60" i="7"/>
  <c r="AU38" i="4"/>
  <c r="Q53" i="7"/>
  <c r="AS43" i="4"/>
  <c r="F58" i="7"/>
  <c r="AU42" i="4"/>
  <c r="Q57" i="7"/>
  <c r="AU50" i="4"/>
  <c r="Q65" i="7"/>
  <c r="AS40" i="4"/>
  <c r="F55" i="7"/>
  <c r="AU46" i="4"/>
  <c r="Q61" i="7"/>
  <c r="AU36" i="4"/>
  <c r="Q51" i="7"/>
  <c r="AU47" i="4"/>
  <c r="Q62" i="7"/>
  <c r="AS46" i="4"/>
  <c r="F61" i="7"/>
  <c r="AU37" i="4"/>
  <c r="Q52" i="7"/>
  <c r="AU41" i="4"/>
  <c r="Q56" i="7"/>
  <c r="AS35" i="4"/>
  <c r="F50" i="7"/>
  <c r="AS41" i="4"/>
  <c r="F56" i="7"/>
  <c r="AU40" i="4"/>
  <c r="Q55" i="7"/>
  <c r="AU43" i="4"/>
  <c r="Q58" i="7"/>
  <c r="BG48" i="5"/>
  <c r="BG43" i="5"/>
  <c r="BI43" i="5" s="1"/>
  <c r="BG47" i="5"/>
  <c r="BI47" i="5" s="1"/>
  <c r="BG36" i="5"/>
  <c r="BG40" i="5"/>
  <c r="CS38" i="5"/>
  <c r="CU38" i="5" s="1"/>
  <c r="EC34" i="5"/>
  <c r="EE34" i="5" s="1"/>
  <c r="CB41" i="5"/>
  <c r="CD41" i="5" s="1"/>
  <c r="BG42" i="5"/>
  <c r="CQ37" i="5"/>
  <c r="CQ45" i="5"/>
  <c r="DK38" i="5"/>
  <c r="DM38" i="5" s="1"/>
  <c r="BG35" i="5"/>
  <c r="CQ41" i="5"/>
  <c r="CQ40" i="5"/>
  <c r="CA44" i="5"/>
  <c r="CC44" i="5" s="1"/>
  <c r="CQ46" i="5"/>
  <c r="CQ42" i="5"/>
  <c r="BJ45" i="5"/>
  <c r="BL45" i="5" s="1"/>
  <c r="CT34" i="5"/>
  <c r="CV34" i="5" s="1"/>
  <c r="BG39" i="5"/>
  <c r="CQ44" i="5"/>
  <c r="DL47" i="5"/>
  <c r="DN47" i="5" s="1"/>
  <c r="ED39" i="5"/>
  <c r="EF39" i="5" s="1"/>
  <c r="BI44" i="5"/>
  <c r="BK44" i="5" s="1"/>
  <c r="BG45" i="5"/>
  <c r="EA48" i="5"/>
  <c r="BG49" i="5"/>
  <c r="BG37" i="5"/>
  <c r="DI45" i="5"/>
  <c r="BG38" i="5"/>
  <c r="BG34" i="5"/>
  <c r="DI40" i="5"/>
  <c r="BG46" i="5"/>
  <c r="BG41" i="5"/>
  <c r="AK45" i="5"/>
  <c r="DI41" i="5"/>
  <c r="DI43" i="5"/>
  <c r="DI47" i="5"/>
  <c r="AK36" i="5"/>
  <c r="DI49" i="5"/>
  <c r="AK37" i="5"/>
  <c r="DI46" i="5"/>
  <c r="DI37" i="5"/>
  <c r="DI35" i="5"/>
  <c r="DI42" i="5"/>
  <c r="BY48" i="5"/>
  <c r="BY47" i="5"/>
  <c r="BY37" i="5"/>
  <c r="BY49" i="5"/>
  <c r="BY36" i="5"/>
  <c r="EA41" i="5"/>
  <c r="BY34" i="5"/>
  <c r="AK39" i="5"/>
  <c r="BY35" i="5"/>
  <c r="BY41" i="5"/>
  <c r="BY42" i="5"/>
  <c r="AK48" i="5"/>
  <c r="BY46" i="5"/>
  <c r="BY45" i="5"/>
  <c r="AK41" i="5"/>
  <c r="BY43" i="5"/>
  <c r="AK34" i="5"/>
  <c r="BY39" i="5"/>
  <c r="BY40" i="5"/>
  <c r="BZ38" i="5"/>
  <c r="BY38" i="5"/>
  <c r="AK43" i="5"/>
  <c r="DI44" i="5"/>
  <c r="DI39" i="5"/>
  <c r="AK46" i="5"/>
  <c r="AK49" i="5"/>
  <c r="DI48" i="5"/>
  <c r="DI36" i="5"/>
  <c r="AK42" i="5"/>
  <c r="DI34" i="5"/>
  <c r="AK38" i="5"/>
  <c r="EB42" i="5"/>
  <c r="EB47" i="5"/>
  <c r="EB37" i="5"/>
  <c r="EB43" i="5"/>
  <c r="EB38" i="5"/>
  <c r="EB40" i="5"/>
  <c r="EB49" i="5"/>
  <c r="EB48" i="5"/>
  <c r="CR36" i="5"/>
  <c r="EB41" i="5"/>
  <c r="EB44" i="5"/>
  <c r="EA45" i="5"/>
  <c r="EA44" i="5"/>
  <c r="W29" i="4"/>
  <c r="V29" i="4"/>
  <c r="EA49" i="5"/>
  <c r="EA38" i="5"/>
  <c r="EA35" i="5"/>
  <c r="EA43" i="5"/>
  <c r="EA36" i="5"/>
  <c r="EA42" i="5"/>
  <c r="AV18" i="4"/>
  <c r="EA46" i="5"/>
  <c r="EA39" i="5"/>
  <c r="AK35" i="5"/>
  <c r="AK40" i="5"/>
  <c r="EB45" i="5"/>
  <c r="EB35" i="5"/>
  <c r="EA47" i="5"/>
  <c r="EA40" i="5"/>
  <c r="EA37" i="5"/>
  <c r="AK44" i="5"/>
  <c r="BZ49" i="5"/>
  <c r="CR37" i="5"/>
  <c r="BZ46" i="5"/>
  <c r="CR39" i="5"/>
  <c r="AV29" i="4"/>
  <c r="BZ34" i="5"/>
  <c r="CR38" i="5"/>
  <c r="BZ40" i="5"/>
  <c r="CR41" i="5"/>
  <c r="BZ44" i="5"/>
  <c r="CR45" i="5"/>
  <c r="BZ35" i="5"/>
  <c r="BZ42" i="5"/>
  <c r="CR42" i="5"/>
  <c r="AT18" i="4"/>
  <c r="AT29" i="4"/>
  <c r="AT14" i="4"/>
  <c r="AV19" i="4"/>
  <c r="BZ39" i="5"/>
  <c r="CR46" i="5"/>
  <c r="CR43" i="5"/>
  <c r="BZ45" i="5"/>
  <c r="CR49" i="5"/>
  <c r="CR48" i="5"/>
  <c r="BZ37" i="5"/>
  <c r="BZ43" i="5"/>
  <c r="CR47" i="5"/>
  <c r="DJ41" i="5"/>
  <c r="BH39" i="5"/>
  <c r="BZ48" i="5"/>
  <c r="BZ47" i="5"/>
  <c r="CR40" i="5"/>
  <c r="CR35" i="5"/>
  <c r="EB46" i="5"/>
  <c r="EB34" i="5"/>
  <c r="DJ45" i="5"/>
  <c r="DJ42" i="5"/>
  <c r="BZ36" i="5"/>
  <c r="CR44" i="5"/>
  <c r="DJ46" i="5"/>
  <c r="EB36" i="5"/>
  <c r="BH43" i="5"/>
  <c r="BH37" i="5"/>
  <c r="DJ49" i="5"/>
  <c r="DJ40" i="5"/>
  <c r="DJ34" i="5"/>
  <c r="DJ39" i="5"/>
  <c r="DJ43" i="5"/>
  <c r="DJ44" i="5"/>
  <c r="DJ37" i="5"/>
  <c r="DJ35" i="5"/>
  <c r="BH42" i="5"/>
  <c r="DJ38" i="5"/>
  <c r="DJ48" i="5"/>
  <c r="BH49" i="5"/>
  <c r="AL38" i="5"/>
  <c r="Y29" i="4"/>
  <c r="BH47" i="5"/>
  <c r="AL49" i="5"/>
  <c r="AL37" i="5"/>
  <c r="AL39" i="5"/>
  <c r="BH34" i="5"/>
  <c r="AL44" i="5"/>
  <c r="Z29" i="4"/>
  <c r="BH35" i="5"/>
  <c r="BH44" i="5"/>
  <c r="AL43" i="5"/>
  <c r="BH40" i="5"/>
  <c r="BH46" i="5"/>
  <c r="BH41" i="5"/>
  <c r="BH36" i="5"/>
  <c r="BH48" i="5"/>
  <c r="BH38" i="5"/>
  <c r="AL45" i="5"/>
  <c r="AL36" i="5"/>
  <c r="AL48" i="5"/>
  <c r="AL46" i="5"/>
  <c r="AL34" i="5"/>
  <c r="AL41" i="5"/>
  <c r="AL40" i="5"/>
  <c r="AL42" i="5"/>
  <c r="DJ36" i="5"/>
  <c r="AL35" i="5"/>
  <c r="AM47" i="5"/>
  <c r="AS47" i="5" s="1"/>
  <c r="AN47" i="5"/>
  <c r="AT47" i="5" s="1"/>
  <c r="G35" i="9" l="1"/>
  <c r="F41" i="9"/>
  <c r="H68" i="7"/>
  <c r="G44" i="9"/>
  <c r="G42" i="9"/>
  <c r="G47" i="9"/>
  <c r="F38" i="9"/>
  <c r="F37" i="9"/>
  <c r="G43" i="9"/>
  <c r="F40" i="9"/>
  <c r="F45" i="9"/>
  <c r="F34" i="9"/>
  <c r="G33" i="9"/>
  <c r="T57" i="7"/>
  <c r="G39" i="9"/>
  <c r="F39" i="9"/>
  <c r="R57" i="7"/>
  <c r="AU16" i="4"/>
  <c r="AS29" i="4"/>
  <c r="AU29" i="4"/>
  <c r="X15" i="7"/>
  <c r="Y45" i="7"/>
  <c r="S15" i="7"/>
  <c r="N45" i="7"/>
  <c r="AM45" i="5"/>
  <c r="AS45" i="5" s="1"/>
  <c r="BK43" i="5"/>
  <c r="BI48" i="5"/>
  <c r="BK48" i="5" s="1"/>
  <c r="BI40" i="5"/>
  <c r="BK40" i="5" s="1"/>
  <c r="BI36" i="5"/>
  <c r="BK36" i="5" s="1"/>
  <c r="BK47" i="5"/>
  <c r="ED43" i="5"/>
  <c r="EF43" i="5" s="1"/>
  <c r="DK39" i="5"/>
  <c r="DM39" i="5" s="1"/>
  <c r="CS40" i="5"/>
  <c r="CU40" i="5" s="1"/>
  <c r="BJ46" i="5"/>
  <c r="BL46" i="5" s="1"/>
  <c r="DL38" i="5"/>
  <c r="DN38" i="5" s="1"/>
  <c r="DL40" i="5"/>
  <c r="DN40" i="5" s="1"/>
  <c r="DL45" i="5"/>
  <c r="DN45" i="5" s="1"/>
  <c r="CB48" i="5"/>
  <c r="CD48" i="5" s="1"/>
  <c r="CT45" i="5"/>
  <c r="CV45" i="5" s="1"/>
  <c r="CT39" i="5"/>
  <c r="CV39" i="5" s="1"/>
  <c r="ED45" i="5"/>
  <c r="EF45" i="5" s="1"/>
  <c r="EC42" i="5"/>
  <c r="EE42" i="5" s="1"/>
  <c r="EC44" i="5"/>
  <c r="EE44" i="5" s="1"/>
  <c r="ED37" i="5"/>
  <c r="EF37" i="5" s="1"/>
  <c r="DK44" i="5"/>
  <c r="DM44" i="5" s="1"/>
  <c r="CA43" i="5"/>
  <c r="CC43" i="5" s="1"/>
  <c r="CA41" i="5"/>
  <c r="CC41" i="5" s="1"/>
  <c r="DK47" i="5"/>
  <c r="DM47" i="5" s="1"/>
  <c r="BI41" i="5"/>
  <c r="BK41" i="5" s="1"/>
  <c r="BI49" i="5"/>
  <c r="BK49" i="5" s="1"/>
  <c r="CS41" i="5"/>
  <c r="CU41" i="5" s="1"/>
  <c r="CS37" i="5"/>
  <c r="CU37" i="5" s="1"/>
  <c r="DL48" i="5"/>
  <c r="DN48" i="5" s="1"/>
  <c r="CB37" i="5"/>
  <c r="CD37" i="5" s="1"/>
  <c r="DK34" i="5"/>
  <c r="DM34" i="5" s="1"/>
  <c r="CS45" i="5"/>
  <c r="CU45" i="5" s="1"/>
  <c r="AM34" i="5"/>
  <c r="AS34" i="5" s="1"/>
  <c r="BJ38" i="5"/>
  <c r="BL38" i="5" s="1"/>
  <c r="BJ40" i="5"/>
  <c r="BL40" i="5" s="1"/>
  <c r="BJ42" i="5"/>
  <c r="BL42" i="5" s="1"/>
  <c r="DL49" i="5"/>
  <c r="DN49" i="5" s="1"/>
  <c r="CT44" i="5"/>
  <c r="CV44" i="5" s="1"/>
  <c r="ED34" i="5"/>
  <c r="EF34" i="5" s="1"/>
  <c r="CT48" i="5"/>
  <c r="CV48" i="5" s="1"/>
  <c r="CB44" i="5"/>
  <c r="CD44" i="5" s="1"/>
  <c r="CB46" i="5"/>
  <c r="CD46" i="5" s="1"/>
  <c r="EC36" i="5"/>
  <c r="EE36" i="5" s="1"/>
  <c r="EC45" i="5"/>
  <c r="EE45" i="5" s="1"/>
  <c r="ED40" i="5"/>
  <c r="EF40" i="5" s="1"/>
  <c r="ED47" i="5"/>
  <c r="EF47" i="5" s="1"/>
  <c r="CA35" i="5"/>
  <c r="CC35" i="5" s="1"/>
  <c r="CA49" i="5"/>
  <c r="CC49" i="5" s="1"/>
  <c r="DK42" i="5"/>
  <c r="DM42" i="5" s="1"/>
  <c r="DK43" i="5"/>
  <c r="DM43" i="5" s="1"/>
  <c r="BI46" i="5"/>
  <c r="BK46" i="5" s="1"/>
  <c r="EC48" i="5"/>
  <c r="EE48" i="5" s="1"/>
  <c r="BI35" i="5"/>
  <c r="BK35" i="5" s="1"/>
  <c r="BI42" i="5"/>
  <c r="BK42" i="5" s="1"/>
  <c r="DL34" i="5"/>
  <c r="DN34" i="5" s="1"/>
  <c r="CB47" i="5"/>
  <c r="CD47" i="5" s="1"/>
  <c r="AM36" i="5"/>
  <c r="AS36" i="5" s="1"/>
  <c r="BJ48" i="5"/>
  <c r="BL48" i="5" s="1"/>
  <c r="BJ37" i="5"/>
  <c r="BL37" i="5" s="1"/>
  <c r="ED46" i="5"/>
  <c r="EF46" i="5" s="1"/>
  <c r="CT49" i="5"/>
  <c r="CV49" i="5" s="1"/>
  <c r="CT37" i="5"/>
  <c r="CV37" i="5" s="1"/>
  <c r="EC37" i="5"/>
  <c r="EE37" i="5" s="1"/>
  <c r="EC43" i="5"/>
  <c r="EE43" i="5" s="1"/>
  <c r="ED44" i="5"/>
  <c r="EF44" i="5" s="1"/>
  <c r="DK36" i="5"/>
  <c r="DM36" i="5" s="1"/>
  <c r="CA38" i="5"/>
  <c r="CC38" i="5" s="1"/>
  <c r="CA37" i="5"/>
  <c r="CC37" i="5" s="1"/>
  <c r="DK35" i="5"/>
  <c r="DM35" i="5" s="1"/>
  <c r="DK40" i="5"/>
  <c r="DM40" i="5" s="1"/>
  <c r="BI45" i="5"/>
  <c r="BK45" i="5" s="1"/>
  <c r="CB35" i="5"/>
  <c r="CD35" i="5" s="1"/>
  <c r="CA36" i="5"/>
  <c r="CC36" i="5" s="1"/>
  <c r="DL35" i="5"/>
  <c r="DN35" i="5" s="1"/>
  <c r="DL37" i="5"/>
  <c r="DN37" i="5" s="1"/>
  <c r="BJ39" i="5"/>
  <c r="BL39" i="5" s="1"/>
  <c r="CB45" i="5"/>
  <c r="CD45" i="5" s="1"/>
  <c r="CT41" i="5"/>
  <c r="CV41" i="5" s="1"/>
  <c r="CB49" i="5"/>
  <c r="CD49" i="5" s="1"/>
  <c r="EC40" i="5"/>
  <c r="EE40" i="5" s="1"/>
  <c r="EC39" i="5"/>
  <c r="EE39" i="5" s="1"/>
  <c r="EC35" i="5"/>
  <c r="EE35" i="5" s="1"/>
  <c r="ED41" i="5"/>
  <c r="EF41" i="5" s="1"/>
  <c r="ED42" i="5"/>
  <c r="EF42" i="5" s="1"/>
  <c r="DK48" i="5"/>
  <c r="DM48" i="5" s="1"/>
  <c r="CB38" i="5"/>
  <c r="CD38" i="5" s="1"/>
  <c r="CA45" i="5"/>
  <c r="CC45" i="5" s="1"/>
  <c r="CA47" i="5"/>
  <c r="CC47" i="5" s="1"/>
  <c r="DK37" i="5"/>
  <c r="DM37" i="5" s="1"/>
  <c r="DK41" i="5"/>
  <c r="DM41" i="5" s="1"/>
  <c r="BI34" i="5"/>
  <c r="BK34" i="5" s="1"/>
  <c r="CS44" i="5"/>
  <c r="CU44" i="5" s="1"/>
  <c r="CS42" i="5"/>
  <c r="CU42" i="5" s="1"/>
  <c r="BJ34" i="5"/>
  <c r="BL34" i="5" s="1"/>
  <c r="DL46" i="5"/>
  <c r="DN46" i="5" s="1"/>
  <c r="BI37" i="5"/>
  <c r="BK37" i="5" s="1"/>
  <c r="BJ47" i="5"/>
  <c r="BL47" i="5" s="1"/>
  <c r="BJ35" i="5"/>
  <c r="BL35" i="5" s="1"/>
  <c r="DL44" i="5"/>
  <c r="DN44" i="5" s="1"/>
  <c r="DL41" i="5"/>
  <c r="DN41" i="5" s="1"/>
  <c r="CT43" i="5"/>
  <c r="CV43" i="5" s="1"/>
  <c r="CT42" i="5"/>
  <c r="CV42" i="5" s="1"/>
  <c r="CB40" i="5"/>
  <c r="CD40" i="5" s="1"/>
  <c r="EC47" i="5"/>
  <c r="EE47" i="5" s="1"/>
  <c r="EC46" i="5"/>
  <c r="EE46" i="5" s="1"/>
  <c r="EC38" i="5"/>
  <c r="EE38" i="5" s="1"/>
  <c r="CT36" i="5"/>
  <c r="CV36" i="5" s="1"/>
  <c r="CA46" i="5"/>
  <c r="CC46" i="5" s="1"/>
  <c r="CA34" i="5"/>
  <c r="CC34" i="5" s="1"/>
  <c r="DK46" i="5"/>
  <c r="DM46" i="5" s="1"/>
  <c r="BI38" i="5"/>
  <c r="BK38" i="5" s="1"/>
  <c r="BI39" i="5"/>
  <c r="BK39" i="5" s="1"/>
  <c r="CS46" i="5"/>
  <c r="CU46" i="5" s="1"/>
  <c r="DL36" i="5"/>
  <c r="DN36" i="5" s="1"/>
  <c r="ED49" i="5"/>
  <c r="EF49" i="5" s="1"/>
  <c r="CB36" i="5"/>
  <c r="CD36" i="5" s="1"/>
  <c r="BJ44" i="5"/>
  <c r="BL44" i="5" s="1"/>
  <c r="BJ36" i="5"/>
  <c r="BL36" i="5" s="1"/>
  <c r="DL43" i="5"/>
  <c r="DN43" i="5" s="1"/>
  <c r="BJ43" i="5"/>
  <c r="BL43" i="5" s="1"/>
  <c r="CT35" i="5"/>
  <c r="CV35" i="5" s="1"/>
  <c r="CT47" i="5"/>
  <c r="CV47" i="5" s="1"/>
  <c r="CT46" i="5"/>
  <c r="CV46" i="5" s="1"/>
  <c r="CB42" i="5"/>
  <c r="CD42" i="5" s="1"/>
  <c r="CT38" i="5"/>
  <c r="CV38" i="5" s="1"/>
  <c r="ED35" i="5"/>
  <c r="EF35" i="5" s="1"/>
  <c r="EC49" i="5"/>
  <c r="EE49" i="5" s="1"/>
  <c r="ED48" i="5"/>
  <c r="EF48" i="5" s="1"/>
  <c r="ED38" i="5"/>
  <c r="EF38" i="5" s="1"/>
  <c r="CA40" i="5"/>
  <c r="CC40" i="5" s="1"/>
  <c r="EC41" i="5"/>
  <c r="EE41" i="5" s="1"/>
  <c r="CA48" i="5"/>
  <c r="CC48" i="5" s="1"/>
  <c r="BJ41" i="5"/>
  <c r="BL41" i="5" s="1"/>
  <c r="BJ49" i="5"/>
  <c r="BL49" i="5" s="1"/>
  <c r="DL39" i="5"/>
  <c r="DN39" i="5" s="1"/>
  <c r="ED36" i="5"/>
  <c r="EF36" i="5" s="1"/>
  <c r="DL42" i="5"/>
  <c r="DN42" i="5" s="1"/>
  <c r="CT40" i="5"/>
  <c r="CV40" i="5" s="1"/>
  <c r="CB43" i="5"/>
  <c r="CD43" i="5" s="1"/>
  <c r="CB39" i="5"/>
  <c r="CD39" i="5" s="1"/>
  <c r="CB34" i="5"/>
  <c r="CD34" i="5" s="1"/>
  <c r="CA39" i="5"/>
  <c r="CC39" i="5" s="1"/>
  <c r="CA42" i="5"/>
  <c r="CC42" i="5" s="1"/>
  <c r="DK49" i="5"/>
  <c r="DM49" i="5" s="1"/>
  <c r="DK45" i="5"/>
  <c r="DM45" i="5" s="1"/>
  <c r="AG46" i="4"/>
  <c r="AN48" i="5"/>
  <c r="AT48" i="5" s="1"/>
  <c r="AN44" i="5"/>
  <c r="AT44" i="5" s="1"/>
  <c r="AN46" i="5"/>
  <c r="AT46" i="5" s="1"/>
  <c r="AN40" i="5"/>
  <c r="AT40" i="5" s="1"/>
  <c r="AN45" i="5"/>
  <c r="AT45" i="5" s="1"/>
  <c r="AN39" i="5"/>
  <c r="AT39" i="5" s="1"/>
  <c r="AN35" i="5"/>
  <c r="AT35" i="5" s="1"/>
  <c r="AN36" i="5"/>
  <c r="AT36" i="5" s="1"/>
  <c r="AN49" i="5"/>
  <c r="AT49" i="5" s="1"/>
  <c r="AN38" i="5"/>
  <c r="AT38" i="5" s="1"/>
  <c r="AN42" i="5"/>
  <c r="AT42" i="5" s="1"/>
  <c r="AM38" i="5"/>
  <c r="AS38" i="5" s="1"/>
  <c r="AM37" i="5"/>
  <c r="AS37" i="5" s="1"/>
  <c r="AN37" i="5"/>
  <c r="AT37" i="5" s="1"/>
  <c r="AN34" i="5"/>
  <c r="AT34" i="5" s="1"/>
  <c r="AG42" i="4"/>
  <c r="AM42" i="5"/>
  <c r="AS42" i="5" s="1"/>
  <c r="AG44" i="4"/>
  <c r="AM40" i="5"/>
  <c r="AS40" i="5" s="1"/>
  <c r="AF44" i="4"/>
  <c r="J59" i="7" s="1"/>
  <c r="AF42" i="4"/>
  <c r="J57" i="7" s="1"/>
  <c r="AG49" i="4"/>
  <c r="AF49" i="4"/>
  <c r="J64" i="7" s="1"/>
  <c r="AM49" i="5"/>
  <c r="AS49" i="5" s="1"/>
  <c r="AG35" i="4"/>
  <c r="AF35" i="4"/>
  <c r="J50" i="7" s="1"/>
  <c r="AM39" i="5"/>
  <c r="AS39" i="5" s="1"/>
  <c r="AM46" i="5"/>
  <c r="AS46" i="5" s="1"/>
  <c r="AM43" i="5"/>
  <c r="AS43" i="5" s="1"/>
  <c r="AM41" i="5"/>
  <c r="AS41" i="5" s="1"/>
  <c r="AM48" i="5"/>
  <c r="AS48" i="5" s="1"/>
  <c r="AG39" i="4"/>
  <c r="AG50" i="4"/>
  <c r="AF50" i="4"/>
  <c r="J65" i="7" s="1"/>
  <c r="AF37" i="4"/>
  <c r="J52" i="7" s="1"/>
  <c r="AM44" i="5"/>
  <c r="AS44" i="5" s="1"/>
  <c r="AM35" i="5"/>
  <c r="AS35" i="5" s="1"/>
  <c r="AG43" i="4"/>
  <c r="AF43" i="4"/>
  <c r="J58" i="7" s="1"/>
  <c r="AF40" i="4"/>
  <c r="J55" i="7" s="1"/>
  <c r="AG36" i="4"/>
  <c r="AG48" i="4"/>
  <c r="AG40" i="4"/>
  <c r="AF36" i="4"/>
  <c r="J51" i="7" s="1"/>
  <c r="AF41" i="4"/>
  <c r="J56" i="7" s="1"/>
  <c r="AG47" i="4"/>
  <c r="AF47" i="4"/>
  <c r="J62" i="7" s="1"/>
  <c r="AF39" i="4"/>
  <c r="J54" i="7" s="1"/>
  <c r="AG37" i="4"/>
  <c r="AG45" i="4"/>
  <c r="AF48" i="4"/>
  <c r="J63" i="7" s="1"/>
  <c r="AF46" i="4"/>
  <c r="J61" i="7" s="1"/>
  <c r="AF45" i="4"/>
  <c r="J60" i="7" s="1"/>
  <c r="AG41" i="4"/>
  <c r="AG38" i="4"/>
  <c r="AF38" i="4"/>
  <c r="J53" i="7" s="1"/>
  <c r="AI46" i="4"/>
  <c r="AI40" i="4"/>
  <c r="AH40" i="4"/>
  <c r="U55" i="7" s="1"/>
  <c r="AI41" i="4"/>
  <c r="AH42" i="4"/>
  <c r="U57" i="7" s="1"/>
  <c r="AH38" i="4"/>
  <c r="U53" i="7" s="1"/>
  <c r="AI38" i="4"/>
  <c r="AH48" i="4"/>
  <c r="U63" i="7" s="1"/>
  <c r="AH46" i="4"/>
  <c r="U61" i="7" s="1"/>
  <c r="AH39" i="4"/>
  <c r="U54" i="7" s="1"/>
  <c r="AI48" i="4"/>
  <c r="AI44" i="4"/>
  <c r="AH50" i="4"/>
  <c r="U65" i="7" s="1"/>
  <c r="AI50" i="4"/>
  <c r="AH36" i="4"/>
  <c r="U51" i="7" s="1"/>
  <c r="AI39" i="4"/>
  <c r="AN43" i="5"/>
  <c r="AT43" i="5" s="1"/>
  <c r="AI45" i="4"/>
  <c r="AH45" i="4"/>
  <c r="U60" i="7" s="1"/>
  <c r="AI42" i="4"/>
  <c r="AH49" i="4"/>
  <c r="U64" i="7" s="1"/>
  <c r="AN41" i="5"/>
  <c r="AT41" i="5" s="1"/>
  <c r="AH37" i="4"/>
  <c r="U52" i="7" s="1"/>
  <c r="AI49" i="4"/>
  <c r="AH41" i="4"/>
  <c r="U56" i="7" s="1"/>
  <c r="AH44" i="4"/>
  <c r="U59" i="7" s="1"/>
  <c r="AI47" i="4"/>
  <c r="AH47" i="4"/>
  <c r="U62" i="7" s="1"/>
  <c r="AI35" i="4"/>
  <c r="AH35" i="4"/>
  <c r="AI36" i="4"/>
  <c r="AI43" i="4"/>
  <c r="AH43" i="4"/>
  <c r="U58" i="7" s="1"/>
  <c r="AI37" i="4"/>
  <c r="J68" i="7" l="1"/>
  <c r="J69" i="7" s="1"/>
  <c r="U50" i="7"/>
  <c r="U68" i="7" s="1"/>
  <c r="U69" i="7" s="1"/>
  <c r="EF51" i="5"/>
  <c r="AM38" i="4"/>
  <c r="AO48" i="4"/>
  <c r="AP45" i="4"/>
  <c r="AP43" i="4"/>
  <c r="AO44" i="4"/>
  <c r="AK37" i="4"/>
  <c r="AP48" i="4"/>
  <c r="AJ48" i="4"/>
  <c r="L63" i="7" s="1"/>
  <c r="AO38" i="4"/>
  <c r="AN38" i="4"/>
  <c r="H6" i="9" s="1"/>
  <c r="AO39" i="4"/>
  <c r="AN39" i="4"/>
  <c r="H7" i="9" s="1"/>
  <c r="AO40" i="4"/>
  <c r="AN40" i="4"/>
  <c r="H8" i="9" s="1"/>
  <c r="AO41" i="4"/>
  <c r="AN41" i="4"/>
  <c r="H9" i="9" s="1"/>
  <c r="AN45" i="4"/>
  <c r="H13" i="9" s="1"/>
  <c r="AO45" i="4"/>
  <c r="AO47" i="4"/>
  <c r="AN47" i="4"/>
  <c r="H15" i="9" s="1"/>
  <c r="AO43" i="4"/>
  <c r="AN43" i="4"/>
  <c r="H11" i="9" s="1"/>
  <c r="AN49" i="4"/>
  <c r="H17" i="9" s="1"/>
  <c r="AO49" i="4"/>
  <c r="AO50" i="4"/>
  <c r="AN50" i="4"/>
  <c r="H18" i="9" s="1"/>
  <c r="AQ48" i="4"/>
  <c r="I45" i="9" s="1"/>
  <c r="AN36" i="4"/>
  <c r="H4" i="9" s="1"/>
  <c r="AO36" i="4"/>
  <c r="AO42" i="4"/>
  <c r="AN42" i="4"/>
  <c r="H10" i="9" s="1"/>
  <c r="AN48" i="4"/>
  <c r="H16" i="9" s="1"/>
  <c r="AJ39" i="4"/>
  <c r="L54" i="7" s="1"/>
  <c r="AQ36" i="4"/>
  <c r="I33" i="9" s="1"/>
  <c r="AP36" i="4"/>
  <c r="CC51" i="5"/>
  <c r="AQ46" i="4"/>
  <c r="I43" i="9" s="1"/>
  <c r="AP46" i="4"/>
  <c r="AQ41" i="4"/>
  <c r="I38" i="9" s="1"/>
  <c r="AP41" i="4"/>
  <c r="AP44" i="4"/>
  <c r="AQ44" i="4"/>
  <c r="I41" i="9" s="1"/>
  <c r="AQ42" i="4"/>
  <c r="I39" i="9" s="1"/>
  <c r="AP42" i="4"/>
  <c r="AQ43" i="4"/>
  <c r="I40" i="9" s="1"/>
  <c r="AP40" i="4"/>
  <c r="AQ40" i="4"/>
  <c r="I37" i="9" s="1"/>
  <c r="AQ39" i="4"/>
  <c r="I36" i="9" s="1"/>
  <c r="AP39" i="4"/>
  <c r="AQ45" i="4"/>
  <c r="I42" i="9" s="1"/>
  <c r="AN44" i="4"/>
  <c r="H12" i="9" s="1"/>
  <c r="AP50" i="4"/>
  <c r="AQ50" i="4"/>
  <c r="I47" i="9" s="1"/>
  <c r="AQ49" i="4"/>
  <c r="I46" i="9" s="1"/>
  <c r="AP49" i="4"/>
  <c r="AO46" i="4"/>
  <c r="AN46" i="4"/>
  <c r="H14" i="9" s="1"/>
  <c r="AL37" i="4"/>
  <c r="W52" i="7" s="1"/>
  <c r="AJ35" i="4"/>
  <c r="L50" i="7" s="1"/>
  <c r="AK35" i="4"/>
  <c r="AL45" i="4"/>
  <c r="W60" i="7" s="1"/>
  <c r="ED28" i="5"/>
  <c r="AK36" i="4"/>
  <c r="AQ35" i="4"/>
  <c r="I32" i="9" s="1"/>
  <c r="AP35" i="4"/>
  <c r="AN35" i="4"/>
  <c r="H3" i="9" s="1"/>
  <c r="AO35" i="4"/>
  <c r="AK39" i="4"/>
  <c r="AK48" i="4"/>
  <c r="AM47" i="4"/>
  <c r="DK28" i="5"/>
  <c r="CT28" i="5"/>
  <c r="AK42" i="4"/>
  <c r="CD51" i="5"/>
  <c r="AM37" i="4"/>
  <c r="BI28" i="5"/>
  <c r="EE51" i="5"/>
  <c r="CV51" i="5"/>
  <c r="CU51" i="5"/>
  <c r="BL51" i="5"/>
  <c r="DM51" i="5"/>
  <c r="AK50" i="4"/>
  <c r="AL50" i="4"/>
  <c r="W65" i="7" s="1"/>
  <c r="DN51" i="5"/>
  <c r="CA28" i="5"/>
  <c r="AL38" i="4"/>
  <c r="W53" i="7" s="1"/>
  <c r="AK43" i="4"/>
  <c r="AJ37" i="4"/>
  <c r="L52" i="7" s="1"/>
  <c r="AK46" i="4"/>
  <c r="BK51" i="5"/>
  <c r="BJ28" i="5"/>
  <c r="AM45" i="4"/>
  <c r="AL47" i="4"/>
  <c r="W62" i="7" s="1"/>
  <c r="AL40" i="4"/>
  <c r="W55" i="7" s="1"/>
  <c r="DL28" i="5"/>
  <c r="CB28" i="5"/>
  <c r="AL48" i="4"/>
  <c r="W63" i="7" s="1"/>
  <c r="EC28" i="5"/>
  <c r="AJ46" i="4"/>
  <c r="L61" i="7" s="1"/>
  <c r="AM48" i="4"/>
  <c r="AL43" i="4"/>
  <c r="W58" i="7" s="1"/>
  <c r="AM41" i="4"/>
  <c r="CS28" i="5"/>
  <c r="AM39" i="4"/>
  <c r="AL39" i="4"/>
  <c r="W54" i="7" s="1"/>
  <c r="AM49" i="4"/>
  <c r="AL49" i="4"/>
  <c r="W64" i="7" s="1"/>
  <c r="AM40" i="4"/>
  <c r="AM36" i="4"/>
  <c r="AJ41" i="4"/>
  <c r="L56" i="7" s="1"/>
  <c r="AM43" i="4"/>
  <c r="AJ49" i="4"/>
  <c r="L64" i="7" s="1"/>
  <c r="AL35" i="4"/>
  <c r="W50" i="7" s="1"/>
  <c r="AM35" i="4"/>
  <c r="AL41" i="4"/>
  <c r="W56" i="7" s="1"/>
  <c r="AJ42" i="4"/>
  <c r="L57" i="7" s="1"/>
  <c r="AJ36" i="4"/>
  <c r="L51" i="7" s="1"/>
  <c r="AJ38" i="4"/>
  <c r="L53" i="7" s="1"/>
  <c r="AM46" i="4"/>
  <c r="AK38" i="4"/>
  <c r="AJ50" i="4"/>
  <c r="L65" i="7" s="1"/>
  <c r="AJ43" i="4"/>
  <c r="L58" i="7" s="1"/>
  <c r="AL46" i="4"/>
  <c r="W61" i="7" s="1"/>
  <c r="AL36" i="4"/>
  <c r="W51" i="7" s="1"/>
  <c r="AM50" i="4"/>
  <c r="AJ47" i="4"/>
  <c r="L62" i="7" s="1"/>
  <c r="AJ45" i="4"/>
  <c r="L60" i="7" s="1"/>
  <c r="AK41" i="4"/>
  <c r="AJ40" i="4"/>
  <c r="L55" i="7" s="1"/>
  <c r="AK40" i="4"/>
  <c r="AK47" i="4"/>
  <c r="AK44" i="4"/>
  <c r="AM28" i="5"/>
  <c r="AK49" i="4"/>
  <c r="AJ44" i="4"/>
  <c r="L59" i="7" s="1"/>
  <c r="AK45" i="4"/>
  <c r="AF51" i="4"/>
  <c r="AF29" i="4" s="1"/>
  <c r="S12" i="7" s="1"/>
  <c r="AM44" i="4"/>
  <c r="AL44" i="4"/>
  <c r="W59" i="7" s="1"/>
  <c r="AM42" i="4"/>
  <c r="AL42" i="4"/>
  <c r="W57" i="7" s="1"/>
  <c r="AN28" i="5"/>
  <c r="AH51" i="4"/>
  <c r="AH29" i="4" s="1"/>
  <c r="X12" i="7" s="1"/>
  <c r="Y65" i="7" l="1"/>
  <c r="H47" i="9"/>
  <c r="Y57" i="7"/>
  <c r="H39" i="9"/>
  <c r="Y58" i="7"/>
  <c r="H40" i="9"/>
  <c r="Y51" i="7"/>
  <c r="H33" i="9"/>
  <c r="Y60" i="7"/>
  <c r="H42" i="9"/>
  <c r="Y50" i="7"/>
  <c r="H32" i="9"/>
  <c r="Y54" i="7"/>
  <c r="H36" i="9"/>
  <c r="Y59" i="7"/>
  <c r="H41" i="9"/>
  <c r="Y56" i="7"/>
  <c r="H38" i="9"/>
  <c r="Y64" i="7"/>
  <c r="H46" i="9"/>
  <c r="Y63" i="7"/>
  <c r="H45" i="9"/>
  <c r="Y55" i="7"/>
  <c r="H37" i="9"/>
  <c r="Y61" i="7"/>
  <c r="H43" i="9"/>
  <c r="I4" i="9"/>
  <c r="I11" i="9"/>
  <c r="I8" i="9"/>
  <c r="I12" i="9"/>
  <c r="I3" i="9"/>
  <c r="I15" i="9"/>
  <c r="I7" i="9"/>
  <c r="I13" i="9"/>
  <c r="I16" i="9"/>
  <c r="I18" i="9"/>
  <c r="I6" i="9"/>
  <c r="I14" i="9"/>
  <c r="I17" i="9"/>
  <c r="I9" i="9"/>
  <c r="I10" i="9"/>
  <c r="N51" i="7"/>
  <c r="N62" i="7"/>
  <c r="N54" i="7"/>
  <c r="N59" i="7"/>
  <c r="N50" i="7"/>
  <c r="N65" i="7"/>
  <c r="N53" i="7"/>
  <c r="N61" i="7"/>
  <c r="N60" i="7"/>
  <c r="N63" i="7"/>
  <c r="N56" i="7"/>
  <c r="N57" i="7"/>
  <c r="N64" i="7"/>
  <c r="N58" i="7"/>
  <c r="N55" i="7"/>
  <c r="S9" i="7"/>
  <c r="AH30" i="4"/>
  <c r="X9" i="7"/>
  <c r="AQ37" i="4"/>
  <c r="I34" i="9" s="1"/>
  <c r="AF30" i="4"/>
  <c r="AP37" i="4"/>
  <c r="AP38" i="4"/>
  <c r="AQ38" i="4"/>
  <c r="I35" i="9" s="1"/>
  <c r="AO37" i="4"/>
  <c r="AQ47" i="4"/>
  <c r="I44" i="9" s="1"/>
  <c r="AP47" i="4"/>
  <c r="AN37" i="4"/>
  <c r="H5" i="9" s="1"/>
  <c r="AT51" i="5"/>
  <c r="AS51" i="5"/>
  <c r="AJ51" i="4"/>
  <c r="AL51" i="4"/>
  <c r="Y52" i="7" l="1"/>
  <c r="H34" i="9"/>
  <c r="Y62" i="7"/>
  <c r="H44" i="9"/>
  <c r="Y53" i="7"/>
  <c r="H35" i="9"/>
  <c r="I5" i="9"/>
  <c r="N52" i="7"/>
  <c r="AP51" i="4"/>
  <c r="X18" i="7" s="1"/>
  <c r="AN51" i="4"/>
  <c r="S18" i="7" s="1"/>
  <c r="F25" i="4"/>
  <c r="F9" i="4" l="1"/>
  <c r="X7" i="5" l="1"/>
  <c r="DA7" i="5" s="1"/>
  <c r="AC7" i="5" l="1"/>
  <c r="S68" i="7" s="1"/>
  <c r="DS7" i="5"/>
  <c r="DS2" i="5" s="1"/>
  <c r="AY7" i="5"/>
  <c r="AY2" i="5" s="1"/>
  <c r="CI7" i="5"/>
  <c r="CM7" i="5" s="1"/>
  <c r="X2" i="5"/>
  <c r="BQ7" i="5"/>
  <c r="BQ2" i="5" s="1"/>
  <c r="DA2" i="5"/>
  <c r="DD7" i="5"/>
  <c r="DN26" i="5" s="1"/>
  <c r="DN55" i="5" s="1"/>
  <c r="DE7" i="5"/>
  <c r="DH7" i="5"/>
  <c r="DH1" i="5" s="1"/>
  <c r="DZ7" i="5" l="1"/>
  <c r="DZ1" i="5" s="1"/>
  <c r="EB11" i="5" s="1"/>
  <c r="DV7" i="5"/>
  <c r="EF26" i="5" s="1"/>
  <c r="EF55" i="5" s="1"/>
  <c r="AJ7" i="5"/>
  <c r="AJ1" i="5" s="1"/>
  <c r="AL9" i="5" s="1"/>
  <c r="DW7" i="5"/>
  <c r="BB7" i="5"/>
  <c r="BL26" i="5" s="1"/>
  <c r="BL55" i="5" s="1"/>
  <c r="AF7" i="5"/>
  <c r="AT26" i="5" s="1"/>
  <c r="AT55" i="5" s="1"/>
  <c r="BT7" i="5"/>
  <c r="CD26" i="5" s="1"/>
  <c r="CD55" i="5" s="1"/>
  <c r="BF7" i="5"/>
  <c r="BF1" i="5" s="1"/>
  <c r="BH22" i="5" s="1"/>
  <c r="BC7" i="5"/>
  <c r="AG7" i="5"/>
  <c r="AC2" i="5"/>
  <c r="AC1" i="5" s="1"/>
  <c r="BU7" i="5"/>
  <c r="CL7" i="5"/>
  <c r="CV26" i="5" s="1"/>
  <c r="CV55" i="5" s="1"/>
  <c r="CP7" i="5"/>
  <c r="CP1" i="5" s="1"/>
  <c r="CR14" i="5" s="1"/>
  <c r="BX7" i="5"/>
  <c r="BX1" i="5" s="1"/>
  <c r="BZ12" i="5" s="1"/>
  <c r="CI2" i="5"/>
  <c r="DJ12" i="5"/>
  <c r="DJ13" i="5"/>
  <c r="DJ19" i="5"/>
  <c r="DJ9" i="5"/>
  <c r="DJ11" i="5"/>
  <c r="DJ18" i="5"/>
  <c r="DJ21" i="5"/>
  <c r="DJ16" i="5"/>
  <c r="DJ22" i="5"/>
  <c r="DJ15" i="5"/>
  <c r="DJ8" i="5"/>
  <c r="DJ7" i="5"/>
  <c r="DJ14" i="5"/>
  <c r="DJ17" i="5"/>
  <c r="DJ10" i="5"/>
  <c r="DJ20" i="5"/>
  <c r="EB15" i="5" l="1"/>
  <c r="ED15" i="5" s="1"/>
  <c r="EF15" i="5" s="1"/>
  <c r="EB20" i="5"/>
  <c r="ED20" i="5" s="1"/>
  <c r="EF20" i="5" s="1"/>
  <c r="BZ18" i="5"/>
  <c r="CB18" i="5" s="1"/>
  <c r="CD18" i="5" s="1"/>
  <c r="BZ11" i="5"/>
  <c r="CB11" i="5" s="1"/>
  <c r="CD11" i="5" s="1"/>
  <c r="BH9" i="5"/>
  <c r="BJ9" i="5" s="1"/>
  <c r="BL9" i="5" s="1"/>
  <c r="EB18" i="5"/>
  <c r="ED18" i="5" s="1"/>
  <c r="EF18" i="5" s="1"/>
  <c r="BH11" i="5"/>
  <c r="BJ11" i="5" s="1"/>
  <c r="BL11" i="5" s="1"/>
  <c r="EB16" i="5"/>
  <c r="ED16" i="5" s="1"/>
  <c r="EF16" i="5" s="1"/>
  <c r="BZ9" i="5"/>
  <c r="CB9" i="5" s="1"/>
  <c r="CD9" i="5" s="1"/>
  <c r="BH17" i="5"/>
  <c r="BJ17" i="5" s="1"/>
  <c r="BL17" i="5" s="1"/>
  <c r="EB9" i="5"/>
  <c r="ED9" i="5" s="1"/>
  <c r="EF9" i="5" s="1"/>
  <c r="EB10" i="5"/>
  <c r="ED10" i="5" s="1"/>
  <c r="EF10" i="5" s="1"/>
  <c r="BZ7" i="5"/>
  <c r="CB7" i="5" s="1"/>
  <c r="CD7" i="5" s="1"/>
  <c r="EB22" i="5"/>
  <c r="ED22" i="5" s="1"/>
  <c r="EF22" i="5" s="1"/>
  <c r="EB13" i="5"/>
  <c r="ED13" i="5" s="1"/>
  <c r="EF13" i="5" s="1"/>
  <c r="BZ13" i="5"/>
  <c r="CB13" i="5" s="1"/>
  <c r="CD13" i="5" s="1"/>
  <c r="BH14" i="5"/>
  <c r="BJ14" i="5" s="1"/>
  <c r="BL14" i="5" s="1"/>
  <c r="BH15" i="5"/>
  <c r="BJ15" i="5" s="1"/>
  <c r="BL15" i="5" s="1"/>
  <c r="EB12" i="5"/>
  <c r="ED12" i="5" s="1"/>
  <c r="EF12" i="5" s="1"/>
  <c r="EB17" i="5"/>
  <c r="ED17" i="5" s="1"/>
  <c r="EF17" i="5" s="1"/>
  <c r="BZ19" i="5"/>
  <c r="CB19" i="5" s="1"/>
  <c r="CD19" i="5" s="1"/>
  <c r="BH12" i="5"/>
  <c r="BJ12" i="5" s="1"/>
  <c r="BL12" i="5" s="1"/>
  <c r="BH8" i="5"/>
  <c r="BJ8" i="5" s="1"/>
  <c r="BL8" i="5" s="1"/>
  <c r="EB8" i="5"/>
  <c r="ED8" i="5" s="1"/>
  <c r="EF8" i="5" s="1"/>
  <c r="EB19" i="5"/>
  <c r="ED19" i="5" s="1"/>
  <c r="EF19" i="5" s="1"/>
  <c r="BZ17" i="5"/>
  <c r="CB17" i="5" s="1"/>
  <c r="CD17" i="5" s="1"/>
  <c r="BH20" i="5"/>
  <c r="BJ20" i="5" s="1"/>
  <c r="BL20" i="5" s="1"/>
  <c r="EB21" i="5"/>
  <c r="ED21" i="5" s="1"/>
  <c r="EF21" i="5" s="1"/>
  <c r="EB14" i="5"/>
  <c r="ED14" i="5" s="1"/>
  <c r="EF14" i="5" s="1"/>
  <c r="BH16" i="5"/>
  <c r="BJ16" i="5" s="1"/>
  <c r="BL16" i="5" s="1"/>
  <c r="EB7" i="5"/>
  <c r="ED7" i="5" s="1"/>
  <c r="EF7" i="5" s="1"/>
  <c r="BZ22" i="5"/>
  <c r="CB22" i="5" s="1"/>
  <c r="CD22" i="5" s="1"/>
  <c r="BH19" i="5"/>
  <c r="BJ19" i="5" s="1"/>
  <c r="BL19" i="5" s="1"/>
  <c r="CR21" i="5"/>
  <c r="CT21" i="5" s="1"/>
  <c r="CV21" i="5" s="1"/>
  <c r="AL7" i="5"/>
  <c r="AL8" i="5"/>
  <c r="AN8" i="5" s="1"/>
  <c r="AT8" i="5" s="1"/>
  <c r="AL22" i="5"/>
  <c r="AN22" i="5" s="1"/>
  <c r="AT22" i="5" s="1"/>
  <c r="AL13" i="5"/>
  <c r="AN13" i="5" s="1"/>
  <c r="AT13" i="5" s="1"/>
  <c r="AL20" i="5"/>
  <c r="AN20" i="5" s="1"/>
  <c r="AT20" i="5" s="1"/>
  <c r="AL15" i="5"/>
  <c r="AN15" i="5" s="1"/>
  <c r="AT15" i="5" s="1"/>
  <c r="AL19" i="5"/>
  <c r="AN19" i="5" s="1"/>
  <c r="AT19" i="5" s="1"/>
  <c r="BZ15" i="5"/>
  <c r="BH10" i="5"/>
  <c r="BJ10" i="5" s="1"/>
  <c r="BL10" i="5" s="1"/>
  <c r="BH21" i="5"/>
  <c r="BJ21" i="5" s="1"/>
  <c r="BL21" i="5" s="1"/>
  <c r="AL10" i="5"/>
  <c r="AL11" i="5"/>
  <c r="BZ8" i="5"/>
  <c r="CB8" i="5" s="1"/>
  <c r="CD8" i="5" s="1"/>
  <c r="BZ20" i="5"/>
  <c r="CB20" i="5" s="1"/>
  <c r="CD20" i="5" s="1"/>
  <c r="BH7" i="5"/>
  <c r="BJ7" i="5" s="1"/>
  <c r="BL7" i="5" s="1"/>
  <c r="BH13" i="5"/>
  <c r="BJ13" i="5" s="1"/>
  <c r="BL13" i="5" s="1"/>
  <c r="AL18" i="5"/>
  <c r="AN18" i="5" s="1"/>
  <c r="AT18" i="5" s="1"/>
  <c r="BZ14" i="5"/>
  <c r="CB14" i="5" s="1"/>
  <c r="CD14" i="5" s="1"/>
  <c r="BH18" i="5"/>
  <c r="BJ18" i="5" s="1"/>
  <c r="BL18" i="5" s="1"/>
  <c r="AL17" i="5"/>
  <c r="AN17" i="5" s="1"/>
  <c r="AT17" i="5" s="1"/>
  <c r="AL21" i="5"/>
  <c r="AN21" i="5" s="1"/>
  <c r="AT21" i="5" s="1"/>
  <c r="Z9" i="4"/>
  <c r="Z25" i="4" s="1"/>
  <c r="BZ16" i="5"/>
  <c r="CB16" i="5" s="1"/>
  <c r="CD16" i="5" s="1"/>
  <c r="BZ21" i="5"/>
  <c r="AL14" i="5"/>
  <c r="AL16" i="5"/>
  <c r="AN16" i="5" s="1"/>
  <c r="AT16" i="5" s="1"/>
  <c r="AE9" i="4"/>
  <c r="BZ10" i="5"/>
  <c r="CB10" i="5" s="1"/>
  <c r="CD10" i="5" s="1"/>
  <c r="AL12" i="5"/>
  <c r="Y9" i="4"/>
  <c r="Y3" i="4"/>
  <c r="Y46" i="7" s="1"/>
  <c r="Z3" i="4"/>
  <c r="CR19" i="5"/>
  <c r="CT19" i="5" s="1"/>
  <c r="CV19" i="5" s="1"/>
  <c r="CR22" i="5"/>
  <c r="CT22" i="5" s="1"/>
  <c r="CV22" i="5" s="1"/>
  <c r="AD9" i="4"/>
  <c r="T50" i="7" s="1"/>
  <c r="CR12" i="5"/>
  <c r="CT12" i="5" s="1"/>
  <c r="CV12" i="5" s="1"/>
  <c r="CR18" i="5"/>
  <c r="CR9" i="5"/>
  <c r="CR10" i="5"/>
  <c r="CT10" i="5" s="1"/>
  <c r="CV10" i="5" s="1"/>
  <c r="CR15" i="5"/>
  <c r="CT15" i="5" s="1"/>
  <c r="CV15" i="5" s="1"/>
  <c r="CR16" i="5"/>
  <c r="CT16" i="5" s="1"/>
  <c r="CV16" i="5" s="1"/>
  <c r="CR17" i="5"/>
  <c r="CT17" i="5" s="1"/>
  <c r="CV17" i="5" s="1"/>
  <c r="CR7" i="5"/>
  <c r="CT7" i="5" s="1"/>
  <c r="CV7" i="5" s="1"/>
  <c r="CR8" i="5"/>
  <c r="CT8" i="5" s="1"/>
  <c r="CV8" i="5" s="1"/>
  <c r="CR13" i="5"/>
  <c r="CT13" i="5" s="1"/>
  <c r="CV13" i="5" s="1"/>
  <c r="CR20" i="5"/>
  <c r="CR11" i="5"/>
  <c r="CT11" i="5" s="1"/>
  <c r="CV11" i="5" s="1"/>
  <c r="G9" i="4"/>
  <c r="H9" i="4" s="1"/>
  <c r="I9" i="4" s="1"/>
  <c r="W7" i="5" s="1"/>
  <c r="AB7" i="5" s="1"/>
  <c r="CB12" i="5"/>
  <c r="CD12" i="5" s="1"/>
  <c r="DL9" i="5"/>
  <c r="DN9" i="5" s="1"/>
  <c r="DL8" i="5"/>
  <c r="DN8" i="5" s="1"/>
  <c r="DL19" i="5"/>
  <c r="DN19" i="5" s="1"/>
  <c r="DL15" i="5"/>
  <c r="DN15" i="5" s="1"/>
  <c r="DL13" i="5"/>
  <c r="DN13" i="5" s="1"/>
  <c r="DL22" i="5"/>
  <c r="DN22" i="5" s="1"/>
  <c r="DL12" i="5"/>
  <c r="DN12" i="5" s="1"/>
  <c r="AN9" i="5"/>
  <c r="AT9" i="5" s="1"/>
  <c r="DL20" i="5"/>
  <c r="DN20" i="5" s="1"/>
  <c r="DL16" i="5"/>
  <c r="DN16" i="5" s="1"/>
  <c r="ED11" i="5"/>
  <c r="EF11" i="5" s="1"/>
  <c r="DL10" i="5"/>
  <c r="DN10" i="5" s="1"/>
  <c r="DL21" i="5"/>
  <c r="DN21" i="5" s="1"/>
  <c r="CT14" i="5"/>
  <c r="CV14" i="5" s="1"/>
  <c r="DL17" i="5"/>
  <c r="DN17" i="5" s="1"/>
  <c r="DL18" i="5"/>
  <c r="DN18" i="5" s="1"/>
  <c r="DL7" i="5"/>
  <c r="DN7" i="5" s="1"/>
  <c r="DL14" i="5"/>
  <c r="DN14" i="5" s="1"/>
  <c r="DL11" i="5"/>
  <c r="DN11" i="5" s="1"/>
  <c r="BJ22" i="5"/>
  <c r="BL22" i="5" s="1"/>
  <c r="Y25" i="4" l="1"/>
  <c r="R50" i="7"/>
  <c r="V15" i="7"/>
  <c r="X14" i="7" s="1"/>
  <c r="AH13" i="4"/>
  <c r="V54" i="7" s="1"/>
  <c r="AN11" i="5"/>
  <c r="AT11" i="5" s="1"/>
  <c r="AQ13" i="4" s="1"/>
  <c r="K36" i="9" s="1"/>
  <c r="AH16" i="4"/>
  <c r="V57" i="7" s="1"/>
  <c r="AH14" i="4"/>
  <c r="V55" i="7" s="1"/>
  <c r="AI23" i="4"/>
  <c r="AI13" i="4"/>
  <c r="AI21" i="4"/>
  <c r="AU9" i="4"/>
  <c r="AU3" i="4" s="1"/>
  <c r="AH9" i="4"/>
  <c r="V23" i="7" s="1"/>
  <c r="AH12" i="4"/>
  <c r="V53" i="7" s="1"/>
  <c r="AH18" i="4"/>
  <c r="V59" i="7" s="1"/>
  <c r="AH19" i="4"/>
  <c r="V60" i="7" s="1"/>
  <c r="CB21" i="5"/>
  <c r="CD21" i="5" s="1"/>
  <c r="AP23" i="4" s="1"/>
  <c r="J46" i="9" s="1"/>
  <c r="AI17" i="4"/>
  <c r="AH23" i="4"/>
  <c r="V64" i="7" s="1"/>
  <c r="AH22" i="4"/>
  <c r="V63" i="7" s="1"/>
  <c r="AH11" i="4"/>
  <c r="V52" i="7" s="1"/>
  <c r="AI16" i="4"/>
  <c r="AI14" i="4"/>
  <c r="CB15" i="5"/>
  <c r="CD15" i="5" s="1"/>
  <c r="AN10" i="5"/>
  <c r="AT10" i="5" s="1"/>
  <c r="AQ12" i="4" s="1"/>
  <c r="K35" i="9" s="1"/>
  <c r="AN14" i="5"/>
  <c r="AT14" i="5" s="1"/>
  <c r="AQ16" i="4" s="1"/>
  <c r="K39" i="9" s="1"/>
  <c r="AH15" i="4"/>
  <c r="V56" i="7" s="1"/>
  <c r="AI20" i="4"/>
  <c r="AN7" i="5"/>
  <c r="AT7" i="5" s="1"/>
  <c r="AH17" i="4"/>
  <c r="V58" i="7" s="1"/>
  <c r="AI9" i="4"/>
  <c r="AI15" i="4"/>
  <c r="AH20" i="4"/>
  <c r="V61" i="7" s="1"/>
  <c r="AI18" i="4"/>
  <c r="G32" i="9"/>
  <c r="F32" i="9"/>
  <c r="AH21" i="4"/>
  <c r="V62" i="7" s="1"/>
  <c r="AI24" i="4"/>
  <c r="AI12" i="4"/>
  <c r="AI10" i="4"/>
  <c r="AA9" i="4"/>
  <c r="AV9" i="4" s="1"/>
  <c r="AV3" i="4" s="1"/>
  <c r="CT18" i="5"/>
  <c r="CV18" i="5" s="1"/>
  <c r="AP20" i="4" s="1"/>
  <c r="J43" i="9" s="1"/>
  <c r="AI22" i="4"/>
  <c r="AN12" i="5"/>
  <c r="AT12" i="5" s="1"/>
  <c r="AQ14" i="4" s="1"/>
  <c r="K37" i="9" s="1"/>
  <c r="AI19" i="4"/>
  <c r="AH24" i="4"/>
  <c r="V65" i="7" s="1"/>
  <c r="AI11" i="4"/>
  <c r="CT9" i="5"/>
  <c r="CV9" i="5" s="1"/>
  <c r="CT20" i="5"/>
  <c r="CV20" i="5" s="1"/>
  <c r="AH10" i="4"/>
  <c r="V51" i="7" s="1"/>
  <c r="J41" i="7"/>
  <c r="AP10" i="4"/>
  <c r="J33" i="9" s="1"/>
  <c r="AQ10" i="4"/>
  <c r="K33" i="9" s="1"/>
  <c r="AM15" i="4"/>
  <c r="AL15" i="4"/>
  <c r="X56" i="7" s="1"/>
  <c r="AM21" i="4"/>
  <c r="AL21" i="4"/>
  <c r="X62" i="7" s="1"/>
  <c r="AM18" i="4"/>
  <c r="AL18" i="4"/>
  <c r="X59" i="7" s="1"/>
  <c r="AQ21" i="4"/>
  <c r="K44" i="9" s="1"/>
  <c r="AP21" i="4"/>
  <c r="J44" i="9" s="1"/>
  <c r="AM19" i="4"/>
  <c r="AL19" i="4"/>
  <c r="X60" i="7" s="1"/>
  <c r="AM24" i="4"/>
  <c r="AL24" i="4"/>
  <c r="X65" i="7" s="1"/>
  <c r="AM10" i="4"/>
  <c r="AL10" i="4"/>
  <c r="X51" i="7" s="1"/>
  <c r="DL1" i="5"/>
  <c r="AQ24" i="4"/>
  <c r="K47" i="9" s="1"/>
  <c r="AP24" i="4"/>
  <c r="J47" i="9" s="1"/>
  <c r="DN24" i="5"/>
  <c r="ED1" i="5"/>
  <c r="BJ1" i="5"/>
  <c r="EF24" i="5"/>
  <c r="BL24" i="5"/>
  <c r="V50" i="7" l="1"/>
  <c r="AM9" i="4"/>
  <c r="AP13" i="4"/>
  <c r="J36" i="9" s="1"/>
  <c r="AM13" i="4"/>
  <c r="K41" i="7"/>
  <c r="K42" i="7" s="1"/>
  <c r="V27" i="7"/>
  <c r="AL17" i="4"/>
  <c r="X58" i="7" s="1"/>
  <c r="V28" i="7"/>
  <c r="AQ23" i="4"/>
  <c r="K46" i="9" s="1"/>
  <c r="AP12" i="4"/>
  <c r="J35" i="9" s="1"/>
  <c r="AL23" i="4"/>
  <c r="X64" i="7" s="1"/>
  <c r="AL12" i="4"/>
  <c r="X53" i="7" s="1"/>
  <c r="AM12" i="4"/>
  <c r="AM23" i="4"/>
  <c r="AA25" i="4"/>
  <c r="AP14" i="4"/>
  <c r="J37" i="9" s="1"/>
  <c r="AL14" i="4"/>
  <c r="X55" i="7" s="1"/>
  <c r="V25" i="7"/>
  <c r="AL13" i="4"/>
  <c r="X54" i="7" s="1"/>
  <c r="V32" i="7"/>
  <c r="V35" i="7"/>
  <c r="CD24" i="5"/>
  <c r="V30" i="7"/>
  <c r="AM14" i="4"/>
  <c r="V36" i="7"/>
  <c r="AM17" i="4"/>
  <c r="V38" i="7"/>
  <c r="AL11" i="4"/>
  <c r="X52" i="7" s="1"/>
  <c r="V26" i="7"/>
  <c r="AM11" i="4"/>
  <c r="V31" i="7"/>
  <c r="CB1" i="5"/>
  <c r="V33" i="7"/>
  <c r="AP16" i="4"/>
  <c r="J39" i="9" s="1"/>
  <c r="AL16" i="4"/>
  <c r="X57" i="7" s="1"/>
  <c r="AM20" i="4"/>
  <c r="AQ20" i="4"/>
  <c r="K43" i="9" s="1"/>
  <c r="AN1" i="5"/>
  <c r="AM16" i="4"/>
  <c r="V29" i="7"/>
  <c r="AL20" i="4"/>
  <c r="X61" i="7" s="1"/>
  <c r="CV24" i="5"/>
  <c r="V37" i="7"/>
  <c r="AL9" i="4"/>
  <c r="W23" i="7" s="1"/>
  <c r="CT1" i="5"/>
  <c r="AL22" i="4"/>
  <c r="X63" i="7" s="1"/>
  <c r="AM22" i="4"/>
  <c r="V34" i="7"/>
  <c r="V24" i="7"/>
  <c r="AH25" i="4"/>
  <c r="BP7" i="5"/>
  <c r="AX7" i="5"/>
  <c r="CH7" i="5"/>
  <c r="CZ7" i="5"/>
  <c r="DR7" i="5"/>
  <c r="W2" i="5"/>
  <c r="X34" i="7"/>
  <c r="Z61" i="7"/>
  <c r="X35" i="7"/>
  <c r="Z62" i="7"/>
  <c r="X24" i="7"/>
  <c r="Z51" i="7"/>
  <c r="X37" i="7"/>
  <c r="Z64" i="7"/>
  <c r="X38" i="7"/>
  <c r="Z65" i="7"/>
  <c r="W38" i="7"/>
  <c r="W32" i="7"/>
  <c r="W24" i="7"/>
  <c r="W33" i="7"/>
  <c r="W29" i="7"/>
  <c r="W35" i="7"/>
  <c r="AT24" i="5"/>
  <c r="AQ9" i="4"/>
  <c r="K32" i="9" s="1"/>
  <c r="AP22" i="4"/>
  <c r="J45" i="9" s="1"/>
  <c r="AQ22" i="4"/>
  <c r="K45" i="9" s="1"/>
  <c r="AP9" i="4"/>
  <c r="AQ18" i="4"/>
  <c r="K41" i="9" s="1"/>
  <c r="AP18" i="4"/>
  <c r="J41" i="9" s="1"/>
  <c r="AP15" i="4"/>
  <c r="J38" i="9" s="1"/>
  <c r="AQ15" i="4"/>
  <c r="K38" i="9" s="1"/>
  <c r="AP11" i="4"/>
  <c r="J34" i="9" s="1"/>
  <c r="AQ11" i="4"/>
  <c r="K34" i="9" s="1"/>
  <c r="AQ19" i="4"/>
  <c r="K42" i="9" s="1"/>
  <c r="AP19" i="4"/>
  <c r="J42" i="9" s="1"/>
  <c r="AQ17" i="4"/>
  <c r="K40" i="9" s="1"/>
  <c r="AP17" i="4"/>
  <c r="J40" i="9" s="1"/>
  <c r="V9" i="7" l="1"/>
  <c r="X8" i="7" s="1"/>
  <c r="AH3" i="4"/>
  <c r="V12" i="7" s="1"/>
  <c r="X11" i="7" s="1"/>
  <c r="AH4" i="4"/>
  <c r="Z54" i="7"/>
  <c r="X27" i="7"/>
  <c r="Z53" i="7"/>
  <c r="W31" i="7"/>
  <c r="W37" i="7"/>
  <c r="X26" i="7"/>
  <c r="W26" i="7"/>
  <c r="W27" i="7"/>
  <c r="X28" i="7"/>
  <c r="W28" i="7"/>
  <c r="Z55" i="7"/>
  <c r="W25" i="7"/>
  <c r="X50" i="7"/>
  <c r="AL25" i="4"/>
  <c r="W36" i="7"/>
  <c r="W30" i="7"/>
  <c r="Z57" i="7"/>
  <c r="W34" i="7"/>
  <c r="X30" i="7"/>
  <c r="V40" i="7"/>
  <c r="Z50" i="7"/>
  <c r="J32" i="9"/>
  <c r="DR2" i="5"/>
  <c r="DU7" i="5"/>
  <c r="DY7" i="5"/>
  <c r="DY1" i="5" s="1"/>
  <c r="DT7" i="5"/>
  <c r="EE26" i="5" s="1"/>
  <c r="EE55" i="5" s="1"/>
  <c r="CK7" i="5"/>
  <c r="CO7" i="5"/>
  <c r="CO1" i="5" s="1"/>
  <c r="CH2" i="5"/>
  <c r="CJ7" i="5"/>
  <c r="CU26" i="5" s="1"/>
  <c r="CU55" i="5" s="1"/>
  <c r="AB2" i="5"/>
  <c r="AB1" i="5" s="1"/>
  <c r="AE7" i="5"/>
  <c r="AI7" i="5"/>
  <c r="AI1" i="5" s="1"/>
  <c r="AD7" i="5"/>
  <c r="AX2" i="5"/>
  <c r="BA7" i="5"/>
  <c r="AZ7" i="5"/>
  <c r="BK26" i="5" s="1"/>
  <c r="BK55" i="5" s="1"/>
  <c r="BE7" i="5"/>
  <c r="BE1" i="5" s="1"/>
  <c r="CZ2" i="5"/>
  <c r="DB7" i="5"/>
  <c r="DM26" i="5" s="1"/>
  <c r="DM55" i="5" s="1"/>
  <c r="DC7" i="5"/>
  <c r="DG7" i="5"/>
  <c r="DG1" i="5" s="1"/>
  <c r="BP2" i="5"/>
  <c r="BR7" i="5"/>
  <c r="CC26" i="5" s="1"/>
  <c r="CC55" i="5" s="1"/>
  <c r="BS7" i="5"/>
  <c r="BW7" i="5"/>
  <c r="BW1" i="5" s="1"/>
  <c r="X36" i="7"/>
  <c r="Z63" i="7"/>
  <c r="X25" i="7"/>
  <c r="Z52" i="7"/>
  <c r="X33" i="7"/>
  <c r="Z60" i="7"/>
  <c r="X29" i="7"/>
  <c r="Z56" i="7"/>
  <c r="X32" i="7"/>
  <c r="Z59" i="7"/>
  <c r="X31" i="7"/>
  <c r="Z58" i="7"/>
  <c r="X23" i="7"/>
  <c r="AP25" i="4"/>
  <c r="V18" i="7" s="1"/>
  <c r="Y18" i="7" s="1"/>
  <c r="Y9" i="7" l="1"/>
  <c r="BY14" i="5"/>
  <c r="CA14" i="5" s="1"/>
  <c r="CC14" i="5" s="1"/>
  <c r="BY11" i="5"/>
  <c r="CA11" i="5" s="1"/>
  <c r="CC11" i="5" s="1"/>
  <c r="BY17" i="5"/>
  <c r="CA17" i="5" s="1"/>
  <c r="CC17" i="5" s="1"/>
  <c r="BY8" i="5"/>
  <c r="CA8" i="5" s="1"/>
  <c r="CC8" i="5" s="1"/>
  <c r="BY9" i="5"/>
  <c r="CA9" i="5" s="1"/>
  <c r="CC9" i="5" s="1"/>
  <c r="BY20" i="5"/>
  <c r="CA20" i="5" s="1"/>
  <c r="CC20" i="5" s="1"/>
  <c r="BY22" i="5"/>
  <c r="CA22" i="5" s="1"/>
  <c r="CC22" i="5" s="1"/>
  <c r="BY13" i="5"/>
  <c r="CA13" i="5" s="1"/>
  <c r="CC13" i="5" s="1"/>
  <c r="BY12" i="5"/>
  <c r="CA12" i="5" s="1"/>
  <c r="CC12" i="5" s="1"/>
  <c r="BY19" i="5"/>
  <c r="CA19" i="5" s="1"/>
  <c r="CC19" i="5" s="1"/>
  <c r="BY16" i="5"/>
  <c r="CA16" i="5" s="1"/>
  <c r="CC16" i="5" s="1"/>
  <c r="BY18" i="5"/>
  <c r="CA18" i="5" s="1"/>
  <c r="CC18" i="5" s="1"/>
  <c r="BY15" i="5"/>
  <c r="CA15" i="5" s="1"/>
  <c r="CC15" i="5" s="1"/>
  <c r="BY10" i="5"/>
  <c r="CA10" i="5" s="1"/>
  <c r="CC10" i="5" s="1"/>
  <c r="BY21" i="5"/>
  <c r="CA21" i="5" s="1"/>
  <c r="CC21" i="5" s="1"/>
  <c r="BY7" i="5"/>
  <c r="CA7" i="5" s="1"/>
  <c r="CQ16" i="5"/>
  <c r="CS16" i="5" s="1"/>
  <c r="CU16" i="5" s="1"/>
  <c r="CQ9" i="5"/>
  <c r="CS9" i="5" s="1"/>
  <c r="CU9" i="5" s="1"/>
  <c r="CQ21" i="5"/>
  <c r="CS21" i="5" s="1"/>
  <c r="CU21" i="5" s="1"/>
  <c r="CQ12" i="5"/>
  <c r="CS12" i="5" s="1"/>
  <c r="CU12" i="5" s="1"/>
  <c r="CQ15" i="5"/>
  <c r="CS15" i="5" s="1"/>
  <c r="CU15" i="5" s="1"/>
  <c r="CQ13" i="5"/>
  <c r="CS13" i="5" s="1"/>
  <c r="CU13" i="5" s="1"/>
  <c r="CQ18" i="5"/>
  <c r="CS18" i="5" s="1"/>
  <c r="CU18" i="5" s="1"/>
  <c r="CQ22" i="5"/>
  <c r="CS22" i="5" s="1"/>
  <c r="CU22" i="5" s="1"/>
  <c r="CQ8" i="5"/>
  <c r="CS8" i="5" s="1"/>
  <c r="CU8" i="5" s="1"/>
  <c r="CQ10" i="5"/>
  <c r="CS10" i="5" s="1"/>
  <c r="CU10" i="5" s="1"/>
  <c r="CQ17" i="5"/>
  <c r="CS17" i="5" s="1"/>
  <c r="CU17" i="5" s="1"/>
  <c r="CQ11" i="5"/>
  <c r="CS11" i="5" s="1"/>
  <c r="CU11" i="5" s="1"/>
  <c r="CQ19" i="5"/>
  <c r="CS19" i="5" s="1"/>
  <c r="CU19" i="5" s="1"/>
  <c r="CQ20" i="5"/>
  <c r="CS20" i="5" s="1"/>
  <c r="CU20" i="5" s="1"/>
  <c r="CQ7" i="5"/>
  <c r="CS7" i="5" s="1"/>
  <c r="CQ14" i="5"/>
  <c r="CS14" i="5" s="1"/>
  <c r="CU14" i="5" s="1"/>
  <c r="AK9" i="5"/>
  <c r="AK18" i="5"/>
  <c r="AK19" i="5"/>
  <c r="AK12" i="5"/>
  <c r="AK11" i="5"/>
  <c r="AK21" i="5"/>
  <c r="V3" i="4"/>
  <c r="W3" i="4"/>
  <c r="AK22" i="5"/>
  <c r="AK7" i="5"/>
  <c r="AK17" i="5"/>
  <c r="AK15" i="5"/>
  <c r="AK8" i="5"/>
  <c r="AK16" i="5"/>
  <c r="AK14" i="5"/>
  <c r="AK13" i="5"/>
  <c r="AK20" i="5"/>
  <c r="AK10" i="5"/>
  <c r="BG22" i="5"/>
  <c r="BI22" i="5" s="1"/>
  <c r="BK22" i="5" s="1"/>
  <c r="BG10" i="5"/>
  <c r="BI10" i="5" s="1"/>
  <c r="BK10" i="5" s="1"/>
  <c r="BG20" i="5"/>
  <c r="BI20" i="5" s="1"/>
  <c r="BK20" i="5" s="1"/>
  <c r="BG15" i="5"/>
  <c r="BI15" i="5" s="1"/>
  <c r="BK15" i="5" s="1"/>
  <c r="BG18" i="5"/>
  <c r="BI18" i="5" s="1"/>
  <c r="BK18" i="5" s="1"/>
  <c r="BG19" i="5"/>
  <c r="BI19" i="5" s="1"/>
  <c r="BK19" i="5" s="1"/>
  <c r="BG17" i="5"/>
  <c r="BI17" i="5" s="1"/>
  <c r="BK17" i="5" s="1"/>
  <c r="BG9" i="5"/>
  <c r="BI9" i="5" s="1"/>
  <c r="BK9" i="5" s="1"/>
  <c r="BG11" i="5"/>
  <c r="BI11" i="5" s="1"/>
  <c r="BK11" i="5" s="1"/>
  <c r="BG12" i="5"/>
  <c r="BI12" i="5" s="1"/>
  <c r="BK12" i="5" s="1"/>
  <c r="BG13" i="5"/>
  <c r="BI13" i="5" s="1"/>
  <c r="BK13" i="5" s="1"/>
  <c r="BG16" i="5"/>
  <c r="BI16" i="5" s="1"/>
  <c r="BK16" i="5" s="1"/>
  <c r="BG14" i="5"/>
  <c r="BI14" i="5" s="1"/>
  <c r="BK14" i="5" s="1"/>
  <c r="BG21" i="5"/>
  <c r="BI21" i="5" s="1"/>
  <c r="BK21" i="5" s="1"/>
  <c r="BG7" i="5"/>
  <c r="BI7" i="5" s="1"/>
  <c r="BG8" i="5"/>
  <c r="BI8" i="5" s="1"/>
  <c r="BK8" i="5" s="1"/>
  <c r="EA17" i="5"/>
  <c r="EC17" i="5" s="1"/>
  <c r="EE17" i="5" s="1"/>
  <c r="EA12" i="5"/>
  <c r="EC12" i="5" s="1"/>
  <c r="EE12" i="5" s="1"/>
  <c r="EA7" i="5"/>
  <c r="EC7" i="5" s="1"/>
  <c r="EA19" i="5"/>
  <c r="EC19" i="5" s="1"/>
  <c r="EE19" i="5" s="1"/>
  <c r="EA9" i="5"/>
  <c r="EC9" i="5" s="1"/>
  <c r="EE9" i="5" s="1"/>
  <c r="EA22" i="5"/>
  <c r="EC22" i="5" s="1"/>
  <c r="EE22" i="5" s="1"/>
  <c r="EA20" i="5"/>
  <c r="EC20" i="5" s="1"/>
  <c r="EE20" i="5" s="1"/>
  <c r="EA13" i="5"/>
  <c r="EC13" i="5" s="1"/>
  <c r="EE13" i="5" s="1"/>
  <c r="EA11" i="5"/>
  <c r="EC11" i="5" s="1"/>
  <c r="EE11" i="5" s="1"/>
  <c r="EA8" i="5"/>
  <c r="EC8" i="5" s="1"/>
  <c r="EE8" i="5" s="1"/>
  <c r="EA15" i="5"/>
  <c r="EC15" i="5" s="1"/>
  <c r="EE15" i="5" s="1"/>
  <c r="EA21" i="5"/>
  <c r="EC21" i="5" s="1"/>
  <c r="EE21" i="5" s="1"/>
  <c r="EA16" i="5"/>
  <c r="EC16" i="5" s="1"/>
  <c r="EE16" i="5" s="1"/>
  <c r="EA14" i="5"/>
  <c r="EC14" i="5" s="1"/>
  <c r="EE14" i="5" s="1"/>
  <c r="EA18" i="5"/>
  <c r="EC18" i="5" s="1"/>
  <c r="EE18" i="5" s="1"/>
  <c r="EA10" i="5"/>
  <c r="EC10" i="5" s="1"/>
  <c r="EE10" i="5" s="1"/>
  <c r="DI17" i="5"/>
  <c r="DK17" i="5" s="1"/>
  <c r="DM17" i="5" s="1"/>
  <c r="DI8" i="5"/>
  <c r="DK8" i="5" s="1"/>
  <c r="DM8" i="5" s="1"/>
  <c r="DI13" i="5"/>
  <c r="DK13" i="5" s="1"/>
  <c r="DM13" i="5" s="1"/>
  <c r="DI22" i="5"/>
  <c r="DK22" i="5" s="1"/>
  <c r="DM22" i="5" s="1"/>
  <c r="DI10" i="5"/>
  <c r="DK10" i="5" s="1"/>
  <c r="DM10" i="5" s="1"/>
  <c r="DI21" i="5"/>
  <c r="DK21" i="5" s="1"/>
  <c r="DM21" i="5" s="1"/>
  <c r="DI18" i="5"/>
  <c r="DK18" i="5" s="1"/>
  <c r="DM18" i="5" s="1"/>
  <c r="DI15" i="5"/>
  <c r="DK15" i="5" s="1"/>
  <c r="DM15" i="5" s="1"/>
  <c r="DI14" i="5"/>
  <c r="DK14" i="5" s="1"/>
  <c r="DM14" i="5" s="1"/>
  <c r="DI11" i="5"/>
  <c r="DK11" i="5" s="1"/>
  <c r="DM11" i="5" s="1"/>
  <c r="DI16" i="5"/>
  <c r="DK16" i="5" s="1"/>
  <c r="DM16" i="5" s="1"/>
  <c r="DI20" i="5"/>
  <c r="DK20" i="5" s="1"/>
  <c r="DM20" i="5" s="1"/>
  <c r="DI7" i="5"/>
  <c r="DK7" i="5" s="1"/>
  <c r="DI19" i="5"/>
  <c r="DK19" i="5" s="1"/>
  <c r="DM19" i="5" s="1"/>
  <c r="DI9" i="5"/>
  <c r="DK9" i="5" s="1"/>
  <c r="DM9" i="5" s="1"/>
  <c r="DI12" i="5"/>
  <c r="DK12" i="5" s="1"/>
  <c r="DM12" i="5" s="1"/>
  <c r="AS26" i="5"/>
  <c r="AS55" i="5" s="1"/>
  <c r="AB9" i="4"/>
  <c r="AC9" i="4"/>
  <c r="V9" i="4"/>
  <c r="G50" i="7" s="1"/>
  <c r="W9" i="4"/>
  <c r="X40" i="7"/>
  <c r="X42" i="7" s="1"/>
  <c r="X17" i="7"/>
  <c r="F3" i="9" l="1"/>
  <c r="G3" i="9"/>
  <c r="I50" i="7"/>
  <c r="AQ10" i="5"/>
  <c r="AO10" i="5"/>
  <c r="AG12" i="4"/>
  <c r="AM10" i="5"/>
  <c r="AS10" i="5" s="1"/>
  <c r="AF12" i="4"/>
  <c r="AP10" i="5"/>
  <c r="AO20" i="5"/>
  <c r="AQ20" i="5"/>
  <c r="AF22" i="4"/>
  <c r="AP20" i="5"/>
  <c r="AM20" i="5"/>
  <c r="AS20" i="5" s="1"/>
  <c r="AG22" i="4"/>
  <c r="AF11" i="4"/>
  <c r="AP9" i="5"/>
  <c r="AO9" i="5"/>
  <c r="AM9" i="5"/>
  <c r="AS9" i="5" s="1"/>
  <c r="AG11" i="4"/>
  <c r="AQ9" i="5"/>
  <c r="AP13" i="5"/>
  <c r="AQ13" i="5"/>
  <c r="AM13" i="5"/>
  <c r="AG15" i="4"/>
  <c r="AF15" i="4"/>
  <c r="AO13" i="5"/>
  <c r="CC7" i="5"/>
  <c r="CC24" i="5" s="1"/>
  <c r="CA1" i="5"/>
  <c r="W25" i="4"/>
  <c r="X9" i="4"/>
  <c r="DM7" i="5"/>
  <c r="DM24" i="5" s="1"/>
  <c r="DK1" i="5"/>
  <c r="AP14" i="5"/>
  <c r="AM14" i="5"/>
  <c r="AS14" i="5" s="1"/>
  <c r="AQ14" i="5"/>
  <c r="AG16" i="4"/>
  <c r="AF16" i="4"/>
  <c r="AO14" i="5"/>
  <c r="N46" i="7"/>
  <c r="Q15" i="7"/>
  <c r="S14" i="7" s="1"/>
  <c r="CU7" i="5"/>
  <c r="CU24" i="5" s="1"/>
  <c r="CS1" i="5"/>
  <c r="BK7" i="5"/>
  <c r="BK24" i="5" s="1"/>
  <c r="BI1" i="5"/>
  <c r="AF24" i="4"/>
  <c r="AP22" i="5"/>
  <c r="AQ22" i="5"/>
  <c r="AM22" i="5"/>
  <c r="AS22" i="5" s="1"/>
  <c r="AO22" i="5"/>
  <c r="AG24" i="4"/>
  <c r="AS9" i="4"/>
  <c r="AS3" i="4" s="1"/>
  <c r="AO16" i="5"/>
  <c r="AP16" i="5"/>
  <c r="AQ16" i="5"/>
  <c r="AM16" i="5"/>
  <c r="AS16" i="5" s="1"/>
  <c r="AG18" i="4"/>
  <c r="AF18" i="4"/>
  <c r="AG23" i="4"/>
  <c r="AP21" i="5"/>
  <c r="AQ21" i="5"/>
  <c r="AF23" i="4"/>
  <c r="AO21" i="5"/>
  <c r="AM21" i="5"/>
  <c r="AS21" i="5" s="1"/>
  <c r="AQ19" i="5"/>
  <c r="AG21" i="4"/>
  <c r="AF21" i="4"/>
  <c r="AM19" i="5"/>
  <c r="AS19" i="5" s="1"/>
  <c r="AO19" i="5"/>
  <c r="AP19" i="5"/>
  <c r="AP7" i="5"/>
  <c r="AG9" i="4"/>
  <c r="AK25" i="5"/>
  <c r="AQ7" i="5"/>
  <c r="AF9" i="4"/>
  <c r="AO7" i="5"/>
  <c r="AM7" i="5"/>
  <c r="AS7" i="5" s="1"/>
  <c r="EE7" i="5"/>
  <c r="EE24" i="5" s="1"/>
  <c r="EC1" i="5"/>
  <c r="AF10" i="4"/>
  <c r="AO8" i="5"/>
  <c r="AM8" i="5"/>
  <c r="AS8" i="5" s="1"/>
  <c r="AP8" i="5"/>
  <c r="AG10" i="4"/>
  <c r="AQ8" i="5"/>
  <c r="AO11" i="5"/>
  <c r="AG13" i="4"/>
  <c r="AP11" i="5"/>
  <c r="AF13" i="4"/>
  <c r="AQ11" i="5"/>
  <c r="AM11" i="5"/>
  <c r="AS11" i="5" s="1"/>
  <c r="AO15" i="5"/>
  <c r="AP15" i="5"/>
  <c r="AM15" i="5"/>
  <c r="AQ15" i="5"/>
  <c r="AG17" i="4"/>
  <c r="AF17" i="4"/>
  <c r="AG14" i="4"/>
  <c r="AM12" i="5"/>
  <c r="AO12" i="5"/>
  <c r="AF14" i="4"/>
  <c r="AP12" i="5"/>
  <c r="AQ12" i="5"/>
  <c r="AF19" i="4"/>
  <c r="AO17" i="5"/>
  <c r="AG19" i="4"/>
  <c r="AP17" i="5"/>
  <c r="AM17" i="5"/>
  <c r="AQ17" i="5"/>
  <c r="AQ18" i="5"/>
  <c r="AG20" i="4"/>
  <c r="AP18" i="5"/>
  <c r="AO18" i="5"/>
  <c r="AF20" i="4"/>
  <c r="AM18" i="5"/>
  <c r="AO9" i="4" l="1"/>
  <c r="AN9" i="4"/>
  <c r="AO13" i="4"/>
  <c r="K7" i="9" s="1"/>
  <c r="AN13" i="4"/>
  <c r="AR12" i="5"/>
  <c r="AK14" i="4"/>
  <c r="AJ14" i="4"/>
  <c r="AO10" i="4"/>
  <c r="K4" i="9" s="1"/>
  <c r="AN10" i="4"/>
  <c r="AN23" i="4"/>
  <c r="AO23" i="4"/>
  <c r="K17" i="9" s="1"/>
  <c r="K59" i="7"/>
  <c r="Q32" i="7"/>
  <c r="AN24" i="4"/>
  <c r="AO24" i="4"/>
  <c r="K18" i="9" s="1"/>
  <c r="K57" i="7"/>
  <c r="Q30" i="7"/>
  <c r="K52" i="7"/>
  <c r="Q25" i="7"/>
  <c r="AO12" i="4"/>
  <c r="K6" i="9" s="1"/>
  <c r="AN12" i="4"/>
  <c r="K55" i="7"/>
  <c r="Q28" i="7"/>
  <c r="AN16" i="4"/>
  <c r="AO16" i="4"/>
  <c r="K10" i="9" s="1"/>
  <c r="K61" i="7"/>
  <c r="Q34" i="7"/>
  <c r="AO18" i="4"/>
  <c r="K12" i="9" s="1"/>
  <c r="AN18" i="4"/>
  <c r="X25" i="4"/>
  <c r="AT9" i="4"/>
  <c r="AT3" i="4" s="1"/>
  <c r="AR13" i="5"/>
  <c r="AJ15" i="4"/>
  <c r="AK15" i="4"/>
  <c r="AN21" i="4"/>
  <c r="AO21" i="4"/>
  <c r="K15" i="9" s="1"/>
  <c r="AR21" i="5"/>
  <c r="AK23" i="4"/>
  <c r="AJ23" i="4"/>
  <c r="AN22" i="4"/>
  <c r="AO22" i="4"/>
  <c r="K16" i="9" s="1"/>
  <c r="AR17" i="5"/>
  <c r="AJ19" i="4"/>
  <c r="AK19" i="4"/>
  <c r="AR15" i="5"/>
  <c r="AJ17" i="4"/>
  <c r="AK17" i="4"/>
  <c r="K65" i="7"/>
  <c r="Q38" i="7"/>
  <c r="AS15" i="5"/>
  <c r="AR11" i="5"/>
  <c r="AK13" i="4"/>
  <c r="AJ13" i="4"/>
  <c r="AR7" i="5"/>
  <c r="AK9" i="4"/>
  <c r="AM1" i="5"/>
  <c r="AJ9" i="4"/>
  <c r="AN11" i="4"/>
  <c r="AO11" i="4"/>
  <c r="K5" i="9" s="1"/>
  <c r="AS12" i="5"/>
  <c r="K58" i="7"/>
  <c r="Q31" i="7"/>
  <c r="K64" i="7"/>
  <c r="Q37" i="7"/>
  <c r="AR22" i="5"/>
  <c r="AJ24" i="4"/>
  <c r="AK24" i="4"/>
  <c r="AR14" i="5"/>
  <c r="AJ16" i="4"/>
  <c r="AK16" i="4"/>
  <c r="AS13" i="5"/>
  <c r="AR20" i="5"/>
  <c r="AJ22" i="4"/>
  <c r="AK22" i="4"/>
  <c r="AR10" i="5"/>
  <c r="AK12" i="4"/>
  <c r="AJ12" i="4"/>
  <c r="AR16" i="5"/>
  <c r="AJ18" i="4"/>
  <c r="AK18" i="4"/>
  <c r="K53" i="7"/>
  <c r="Q26" i="7"/>
  <c r="K54" i="7"/>
  <c r="Q27" i="7"/>
  <c r="AR8" i="5"/>
  <c r="AK10" i="4"/>
  <c r="AJ10" i="4"/>
  <c r="AF25" i="4"/>
  <c r="AF3" i="4" s="1"/>
  <c r="Q23" i="7"/>
  <c r="K50" i="7"/>
  <c r="AR19" i="5"/>
  <c r="AJ21" i="4"/>
  <c r="AK21" i="4"/>
  <c r="AR18" i="5"/>
  <c r="AK20" i="4"/>
  <c r="AJ20" i="4"/>
  <c r="K51" i="7"/>
  <c r="Q24" i="7"/>
  <c r="K60" i="7"/>
  <c r="Q33" i="7"/>
  <c r="AS17" i="5"/>
  <c r="AS18" i="5"/>
  <c r="K62" i="7"/>
  <c r="Q35" i="7"/>
  <c r="K56" i="7"/>
  <c r="Q29" i="7"/>
  <c r="AR9" i="5"/>
  <c r="AK11" i="4"/>
  <c r="AJ11" i="4"/>
  <c r="K63" i="7"/>
  <c r="Q36" i="7"/>
  <c r="J4" i="9" l="1"/>
  <c r="J16" i="9"/>
  <c r="J10" i="9"/>
  <c r="J18" i="9"/>
  <c r="J6" i="9"/>
  <c r="J12" i="9"/>
  <c r="J7" i="9"/>
  <c r="J15" i="9"/>
  <c r="J5" i="9"/>
  <c r="J17" i="9"/>
  <c r="J3" i="9"/>
  <c r="W40" i="7"/>
  <c r="K3" i="9"/>
  <c r="S38" i="7"/>
  <c r="O65" i="7"/>
  <c r="M53" i="7"/>
  <c r="R26" i="7"/>
  <c r="M57" i="7"/>
  <c r="R30" i="7"/>
  <c r="O63" i="7"/>
  <c r="S36" i="7"/>
  <c r="M55" i="7"/>
  <c r="R28" i="7"/>
  <c r="M52" i="7"/>
  <c r="R25" i="7"/>
  <c r="AR24" i="5"/>
  <c r="M64" i="7"/>
  <c r="R37" i="7"/>
  <c r="Q40" i="7"/>
  <c r="M54" i="7"/>
  <c r="R27" i="7"/>
  <c r="M58" i="7"/>
  <c r="R31" i="7"/>
  <c r="O57" i="7"/>
  <c r="S30" i="7"/>
  <c r="O54" i="7"/>
  <c r="S27" i="7"/>
  <c r="AF4" i="4"/>
  <c r="Q12" i="7"/>
  <c r="S11" i="7" s="1"/>
  <c r="Q9" i="7"/>
  <c r="S8" i="7" s="1"/>
  <c r="M65" i="7"/>
  <c r="R38" i="7"/>
  <c r="AO14" i="4"/>
  <c r="K8" i="9" s="1"/>
  <c r="AN14" i="4"/>
  <c r="M56" i="7"/>
  <c r="R29" i="7"/>
  <c r="AN20" i="4"/>
  <c r="AO20" i="4"/>
  <c r="K14" i="9" s="1"/>
  <c r="AN19" i="4"/>
  <c r="AO19" i="4"/>
  <c r="K13" i="9" s="1"/>
  <c r="M51" i="7"/>
  <c r="R24" i="7"/>
  <c r="M63" i="7"/>
  <c r="R36" i="7"/>
  <c r="S32" i="7"/>
  <c r="O59" i="7"/>
  <c r="S37" i="7"/>
  <c r="O64" i="7"/>
  <c r="S23" i="7"/>
  <c r="O50" i="7"/>
  <c r="M61" i="7"/>
  <c r="R34" i="7"/>
  <c r="O52" i="7"/>
  <c r="S25" i="7"/>
  <c r="AN17" i="4"/>
  <c r="AO17" i="4"/>
  <c r="K11" i="9" s="1"/>
  <c r="M60" i="7"/>
  <c r="R33" i="7"/>
  <c r="O62" i="7"/>
  <c r="S35" i="7"/>
  <c r="S24" i="7"/>
  <c r="O51" i="7"/>
  <c r="AS24" i="5"/>
  <c r="M62" i="7"/>
  <c r="R35" i="7"/>
  <c r="M59" i="7"/>
  <c r="R32" i="7"/>
  <c r="AO15" i="4"/>
  <c r="K9" i="9" s="1"/>
  <c r="AN15" i="4"/>
  <c r="M50" i="7"/>
  <c r="AJ25" i="4"/>
  <c r="R23" i="7"/>
  <c r="S26" i="7"/>
  <c r="O53" i="7"/>
  <c r="J8" i="9" l="1"/>
  <c r="J11" i="9"/>
  <c r="J14" i="9"/>
  <c r="J13" i="9"/>
  <c r="J9" i="9"/>
  <c r="R40" i="7"/>
  <c r="O56" i="7"/>
  <c r="S29" i="7"/>
  <c r="S28" i="7"/>
  <c r="O55" i="7"/>
  <c r="O61" i="7"/>
  <c r="S34" i="7"/>
  <c r="S31" i="7"/>
  <c r="O58" i="7"/>
  <c r="O60" i="7"/>
  <c r="S33" i="7"/>
  <c r="AN25" i="4"/>
  <c r="Q18" i="7" s="1"/>
  <c r="S17" i="7" s="1"/>
  <c r="S40" i="7" l="1"/>
  <c r="S42" i="7" s="1"/>
</calcChain>
</file>

<file path=xl/sharedStrings.xml><?xml version="1.0" encoding="utf-8"?>
<sst xmlns="http://schemas.openxmlformats.org/spreadsheetml/2006/main" count="2715" uniqueCount="679">
  <si>
    <t>Full Trade - Low Ambition</t>
  </si>
  <si>
    <t>Full Trade - High Ambition</t>
  </si>
  <si>
    <t>Emissions in 2030 [MtCO2]</t>
  </si>
  <si>
    <t>Δ:</t>
  </si>
  <si>
    <t>Baseline:</t>
  </si>
  <si>
    <t>Percentage reduction in 2030 compared to BAU [%]</t>
  </si>
  <si>
    <t>Permit Price (worldwide - full trade) [$/tCO2]</t>
  </si>
  <si>
    <t>Reduction Cost (worldwide) [Bn $]</t>
  </si>
  <si>
    <t xml:space="preserve">yes </t>
  </si>
  <si>
    <t>no</t>
  </si>
  <si>
    <t>amount of CDR in region i</t>
  </si>
  <si>
    <t>low ambition</t>
  </si>
  <si>
    <t>high ambition</t>
  </si>
  <si>
    <t>Effects of CDR in different world regions</t>
  </si>
  <si>
    <t>regions of the world</t>
  </si>
  <si>
    <t>Ocean alkalinity enhancement OAE</t>
  </si>
  <si>
    <t>Artificial Upwelling
AU</t>
  </si>
  <si>
    <t>Blue Carbon
BC</t>
  </si>
  <si>
    <t>emissions target 2030 (NDC) A_i</t>
  </si>
  <si>
    <t>change emissions target? [MtCO2]</t>
  </si>
  <si>
    <t>abatement rate (emissions target relative to BAU 2030)</t>
  </si>
  <si>
    <t>emissions target 2030 (NDC)</t>
  </si>
  <si>
    <t>Δ emissions</t>
  </si>
  <si>
    <t>Δ permits</t>
  </si>
  <si>
    <t>Δ reduction costs</t>
  </si>
  <si>
    <t>[MtCO2]</t>
  </si>
  <si>
    <t>[Bn $]</t>
  </si>
  <si>
    <t>1. Fill in positive values of CDR here!</t>
  </si>
  <si>
    <t>3. Indicate new targets [MtCO2]</t>
  </si>
  <si>
    <t>SUM</t>
  </si>
  <si>
    <t>reduction worldwide</t>
  </si>
  <si>
    <t>reduction</t>
  </si>
  <si>
    <t>additional cost of reduction (worldwide):</t>
  </si>
  <si>
    <t>Low ambition in targets</t>
  </si>
  <si>
    <t>High ambition in targets</t>
  </si>
  <si>
    <t>NDC</t>
  </si>
  <si>
    <t>Domestic carbon markets</t>
  </si>
  <si>
    <t>International Carbon Market</t>
  </si>
  <si>
    <t>permit price</t>
  </si>
  <si>
    <t>baseline</t>
  </si>
  <si>
    <t>$/tCO2</t>
  </si>
  <si>
    <t>Business-as-usual (BAU)</t>
  </si>
  <si>
    <t>target</t>
  </si>
  <si>
    <t>No trade of permits between world regions</t>
  </si>
  <si>
    <t>Trade between regions</t>
  </si>
  <si>
    <t>GDP</t>
  </si>
  <si>
    <t>CO2-Emiss.</t>
  </si>
  <si>
    <t>Price of carbon permits</t>
  </si>
  <si>
    <t>Cost of reduction</t>
  </si>
  <si>
    <t>CO2-Emissions</t>
  </si>
  <si>
    <t>Permits</t>
  </si>
  <si>
    <t>Cost of Reduction</t>
  </si>
  <si>
    <t>[MtC02]</t>
  </si>
  <si>
    <t>[$/tCO2]</t>
  </si>
  <si>
    <t>only changes in region that applies CDR and/or adjusts target</t>
  </si>
  <si>
    <t>cdr - full trade - low ambition</t>
  </si>
  <si>
    <t>cdr - full trade - high ambition</t>
  </si>
  <si>
    <t>Percentage Reduction 2030</t>
  </si>
  <si>
    <t>Mean</t>
  </si>
  <si>
    <t>Std</t>
  </si>
  <si>
    <t>Include CDR?</t>
  </si>
  <si>
    <t>CDR</t>
  </si>
  <si>
    <t>GDP_Bau</t>
  </si>
  <si>
    <t>CO2_Bau</t>
  </si>
  <si>
    <t>Price</t>
  </si>
  <si>
    <t>Cost</t>
  </si>
  <si>
    <t>Emissions</t>
  </si>
  <si>
    <t>Reduction Costs</t>
  </si>
  <si>
    <t>Ocean Alkalinity Enhancement</t>
  </si>
  <si>
    <t>Artifical Upwelling</t>
  </si>
  <si>
    <t>Blue Carbon</t>
  </si>
  <si>
    <t>NDC target emissions</t>
  </si>
  <si>
    <t>New emissions target?</t>
  </si>
  <si>
    <t>Difference</t>
  </si>
  <si>
    <t>Ave</t>
  </si>
  <si>
    <t>Ave_min</t>
  </si>
  <si>
    <t>Std_min</t>
  </si>
  <si>
    <t>Var</t>
  </si>
  <si>
    <t>Ave_max</t>
  </si>
  <si>
    <t>Std_max</t>
  </si>
  <si>
    <t>min_scen</t>
  </si>
  <si>
    <t>var_min_scen</t>
  </si>
  <si>
    <t>max_scen</t>
  </si>
  <si>
    <t>var_max_scen</t>
  </si>
  <si>
    <t>OAE</t>
  </si>
  <si>
    <t>AU</t>
  </si>
  <si>
    <t>BC</t>
  </si>
  <si>
    <t>Emissions_BAU*Price</t>
  </si>
  <si>
    <t>baseline  - full trade - low ambition</t>
  </si>
  <si>
    <t>baseline - full trade - high ambition</t>
  </si>
  <si>
    <t>Region of the world</t>
  </si>
  <si>
    <t>Domestic carbon trading schemes</t>
  </si>
  <si>
    <t>StdE</t>
  </si>
  <si>
    <t>with variations in CDR and ambition, if different</t>
  </si>
  <si>
    <t>with Variations in CDR and ambition</t>
  </si>
  <si>
    <t>StE</t>
  </si>
  <si>
    <t>ISO3</t>
  </si>
  <si>
    <t>Country</t>
  </si>
  <si>
    <t>Region</t>
  </si>
  <si>
    <t>Dart_Link</t>
  </si>
  <si>
    <t>SSP_Link</t>
  </si>
  <si>
    <t>SSP_Link2</t>
  </si>
  <si>
    <t>alpha_i</t>
  </si>
  <si>
    <t>MtC</t>
  </si>
  <si>
    <t>MtCO2</t>
  </si>
  <si>
    <t>WB_GDP_USD</t>
  </si>
  <si>
    <t>GDP_Growth</t>
  </si>
  <si>
    <t>CO2_Change</t>
  </si>
  <si>
    <t>Target_factor</t>
  </si>
  <si>
    <t>Target_Emissions</t>
  </si>
  <si>
    <t>Included In Modell</t>
  </si>
  <si>
    <t>DART</t>
  </si>
  <si>
    <t>SSP1</t>
  </si>
  <si>
    <t>SSP2</t>
  </si>
  <si>
    <t>SSP3</t>
  </si>
  <si>
    <t>SSP4</t>
  </si>
  <si>
    <t>SSP5</t>
  </si>
  <si>
    <t>Min</t>
  </si>
  <si>
    <t>Max</t>
  </si>
  <si>
    <t>"1/0"</t>
  </si>
  <si>
    <t>CHN</t>
  </si>
  <si>
    <t>China</t>
  </si>
  <si>
    <t>EastAsia</t>
  </si>
  <si>
    <t>Asia</t>
  </si>
  <si>
    <t>Other Asia</t>
  </si>
  <si>
    <t>USA</t>
  </si>
  <si>
    <t>United States</t>
  </si>
  <si>
    <t>North America</t>
  </si>
  <si>
    <t>OECD</t>
  </si>
  <si>
    <t>Other America</t>
  </si>
  <si>
    <t>EU</t>
  </si>
  <si>
    <t>EU+</t>
  </si>
  <si>
    <t>Europe</t>
  </si>
  <si>
    <t>IND</t>
  </si>
  <si>
    <t>India</t>
  </si>
  <si>
    <t>SouthernAsia</t>
  </si>
  <si>
    <t>RUS</t>
  </si>
  <si>
    <t>Russia</t>
  </si>
  <si>
    <t>REF</t>
  </si>
  <si>
    <t>JPN</t>
  </si>
  <si>
    <t>Japan</t>
  </si>
  <si>
    <t>IRN</t>
  </si>
  <si>
    <t>Iran, Islamic Republic of</t>
  </si>
  <si>
    <t>Middle East</t>
  </si>
  <si>
    <t>MEA</t>
  </si>
  <si>
    <t>MAF</t>
  </si>
  <si>
    <t>ASM</t>
  </si>
  <si>
    <t>American Samoa</t>
  </si>
  <si>
    <t>RestofOceania</t>
  </si>
  <si>
    <t>NA</t>
  </si>
  <si>
    <t>Australia and NZ</t>
  </si>
  <si>
    <t>SAU</t>
  </si>
  <si>
    <t>Saudi Arabia</t>
  </si>
  <si>
    <t>IDN</t>
  </si>
  <si>
    <t>Indonesia</t>
  </si>
  <si>
    <t>RestofSouthAsia</t>
  </si>
  <si>
    <t>OAS</t>
  </si>
  <si>
    <t>KOR</t>
  </si>
  <si>
    <t>South Korea</t>
  </si>
  <si>
    <t>CAN</t>
  </si>
  <si>
    <t>Canada</t>
  </si>
  <si>
    <t>BRA</t>
  </si>
  <si>
    <t>Brazil</t>
  </si>
  <si>
    <t>SouthernAmerica</t>
  </si>
  <si>
    <t>LAM</t>
  </si>
  <si>
    <t>ZAF</t>
  </si>
  <si>
    <t>SouthAfrica</t>
  </si>
  <si>
    <t>Africa</t>
  </si>
  <si>
    <t>AFR</t>
  </si>
  <si>
    <t>TUR</t>
  </si>
  <si>
    <t>Turkey</t>
  </si>
  <si>
    <t>Rest of Western Asia</t>
  </si>
  <si>
    <t>AUS</t>
  </si>
  <si>
    <t>Australia</t>
  </si>
  <si>
    <t>ANZ</t>
  </si>
  <si>
    <t>MEX</t>
  </si>
  <si>
    <t>Mexico</t>
  </si>
  <si>
    <t>Other Americas</t>
  </si>
  <si>
    <t>OAM</t>
  </si>
  <si>
    <t>VNM</t>
  </si>
  <si>
    <t>VietNam</t>
  </si>
  <si>
    <t>BMU</t>
  </si>
  <si>
    <t>Bermuda</t>
  </si>
  <si>
    <t>RestofNorthAmerica</t>
  </si>
  <si>
    <t>GBR</t>
  </si>
  <si>
    <t>United Kingdom</t>
  </si>
  <si>
    <t>KAZ</t>
  </si>
  <si>
    <t>Kazakhstan</t>
  </si>
  <si>
    <t>RestofEastAsia</t>
  </si>
  <si>
    <t>THA</t>
  </si>
  <si>
    <t>Thailand</t>
  </si>
  <si>
    <t>MYS</t>
  </si>
  <si>
    <t>Malaysia</t>
  </si>
  <si>
    <t>EGY</t>
  </si>
  <si>
    <t>Egypt</t>
  </si>
  <si>
    <t>PAK</t>
  </si>
  <si>
    <t>Pakistan</t>
  </si>
  <si>
    <t>UKR</t>
  </si>
  <si>
    <t>Ukraine</t>
  </si>
  <si>
    <t>REU</t>
  </si>
  <si>
    <t>ARE</t>
  </si>
  <si>
    <t>United Arab Emirates</t>
  </si>
  <si>
    <t>IRQ</t>
  </si>
  <si>
    <t>Iraq</t>
  </si>
  <si>
    <t>DZA</t>
  </si>
  <si>
    <t>Algeria</t>
  </si>
  <si>
    <t>RestofNorthAfrica</t>
  </si>
  <si>
    <t>ARG</t>
  </si>
  <si>
    <t>Argentina</t>
  </si>
  <si>
    <t>PHL</t>
  </si>
  <si>
    <t>Philippines</t>
  </si>
  <si>
    <t>COK</t>
  </si>
  <si>
    <t>Cook Islands</t>
  </si>
  <si>
    <t>NGA</t>
  </si>
  <si>
    <t>Nigeria</t>
  </si>
  <si>
    <t>UZB</t>
  </si>
  <si>
    <t>Uzbekistan</t>
  </si>
  <si>
    <t>RestofFormerSovietUnion</t>
  </si>
  <si>
    <t>KWT</t>
  </si>
  <si>
    <t>Kuwait</t>
  </si>
  <si>
    <t>QAT</t>
  </si>
  <si>
    <t>Qatar</t>
  </si>
  <si>
    <t>BGD</t>
  </si>
  <si>
    <t>Bangladesh</t>
  </si>
  <si>
    <t>COL</t>
  </si>
  <si>
    <t>Colombia</t>
  </si>
  <si>
    <t>CHL</t>
  </si>
  <si>
    <t>Chile</t>
  </si>
  <si>
    <t>VEN</t>
  </si>
  <si>
    <t>Venezuela</t>
  </si>
  <si>
    <t>OMN</t>
  </si>
  <si>
    <t>Oman</t>
  </si>
  <si>
    <t>MAR</t>
  </si>
  <si>
    <t>Morocco</t>
  </si>
  <si>
    <t>ESH</t>
  </si>
  <si>
    <t>Western Sahara</t>
  </si>
  <si>
    <t>BLR</t>
  </si>
  <si>
    <t>Belarus</t>
  </si>
  <si>
    <t>ISR</t>
  </si>
  <si>
    <t>Israel</t>
  </si>
  <si>
    <t>MNG</t>
  </si>
  <si>
    <t>Mongolia</t>
  </si>
  <si>
    <t>FLK</t>
  </si>
  <si>
    <t>Falkland</t>
  </si>
  <si>
    <t>RestofSouthAmerica</t>
  </si>
  <si>
    <t>FRO</t>
  </si>
  <si>
    <t>Faroe Islands</t>
  </si>
  <si>
    <t>PER</t>
  </si>
  <si>
    <t>Peru</t>
  </si>
  <si>
    <t>SRB</t>
  </si>
  <si>
    <t>Serbia</t>
  </si>
  <si>
    <t>BHR</t>
  </si>
  <si>
    <t>Bahrain</t>
  </si>
  <si>
    <t>AZE</t>
  </si>
  <si>
    <t>Azerbaijan</t>
  </si>
  <si>
    <t>GGY</t>
  </si>
  <si>
    <t>Guernsey</t>
  </si>
  <si>
    <t>MMR</t>
  </si>
  <si>
    <t>Myanmar</t>
  </si>
  <si>
    <t>RestofSoutheastAsia</t>
  </si>
  <si>
    <t>GIB</t>
  </si>
  <si>
    <t>Gibraltar</t>
  </si>
  <si>
    <t>TTO</t>
  </si>
  <si>
    <t>TrinidadandTobago</t>
  </si>
  <si>
    <t>IRL</t>
  </si>
  <si>
    <t>Ireland</t>
  </si>
  <si>
    <t>ECU</t>
  </si>
  <si>
    <t>Ecuador</t>
  </si>
  <si>
    <t>NZL</t>
  </si>
  <si>
    <t>NewZealand</t>
  </si>
  <si>
    <t>GRL</t>
  </si>
  <si>
    <t>Greenland</t>
  </si>
  <si>
    <t>SGP</t>
  </si>
  <si>
    <t>Singapore</t>
  </si>
  <si>
    <t>GUF</t>
  </si>
  <si>
    <t>French Guiana</t>
  </si>
  <si>
    <t>GUM</t>
  </si>
  <si>
    <t>Guam</t>
  </si>
  <si>
    <t>TUN</t>
  </si>
  <si>
    <t>Tunisia</t>
  </si>
  <si>
    <t>DOM</t>
  </si>
  <si>
    <t>DominicanRepublic</t>
  </si>
  <si>
    <t>JOR</t>
  </si>
  <si>
    <t>Jordan</t>
  </si>
  <si>
    <t>IMN</t>
  </si>
  <si>
    <t>Isle of Man</t>
  </si>
  <si>
    <t>LBN</t>
  </si>
  <si>
    <t>Lebanon</t>
  </si>
  <si>
    <t>LKA</t>
  </si>
  <si>
    <t>SriLanka</t>
  </si>
  <si>
    <t>BOL</t>
  </si>
  <si>
    <t>Bolivia</t>
  </si>
  <si>
    <t>BIH</t>
  </si>
  <si>
    <t>Bosnia and Herzegovina</t>
  </si>
  <si>
    <t>LAO</t>
  </si>
  <si>
    <t>LaoPeople'sDemocraticRepublic</t>
  </si>
  <si>
    <t>AGO</t>
  </si>
  <si>
    <t>Angola</t>
  </si>
  <si>
    <t>SouthCentralAfrica</t>
  </si>
  <si>
    <t>JEY</t>
  </si>
  <si>
    <t>Jersey</t>
  </si>
  <si>
    <t>GHA</t>
  </si>
  <si>
    <t>Ghana</t>
  </si>
  <si>
    <t>KHM</t>
  </si>
  <si>
    <t>Cambodia</t>
  </si>
  <si>
    <t>KEN</t>
  </si>
  <si>
    <t>Kenya</t>
  </si>
  <si>
    <t>GTM</t>
  </si>
  <si>
    <t>Guatemala</t>
  </si>
  <si>
    <t>ETH</t>
  </si>
  <si>
    <t>Ethiopia</t>
  </si>
  <si>
    <t>NPL</t>
  </si>
  <si>
    <t>Nepal</t>
  </si>
  <si>
    <t>SEN</t>
  </si>
  <si>
    <t>Senegal</t>
  </si>
  <si>
    <t>TZA</t>
  </si>
  <si>
    <t>TanzaniaUnitedRepublicof</t>
  </si>
  <si>
    <t>AFG</t>
  </si>
  <si>
    <t>Afghanistan</t>
  </si>
  <si>
    <t>PAN</t>
  </si>
  <si>
    <t>Panama</t>
  </si>
  <si>
    <t>CIV</t>
  </si>
  <si>
    <t>Coted'Ivoire</t>
  </si>
  <si>
    <t>GEO</t>
  </si>
  <si>
    <t>Georgia</t>
  </si>
  <si>
    <t>LBY</t>
  </si>
  <si>
    <t>Libya</t>
  </si>
  <si>
    <t>ZWE</t>
  </si>
  <si>
    <t>Zimbabwe</t>
  </si>
  <si>
    <t>BRN</t>
  </si>
  <si>
    <t>BruneiDarussalam</t>
  </si>
  <si>
    <t>MAC</t>
  </si>
  <si>
    <t>Macao</t>
  </si>
  <si>
    <t>HND</t>
  </si>
  <si>
    <t>Honduras</t>
  </si>
  <si>
    <t>MCO</t>
  </si>
  <si>
    <t>Monaco</t>
  </si>
  <si>
    <t>TJK</t>
  </si>
  <si>
    <t>Tajikistan</t>
  </si>
  <si>
    <t>CMR</t>
  </si>
  <si>
    <t>Cameroon</t>
  </si>
  <si>
    <t>KGZ</t>
  </si>
  <si>
    <t>Kyrgyzstan</t>
  </si>
  <si>
    <t>PNG</t>
  </si>
  <si>
    <t>Papua New Guinea</t>
  </si>
  <si>
    <t>PRY</t>
  </si>
  <si>
    <t>Paraguay</t>
  </si>
  <si>
    <t>ZMB</t>
  </si>
  <si>
    <t>Zambia</t>
  </si>
  <si>
    <t>BEN</t>
  </si>
  <si>
    <t>Benin</t>
  </si>
  <si>
    <t>CRI</t>
  </si>
  <si>
    <t>CostaRica</t>
  </si>
  <si>
    <t>JAM</t>
  </si>
  <si>
    <t>Jamaica</t>
  </si>
  <si>
    <t>MOZ</t>
  </si>
  <si>
    <t>Mozambique</t>
  </si>
  <si>
    <t>MNP</t>
  </si>
  <si>
    <t>Northern Mariana Islands</t>
  </si>
  <si>
    <t>MKD</t>
  </si>
  <si>
    <t>Macedonia</t>
  </si>
  <si>
    <t>SLV</t>
  </si>
  <si>
    <t>ElSalvador</t>
  </si>
  <si>
    <t>ARM</t>
  </si>
  <si>
    <t>Armenia</t>
  </si>
  <si>
    <t>URY</t>
  </si>
  <si>
    <t>Uruguay</t>
  </si>
  <si>
    <t>BWA</t>
  </si>
  <si>
    <t>Botswana</t>
  </si>
  <si>
    <t>MYT</t>
  </si>
  <si>
    <t>Mayotte</t>
  </si>
  <si>
    <t>RestofEasternAfrica</t>
  </si>
  <si>
    <t>GAB</t>
  </si>
  <si>
    <t>Gabon</t>
  </si>
  <si>
    <t>CentralAfrica</t>
  </si>
  <si>
    <t>NCL</t>
  </si>
  <si>
    <t>New Caledonia</t>
  </si>
  <si>
    <t>UGA</t>
  </si>
  <si>
    <t>Uganda</t>
  </si>
  <si>
    <t>BFA</t>
  </si>
  <si>
    <t>BurkinaFaso</t>
  </si>
  <si>
    <t>MDA</t>
  </si>
  <si>
    <t>Moldova</t>
  </si>
  <si>
    <t>NIU</t>
  </si>
  <si>
    <t>Niue</t>
  </si>
  <si>
    <t>GNQ</t>
  </si>
  <si>
    <t>Equatorial Guinea</t>
  </si>
  <si>
    <t>ALB</t>
  </si>
  <si>
    <t>Albania</t>
  </si>
  <si>
    <t>NIC</t>
  </si>
  <si>
    <t>Nicaragua</t>
  </si>
  <si>
    <t>GIN</t>
  </si>
  <si>
    <t>Guinea</t>
  </si>
  <si>
    <t>MUS</t>
  </si>
  <si>
    <t>Mauritius</t>
  </si>
  <si>
    <t>MDG</t>
  </si>
  <si>
    <t>Madagascar</t>
  </si>
  <si>
    <t>PCN</t>
  </si>
  <si>
    <t>Pitcairn</t>
  </si>
  <si>
    <t>NAM</t>
  </si>
  <si>
    <t>Namibia</t>
  </si>
  <si>
    <t>MLI</t>
  </si>
  <si>
    <t>Mali</t>
  </si>
  <si>
    <t>RestofWesternAfrica</t>
  </si>
  <si>
    <t>MRT</t>
  </si>
  <si>
    <t>Mauritania</t>
  </si>
  <si>
    <t>GUY</t>
  </si>
  <si>
    <t>Guyana</t>
  </si>
  <si>
    <t>PRI</t>
  </si>
  <si>
    <t>PuertoRico</t>
  </si>
  <si>
    <t>PRK</t>
  </si>
  <si>
    <t>North Korea</t>
  </si>
  <si>
    <t>PSE</t>
  </si>
  <si>
    <t>Palestine</t>
  </si>
  <si>
    <t>SUR</t>
  </si>
  <si>
    <t>Suriname</t>
  </si>
  <si>
    <t>PYF</t>
  </si>
  <si>
    <t>French Polynesia</t>
  </si>
  <si>
    <t>NER</t>
  </si>
  <si>
    <t>Niger</t>
  </si>
  <si>
    <t>COD</t>
  </si>
  <si>
    <t>Congo</t>
  </si>
  <si>
    <t>MNE</t>
  </si>
  <si>
    <t>Montenegro</t>
  </si>
  <si>
    <t>TGO</t>
  </si>
  <si>
    <t>Togo</t>
  </si>
  <si>
    <t>LSO</t>
  </si>
  <si>
    <t>Lesotho</t>
  </si>
  <si>
    <t>RestofSouthAfricanCustomsUnion</t>
  </si>
  <si>
    <t>MDV</t>
  </si>
  <si>
    <t>Maldives</t>
  </si>
  <si>
    <t>TCD</t>
  </si>
  <si>
    <t>Chad</t>
  </si>
  <si>
    <t>SGS</t>
  </si>
  <si>
    <t>South Georgia and the South Sandwich Islands</t>
  </si>
  <si>
    <t>SHN</t>
  </si>
  <si>
    <t>Saint Helena</t>
  </si>
  <si>
    <t>RWA</t>
  </si>
  <si>
    <t>Rwanda</t>
  </si>
  <si>
    <t>BTN</t>
  </si>
  <si>
    <t>Bhutan</t>
  </si>
  <si>
    <t>SDN</t>
  </si>
  <si>
    <t>Sudan</t>
  </si>
  <si>
    <t>SMR</t>
  </si>
  <si>
    <t>San Marino</t>
  </si>
  <si>
    <t>MWI</t>
  </si>
  <si>
    <t>Malawi</t>
  </si>
  <si>
    <t>SPM</t>
  </si>
  <si>
    <t>Saint Pierre and Miquelon</t>
  </si>
  <si>
    <t>FJI</t>
  </si>
  <si>
    <t>Fiji</t>
  </si>
  <si>
    <t>SLE</t>
  </si>
  <si>
    <t>Sierra Leone</t>
  </si>
  <si>
    <t>LBR</t>
  </si>
  <si>
    <t>Liberia</t>
  </si>
  <si>
    <t>SWZ</t>
  </si>
  <si>
    <t>Eswatini</t>
  </si>
  <si>
    <t>ERI</t>
  </si>
  <si>
    <t>Eritrea</t>
  </si>
  <si>
    <t>SYR</t>
  </si>
  <si>
    <t>Syria</t>
  </si>
  <si>
    <t>TLS</t>
  </si>
  <si>
    <t>Timor-Leste</t>
  </si>
  <si>
    <t>BDI</t>
  </si>
  <si>
    <t>Burundi</t>
  </si>
  <si>
    <t>CPV</t>
  </si>
  <si>
    <t>Cape Verde</t>
  </si>
  <si>
    <t>BLZ</t>
  </si>
  <si>
    <t>Belize</t>
  </si>
  <si>
    <t>RestofCentralAmerica</t>
  </si>
  <si>
    <t>TKL</t>
  </si>
  <si>
    <t>Tokelau</t>
  </si>
  <si>
    <t>TKM</t>
  </si>
  <si>
    <t>Turkmenistan</t>
  </si>
  <si>
    <t>GMB</t>
  </si>
  <si>
    <t>Gambia</t>
  </si>
  <si>
    <t>SOM</t>
  </si>
  <si>
    <t>Somalia</t>
  </si>
  <si>
    <t>SYC</t>
  </si>
  <si>
    <t>Seychelles</t>
  </si>
  <si>
    <t>AND</t>
  </si>
  <si>
    <t>Andorra</t>
  </si>
  <si>
    <t>DJI</t>
  </si>
  <si>
    <t>Djibouti</t>
  </si>
  <si>
    <t>GNB</t>
  </si>
  <si>
    <t>Guinea-Bissau</t>
  </si>
  <si>
    <t>TWN</t>
  </si>
  <si>
    <t>Taiwan</t>
  </si>
  <si>
    <t>SLB</t>
  </si>
  <si>
    <t>Solomon Islands</t>
  </si>
  <si>
    <t>WSM</t>
  </si>
  <si>
    <t>Samoa</t>
  </si>
  <si>
    <t>COM</t>
  </si>
  <si>
    <t>Comoros</t>
  </si>
  <si>
    <t>UMI</t>
  </si>
  <si>
    <t>United States Minor Outlying Islands</t>
  </si>
  <si>
    <t>PLW</t>
  </si>
  <si>
    <t>Palau</t>
  </si>
  <si>
    <t>CAF</t>
  </si>
  <si>
    <t>Central African Republic</t>
  </si>
  <si>
    <t>TON</t>
  </si>
  <si>
    <t>Tonga</t>
  </si>
  <si>
    <t>VAT</t>
  </si>
  <si>
    <t>Holy See</t>
  </si>
  <si>
    <t>VUT</t>
  </si>
  <si>
    <t>Vanuatu</t>
  </si>
  <si>
    <t>FSM</t>
  </si>
  <si>
    <t>Micronesia</t>
  </si>
  <si>
    <t>MHL</t>
  </si>
  <si>
    <t>Marshall Islands</t>
  </si>
  <si>
    <t>WLF</t>
  </si>
  <si>
    <t>Wallis and Futuna Islands</t>
  </si>
  <si>
    <t>STP</t>
  </si>
  <si>
    <t>Sao Tome and Principe</t>
  </si>
  <si>
    <t>XCB</t>
  </si>
  <si>
    <t>Caribbean</t>
  </si>
  <si>
    <t>YEM</t>
  </si>
  <si>
    <t>Yemen</t>
  </si>
  <si>
    <t>KIR</t>
  </si>
  <si>
    <t>Kiribati</t>
  </si>
  <si>
    <t>NRU</t>
  </si>
  <si>
    <t>Nauru</t>
  </si>
  <si>
    <t>TUV</t>
  </si>
  <si>
    <t>Tuvalu</t>
  </si>
  <si>
    <t>Great Britain + Ireland</t>
  </si>
  <si>
    <t>EU29</t>
  </si>
  <si>
    <t>Aust/NZ</t>
  </si>
  <si>
    <t>Other Americans</t>
  </si>
  <si>
    <t>Rest Europe (nonETS)</t>
  </si>
  <si>
    <t>Target_Emissions_+CDR_+new targets</t>
  </si>
  <si>
    <t>&lt;-Reduction</t>
  </si>
  <si>
    <t>Permit Price PI:</t>
  </si>
  <si>
    <t>&lt;- SUM Emissions</t>
  </si>
  <si>
    <t>BAU_2030</t>
  </si>
  <si>
    <t>Target</t>
  </si>
  <si>
    <t>Denom</t>
  </si>
  <si>
    <t>NomMin</t>
  </si>
  <si>
    <t>NomMax</t>
  </si>
  <si>
    <t>EmissionsMin</t>
  </si>
  <si>
    <t>EmissionsMax</t>
  </si>
  <si>
    <t>PermitsMin</t>
  </si>
  <si>
    <t>PermitsMax</t>
  </si>
  <si>
    <t>ReductionCost</t>
  </si>
  <si>
    <t>CO2</t>
  </si>
  <si>
    <t>Reduction</t>
  </si>
  <si>
    <t>AC</t>
  </si>
  <si>
    <t>P*Permits</t>
  </si>
  <si>
    <t>AC+Pi*Permits</t>
  </si>
  <si>
    <t>[10^9 $]</t>
  </si>
  <si>
    <t>MAC(target_min)</t>
  </si>
  <si>
    <t>MIN</t>
  </si>
  <si>
    <t>[Mrd $ =Bn $ =10^9 $]</t>
  </si>
  <si>
    <t>[Mrd. $ = Bn $]</t>
  </si>
  <si>
    <t>Model with CDR</t>
  </si>
  <si>
    <t>Reduction Cost</t>
  </si>
  <si>
    <t>vs. (no trade):</t>
  </si>
  <si>
    <t>BASELINE (no CDR)</t>
  </si>
  <si>
    <t>country</t>
  </si>
  <si>
    <t>low_2020</t>
  </si>
  <si>
    <t>high_2020</t>
  </si>
  <si>
    <t>low_2030</t>
  </si>
  <si>
    <t>high_2030</t>
  </si>
  <si>
    <t>low_ratio_2030/2020</t>
  </si>
  <si>
    <t>high_ratio_2030/2020</t>
  </si>
  <si>
    <t>low_ratio</t>
  </si>
  <si>
    <t>high_ratio</t>
  </si>
  <si>
    <t>South Africa</t>
  </si>
  <si>
    <t>Summe</t>
  </si>
  <si>
    <t xml:space="preserve">Nicht drin: </t>
  </si>
  <si>
    <t>Côte d'Ivoire</t>
  </si>
  <si>
    <t>NI</t>
  </si>
  <si>
    <t>Tanzania, United Republic of</t>
  </si>
  <si>
    <t>Burkina Faso</t>
  </si>
  <si>
    <t>N/A</t>
  </si>
  <si>
    <t>New Zealand</t>
  </si>
  <si>
    <t>United Kingdom of Great Britain and Northern Ireland (the)</t>
  </si>
  <si>
    <t>Korea (the Republic of)</t>
  </si>
  <si>
    <t>United Arab Emirates (the)</t>
  </si>
  <si>
    <t/>
  </si>
  <si>
    <t>Iran (Islamic Republic of)</t>
  </si>
  <si>
    <t>Cyprus</t>
  </si>
  <si>
    <t>CYP</t>
  </si>
  <si>
    <t>Czechia</t>
  </si>
  <si>
    <t>CZE</t>
  </si>
  <si>
    <t>Finland</t>
  </si>
  <si>
    <t>FIN</t>
  </si>
  <si>
    <t>Grenada</t>
  </si>
  <si>
    <t>GRD</t>
  </si>
  <si>
    <t>Germany</t>
  </si>
  <si>
    <t>DEU</t>
  </si>
  <si>
    <t>Luxembourg</t>
  </si>
  <si>
    <t>LUX</t>
  </si>
  <si>
    <t>Netherlands (the)</t>
  </si>
  <si>
    <t>NLD</t>
  </si>
  <si>
    <t>Antigua and Barbuda</t>
  </si>
  <si>
    <t>ATG</t>
  </si>
  <si>
    <t>Haiti</t>
  </si>
  <si>
    <t>HTI</t>
  </si>
  <si>
    <t>Poland</t>
  </si>
  <si>
    <t>POL</t>
  </si>
  <si>
    <t>Bahamas (the)</t>
  </si>
  <si>
    <t>BHS</t>
  </si>
  <si>
    <t>Norway</t>
  </si>
  <si>
    <t>NOR</t>
  </si>
  <si>
    <t>Saint Vincent and the Grenadines</t>
  </si>
  <si>
    <t>VCT</t>
  </si>
  <si>
    <t>Slovenia</t>
  </si>
  <si>
    <t>SVN</t>
  </si>
  <si>
    <t>Portugal</t>
  </si>
  <si>
    <t>PRT</t>
  </si>
  <si>
    <t>Bulgaria</t>
  </si>
  <si>
    <t>BGR</t>
  </si>
  <si>
    <t>Latvia</t>
  </si>
  <si>
    <t>LVA</t>
  </si>
  <si>
    <t>Slovakia</t>
  </si>
  <si>
    <t>SVK</t>
  </si>
  <si>
    <t>Barbados</t>
  </si>
  <si>
    <t>BRB</t>
  </si>
  <si>
    <t>Cuba</t>
  </si>
  <si>
    <t>CUB</t>
  </si>
  <si>
    <t>Denmark</t>
  </si>
  <si>
    <t>DNK</t>
  </si>
  <si>
    <t>France</t>
  </si>
  <si>
    <t>FRA</t>
  </si>
  <si>
    <t>Liechtenstein</t>
  </si>
  <si>
    <t>LIE</t>
  </si>
  <si>
    <t>Spain</t>
  </si>
  <si>
    <t>ESP</t>
  </si>
  <si>
    <t>Iceland</t>
  </si>
  <si>
    <t>ISL</t>
  </si>
  <si>
    <t>Estonia</t>
  </si>
  <si>
    <t>EST</t>
  </si>
  <si>
    <t>Croatia</t>
  </si>
  <si>
    <t>HRV</t>
  </si>
  <si>
    <t>Lithuania</t>
  </si>
  <si>
    <t>LTU</t>
  </si>
  <si>
    <t>Saint Kitts and Nevis</t>
  </si>
  <si>
    <t>KNA</t>
  </si>
  <si>
    <t>Malta</t>
  </si>
  <si>
    <t>MLT</t>
  </si>
  <si>
    <t>South Sudan</t>
  </si>
  <si>
    <t>SSD</t>
  </si>
  <si>
    <t>Austria</t>
  </si>
  <si>
    <t>AUT</t>
  </si>
  <si>
    <t>Switzerland</t>
  </si>
  <si>
    <t>CHE</t>
  </si>
  <si>
    <t>Italy</t>
  </si>
  <si>
    <t>ITA</t>
  </si>
  <si>
    <t>Greece</t>
  </si>
  <si>
    <t>GRC</t>
  </si>
  <si>
    <t>Dominica</t>
  </si>
  <si>
    <t>DMA</t>
  </si>
  <si>
    <t>Belgium</t>
  </si>
  <si>
    <t>BEL</t>
  </si>
  <si>
    <t>Romania</t>
  </si>
  <si>
    <t>ROU</t>
  </si>
  <si>
    <t>Saint Lucia</t>
  </si>
  <si>
    <t>LCA</t>
  </si>
  <si>
    <t>Sweden</t>
  </si>
  <si>
    <t>SWE</t>
  </si>
  <si>
    <t>Hungary</t>
  </si>
  <si>
    <t>HUN</t>
  </si>
  <si>
    <t>El Salvador</t>
  </si>
  <si>
    <t>Dominican Republic (the)</t>
  </si>
  <si>
    <t>Trinidad and Tobago</t>
  </si>
  <si>
    <t>Bolivia (Plurinational State of)</t>
  </si>
  <si>
    <t>Costa Rica</t>
  </si>
  <si>
    <t>Venezuela (Bolivarian Republic of)</t>
  </si>
  <si>
    <t>Philippines (the)</t>
  </si>
  <si>
    <t>Sri Lanka</t>
  </si>
  <si>
    <t>Brunei Darussalam</t>
  </si>
  <si>
    <t>Lao People's Democratic Republic (the)</t>
  </si>
  <si>
    <t>Viet Nam</t>
  </si>
  <si>
    <t>Russian Federation (the)</t>
  </si>
  <si>
    <t>United States of America (the)</t>
  </si>
  <si>
    <t>Note: no ambition entry for LBY (country currently missing in overview)</t>
  </si>
  <si>
    <t>0</t>
  </si>
  <si>
    <t>2. Choose yes or no in J22</t>
  </si>
  <si>
    <t>2. Choose yes or no in M22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</si>
</sst>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4" formatCode="_-* #,##0.00\ &quot;€&quot;_-;\-* #,##0.00\ &quot;€&quot;_-;_-* &quot;-&quot;??\ &quot;€&quot;_-;_-@_-"/>
    <numFmt numFmtId="164" formatCode="_-[$$-409]* #,##0.00_ ;_-[$$-409]* \-#,##0.00\ ;_-[$$-409]* &quot;-&quot;??_ ;_-@_ "/>
    <numFmt numFmtId="165" formatCode="0.0%"/>
    <numFmt numFmtId="166" formatCode="0.000000"/>
    <numFmt numFmtId="167" formatCode="0.000000000"/>
    <numFmt numFmtId="168" formatCode="[$$-409]#,##0.00"/>
    <numFmt numFmtId="169" formatCode="[$$-409]#,##0"/>
    <numFmt numFmtId="170" formatCode="0.0000"/>
    <numFmt numFmtId="171" formatCode="0.000"/>
    <numFmt numFmtId="172" formatCode="0.0E+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6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1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/>
      <top style="medium">
        <color rgb="FFFF0000"/>
      </top>
      <bottom/>
      <diagonal/>
    </border>
    <border>
      <left/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/>
      <top/>
      <bottom/>
      <diagonal/>
    </border>
    <border>
      <left style="medium">
        <color rgb="FFFF0000"/>
      </left>
      <right/>
      <top/>
      <bottom style="medium">
        <color rgb="FFFF0000"/>
      </bottom>
      <diagonal/>
    </border>
    <border>
      <left/>
      <right/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/>
      <top style="medium">
        <color rgb="FFFF0000"/>
      </top>
      <bottom style="medium">
        <color rgb="FFFF0000"/>
      </bottom>
      <diagonal/>
    </border>
    <border>
      <left/>
      <right/>
      <top style="medium">
        <color rgb="FFFF0000"/>
      </top>
      <bottom style="medium">
        <color rgb="FFFF0000"/>
      </bottom>
      <diagonal/>
    </border>
    <border>
      <left/>
      <right style="thin">
        <color indexed="64"/>
      </right>
      <top/>
      <bottom style="medium">
        <color rgb="FFFF0000"/>
      </bottom>
      <diagonal/>
    </border>
    <border>
      <left style="thin">
        <color indexed="64"/>
      </left>
      <right style="medium">
        <color rgb="FFFF0000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/>
      <diagonal/>
    </border>
    <border>
      <left style="medium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/>
      <top style="thin">
        <color indexed="64"/>
      </top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/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28">
    <xf numFmtId="0" fontId="0" fillId="0" borderId="0" xfId="0"/>
    <xf numFmtId="0" fontId="3" fillId="0" borderId="0" xfId="0" applyFont="1" applyAlignment="1">
      <alignment horizontal="left"/>
    </xf>
    <xf numFmtId="0" fontId="3" fillId="0" borderId="0" xfId="0" applyFont="1"/>
    <xf numFmtId="0" fontId="3" fillId="2" borderId="0" xfId="0" applyFont="1" applyFill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 applyAlignment="1">
      <alignment horizontal="left"/>
    </xf>
    <xf numFmtId="0" fontId="3" fillId="0" borderId="3" xfId="0" applyFont="1" applyBorder="1"/>
    <xf numFmtId="0" fontId="3" fillId="2" borderId="3" xfId="0" applyFont="1" applyFill="1" applyBorder="1"/>
    <xf numFmtId="0" fontId="3" fillId="0" borderId="4" xfId="0" applyFont="1" applyBorder="1"/>
    <xf numFmtId="0" fontId="3" fillId="0" borderId="5" xfId="0" applyFont="1" applyBorder="1"/>
    <xf numFmtId="17" fontId="3" fillId="0" borderId="3" xfId="0" applyNumberFormat="1" applyFont="1" applyBorder="1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6" xfId="0" applyBorder="1"/>
    <xf numFmtId="0" fontId="0" fillId="0" borderId="3" xfId="0" applyBorder="1"/>
    <xf numFmtId="0" fontId="0" fillId="2" borderId="3" xfId="0" applyFill="1" applyBorder="1"/>
    <xf numFmtId="0" fontId="0" fillId="0" borderId="4" xfId="0" applyBorder="1"/>
    <xf numFmtId="0" fontId="0" fillId="0" borderId="5" xfId="0" applyBorder="1"/>
    <xf numFmtId="0" fontId="3" fillId="3" borderId="0" xfId="0" applyFont="1" applyFill="1"/>
    <xf numFmtId="0" fontId="3" fillId="4" borderId="0" xfId="0" applyFont="1" applyFill="1"/>
    <xf numFmtId="0" fontId="3" fillId="5" borderId="0" xfId="0" applyFont="1" applyFill="1"/>
    <xf numFmtId="0" fontId="4" fillId="5" borderId="0" xfId="0" applyFont="1" applyFill="1"/>
    <xf numFmtId="0" fontId="3" fillId="5" borderId="0" xfId="0" applyFont="1" applyFill="1" applyAlignment="1">
      <alignment horizontal="right"/>
    </xf>
    <xf numFmtId="0" fontId="3" fillId="6" borderId="0" xfId="0" applyFont="1" applyFill="1"/>
    <xf numFmtId="0" fontId="3" fillId="7" borderId="0" xfId="0" applyFont="1" applyFill="1"/>
    <xf numFmtId="0" fontId="0" fillId="5" borderId="0" xfId="0" applyFill="1"/>
    <xf numFmtId="0" fontId="4" fillId="5" borderId="0" xfId="0" applyFont="1" applyFill="1" applyAlignment="1">
      <alignment horizontal="left"/>
    </xf>
    <xf numFmtId="17" fontId="3" fillId="0" borderId="0" xfId="0" applyNumberFormat="1" applyFont="1"/>
    <xf numFmtId="0" fontId="0" fillId="3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3" fillId="8" borderId="0" xfId="0" applyFont="1" applyFill="1"/>
    <xf numFmtId="0" fontId="0" fillId="8" borderId="0" xfId="0" applyFill="1"/>
    <xf numFmtId="0" fontId="3" fillId="9" borderId="0" xfId="0" applyFont="1" applyFill="1"/>
    <xf numFmtId="0" fontId="0" fillId="9" borderId="0" xfId="0" applyFill="1"/>
    <xf numFmtId="0" fontId="3" fillId="10" borderId="0" xfId="0" applyFont="1" applyFill="1"/>
    <xf numFmtId="0" fontId="0" fillId="10" borderId="0" xfId="0" applyFill="1"/>
    <xf numFmtId="0" fontId="3" fillId="11" borderId="0" xfId="0" applyFont="1" applyFill="1"/>
    <xf numFmtId="0" fontId="0" fillId="11" borderId="0" xfId="0" applyFill="1"/>
    <xf numFmtId="0" fontId="3" fillId="12" borderId="0" xfId="0" applyFont="1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3" fillId="14" borderId="0" xfId="0" applyFont="1" applyFill="1"/>
    <xf numFmtId="0" fontId="0" fillId="14" borderId="0" xfId="0" applyFill="1"/>
    <xf numFmtId="0" fontId="3" fillId="15" borderId="0" xfId="0" applyFont="1" applyFill="1"/>
    <xf numFmtId="0" fontId="0" fillId="15" borderId="0" xfId="0" applyFill="1"/>
    <xf numFmtId="0" fontId="3" fillId="15" borderId="3" xfId="0" applyFont="1" applyFill="1" applyBorder="1"/>
    <xf numFmtId="0" fontId="3" fillId="13" borderId="3" xfId="0" applyFont="1" applyFill="1" applyBorder="1"/>
    <xf numFmtId="0" fontId="0" fillId="15" borderId="3" xfId="0" applyFill="1" applyBorder="1"/>
    <xf numFmtId="0" fontId="0" fillId="13" borderId="3" xfId="0" applyFill="1" applyBorder="1"/>
    <xf numFmtId="0" fontId="0" fillId="13" borderId="1" xfId="0" applyFill="1" applyBorder="1"/>
    <xf numFmtId="0" fontId="3" fillId="13" borderId="4" xfId="0" applyFont="1" applyFill="1" applyBorder="1"/>
    <xf numFmtId="0" fontId="0" fillId="13" borderId="4" xfId="0" applyFill="1" applyBorder="1"/>
    <xf numFmtId="0" fontId="3" fillId="15" borderId="8" xfId="0" applyFont="1" applyFill="1" applyBorder="1"/>
    <xf numFmtId="0" fontId="0" fillId="15" borderId="7" xfId="0" applyFill="1" applyBorder="1"/>
    <xf numFmtId="164" fontId="3" fillId="7" borderId="0" xfId="1" applyNumberFormat="1" applyFont="1" applyFill="1"/>
    <xf numFmtId="0" fontId="2" fillId="16" borderId="0" xfId="0" applyFont="1" applyFill="1"/>
    <xf numFmtId="0" fontId="5" fillId="16" borderId="0" xfId="0" applyFont="1" applyFill="1"/>
    <xf numFmtId="0" fontId="3" fillId="15" borderId="7" xfId="0" applyFont="1" applyFill="1" applyBorder="1"/>
    <xf numFmtId="0" fontId="0" fillId="16" borderId="0" xfId="0" applyFill="1"/>
    <xf numFmtId="164" fontId="0" fillId="0" borderId="0" xfId="0" applyNumberFormat="1"/>
    <xf numFmtId="164" fontId="0" fillId="0" borderId="0" xfId="1" applyNumberFormat="1" applyFont="1"/>
    <xf numFmtId="0" fontId="3" fillId="5" borderId="9" xfId="0" applyFont="1" applyFill="1" applyBorder="1"/>
    <xf numFmtId="0" fontId="3" fillId="5" borderId="10" xfId="0" applyFont="1" applyFill="1" applyBorder="1"/>
    <xf numFmtId="0" fontId="3" fillId="5" borderId="11" xfId="0" applyFont="1" applyFill="1" applyBorder="1"/>
    <xf numFmtId="0" fontId="3" fillId="7" borderId="13" xfId="0" applyFont="1" applyFill="1" applyBorder="1"/>
    <xf numFmtId="0" fontId="0" fillId="7" borderId="13" xfId="0" applyFill="1" applyBorder="1"/>
    <xf numFmtId="0" fontId="2" fillId="16" borderId="12" xfId="0" applyFont="1" applyFill="1" applyBorder="1"/>
    <xf numFmtId="0" fontId="2" fillId="16" borderId="13" xfId="0" applyFont="1" applyFill="1" applyBorder="1"/>
    <xf numFmtId="0" fontId="0" fillId="7" borderId="15" xfId="0" applyFill="1" applyBorder="1"/>
    <xf numFmtId="0" fontId="0" fillId="7" borderId="16" xfId="0" applyFill="1" applyBorder="1"/>
    <xf numFmtId="0" fontId="3" fillId="6" borderId="12" xfId="0" applyFont="1" applyFill="1" applyBorder="1"/>
    <xf numFmtId="0" fontId="0" fillId="6" borderId="12" xfId="0" applyFill="1" applyBorder="1"/>
    <xf numFmtId="0" fontId="0" fillId="6" borderId="14" xfId="0" applyFill="1" applyBorder="1"/>
    <xf numFmtId="0" fontId="3" fillId="5" borderId="12" xfId="0" applyFont="1" applyFill="1" applyBorder="1"/>
    <xf numFmtId="0" fontId="0" fillId="5" borderId="12" xfId="0" applyFill="1" applyBorder="1"/>
    <xf numFmtId="0" fontId="0" fillId="5" borderId="14" xfId="0" applyFill="1" applyBorder="1"/>
    <xf numFmtId="0" fontId="0" fillId="6" borderId="15" xfId="0" applyFill="1" applyBorder="1"/>
    <xf numFmtId="0" fontId="5" fillId="16" borderId="12" xfId="0" applyFont="1" applyFill="1" applyBorder="1"/>
    <xf numFmtId="0" fontId="0" fillId="5" borderId="15" xfId="0" applyFill="1" applyBorder="1"/>
    <xf numFmtId="0" fontId="3" fillId="5" borderId="13" xfId="0" applyFont="1" applyFill="1" applyBorder="1"/>
    <xf numFmtId="0" fontId="0" fillId="13" borderId="18" xfId="0" applyFill="1" applyBorder="1"/>
    <xf numFmtId="0" fontId="0" fillId="13" borderId="6" xfId="0" applyFill="1" applyBorder="1"/>
    <xf numFmtId="0" fontId="0" fillId="0" borderId="17" xfId="0" applyBorder="1"/>
    <xf numFmtId="0" fontId="0" fillId="0" borderId="18" xfId="0" applyBorder="1"/>
    <xf numFmtId="0" fontId="0" fillId="0" borderId="7" xfId="0" applyBorder="1"/>
    <xf numFmtId="0" fontId="0" fillId="0" borderId="19" xfId="0" applyBorder="1"/>
    <xf numFmtId="165" fontId="0" fillId="0" borderId="0" xfId="2" applyNumberFormat="1" applyFont="1"/>
    <xf numFmtId="0" fontId="3" fillId="7" borderId="12" xfId="0" applyFont="1" applyFill="1" applyBorder="1"/>
    <xf numFmtId="0" fontId="0" fillId="7" borderId="12" xfId="0" applyFill="1" applyBorder="1"/>
    <xf numFmtId="166" fontId="0" fillId="6" borderId="0" xfId="0" applyNumberFormat="1" applyFill="1"/>
    <xf numFmtId="166" fontId="0" fillId="7" borderId="0" xfId="0" applyNumberFormat="1" applyFill="1"/>
    <xf numFmtId="0" fontId="0" fillId="15" borderId="17" xfId="0" applyFill="1" applyBorder="1"/>
    <xf numFmtId="0" fontId="0" fillId="15" borderId="18" xfId="0" applyFill="1" applyBorder="1"/>
    <xf numFmtId="0" fontId="0" fillId="15" borderId="19" xfId="0" applyFill="1" applyBorder="1"/>
    <xf numFmtId="167" fontId="0" fillId="6" borderId="12" xfId="0" applyNumberFormat="1" applyFill="1" applyBorder="1" applyAlignment="1">
      <alignment horizontal="right"/>
    </xf>
    <xf numFmtId="167" fontId="0" fillId="6" borderId="0" xfId="0" applyNumberFormat="1" applyFill="1" applyAlignment="1">
      <alignment horizontal="left" indent="2"/>
    </xf>
    <xf numFmtId="0" fontId="5" fillId="0" borderId="0" xfId="0" applyFont="1"/>
    <xf numFmtId="0" fontId="3" fillId="0" borderId="0" xfId="0" applyFont="1" applyAlignment="1">
      <alignment horizontal="center"/>
    </xf>
    <xf numFmtId="2" fontId="0" fillId="0" borderId="0" xfId="0" applyNumberFormat="1"/>
    <xf numFmtId="2" fontId="0" fillId="0" borderId="17" xfId="0" applyNumberFormat="1" applyBorder="1"/>
    <xf numFmtId="2" fontId="0" fillId="0" borderId="6" xfId="0" applyNumberFormat="1" applyBorder="1"/>
    <xf numFmtId="2" fontId="0" fillId="0" borderId="19" xfId="0" applyNumberFormat="1" applyBorder="1"/>
    <xf numFmtId="2" fontId="0" fillId="0" borderId="1" xfId="0" applyNumberFormat="1" applyBorder="1"/>
    <xf numFmtId="2" fontId="0" fillId="0" borderId="7" xfId="0" applyNumberFormat="1" applyBorder="1"/>
    <xf numFmtId="2" fontId="0" fillId="0" borderId="4" xfId="0" applyNumberFormat="1" applyBorder="1"/>
    <xf numFmtId="0" fontId="3" fillId="0" borderId="19" xfId="0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0" borderId="7" xfId="0" applyFont="1" applyBorder="1"/>
    <xf numFmtId="2" fontId="0" fillId="0" borderId="18" xfId="0" applyNumberFormat="1" applyBorder="1"/>
    <xf numFmtId="2" fontId="0" fillId="0" borderId="3" xfId="0" applyNumberFormat="1" applyBorder="1"/>
    <xf numFmtId="0" fontId="3" fillId="0" borderId="19" xfId="0" applyFont="1" applyBorder="1"/>
    <xf numFmtId="0" fontId="3" fillId="26" borderId="0" xfId="0" applyFont="1" applyFill="1"/>
    <xf numFmtId="0" fontId="0" fillId="26" borderId="0" xfId="0" applyFill="1"/>
    <xf numFmtId="0" fontId="0" fillId="5" borderId="0" xfId="0" applyFill="1" applyAlignment="1">
      <alignment horizontal="left"/>
    </xf>
    <xf numFmtId="0" fontId="3" fillId="13" borderId="39" xfId="0" applyFont="1" applyFill="1" applyBorder="1" applyAlignment="1" applyProtection="1">
      <alignment horizontal="center"/>
      <protection locked="0"/>
    </xf>
    <xf numFmtId="0" fontId="3" fillId="8" borderId="36" xfId="0" applyFont="1" applyFill="1" applyBorder="1" applyAlignment="1" applyProtection="1">
      <alignment horizontal="center"/>
      <protection locked="0"/>
    </xf>
    <xf numFmtId="0" fontId="0" fillId="5" borderId="23" xfId="0" applyFill="1" applyBorder="1" applyProtection="1">
      <protection locked="0"/>
    </xf>
    <xf numFmtId="0" fontId="0" fillId="5" borderId="36" xfId="0" applyFill="1" applyBorder="1" applyProtection="1">
      <protection locked="0"/>
    </xf>
    <xf numFmtId="0" fontId="2" fillId="13" borderId="37" xfId="2" applyNumberFormat="1" applyFont="1" applyFill="1" applyBorder="1" applyProtection="1">
      <protection locked="0"/>
    </xf>
    <xf numFmtId="0" fontId="2" fillId="8" borderId="36" xfId="2" applyNumberFormat="1" applyFont="1" applyFill="1" applyBorder="1" applyProtection="1">
      <protection locked="0"/>
    </xf>
    <xf numFmtId="0" fontId="0" fillId="5" borderId="25" xfId="0" applyFill="1" applyBorder="1" applyProtection="1">
      <protection locked="0"/>
    </xf>
    <xf numFmtId="0" fontId="0" fillId="5" borderId="37" xfId="0" applyFill="1" applyBorder="1" applyProtection="1">
      <protection locked="0"/>
    </xf>
    <xf numFmtId="0" fontId="2" fillId="8" borderId="37" xfId="2" applyNumberFormat="1" applyFont="1" applyFill="1" applyBorder="1" applyProtection="1">
      <protection locked="0"/>
    </xf>
    <xf numFmtId="0" fontId="0" fillId="5" borderId="26" xfId="0" applyFill="1" applyBorder="1" applyProtection="1">
      <protection locked="0"/>
    </xf>
    <xf numFmtId="0" fontId="0" fillId="5" borderId="38" xfId="0" applyFill="1" applyBorder="1" applyProtection="1">
      <protection locked="0"/>
    </xf>
    <xf numFmtId="0" fontId="2" fillId="13" borderId="38" xfId="2" applyNumberFormat="1" applyFont="1" applyFill="1" applyBorder="1" applyProtection="1">
      <protection locked="0"/>
    </xf>
    <xf numFmtId="0" fontId="2" fillId="8" borderId="38" xfId="2" applyNumberFormat="1" applyFont="1" applyFill="1" applyBorder="1" applyProtection="1">
      <protection locked="0"/>
    </xf>
    <xf numFmtId="0" fontId="0" fillId="15" borderId="1" xfId="0" applyFill="1" applyBorder="1"/>
    <xf numFmtId="0" fontId="0" fillId="10" borderId="19" xfId="0" applyFill="1" applyBorder="1"/>
    <xf numFmtId="0" fontId="0" fillId="10" borderId="1" xfId="0" applyFill="1" applyBorder="1"/>
    <xf numFmtId="2" fontId="0" fillId="15" borderId="3" xfId="0" applyNumberFormat="1" applyFill="1" applyBorder="1"/>
    <xf numFmtId="172" fontId="0" fillId="15" borderId="3" xfId="0" applyNumberFormat="1" applyFill="1" applyBorder="1"/>
    <xf numFmtId="2" fontId="0" fillId="15" borderId="4" xfId="0" applyNumberFormat="1" applyFill="1" applyBorder="1"/>
    <xf numFmtId="0" fontId="0" fillId="10" borderId="7" xfId="0" applyFill="1" applyBorder="1"/>
    <xf numFmtId="166" fontId="0" fillId="10" borderId="3" xfId="0" applyNumberFormat="1" applyFill="1" applyBorder="1"/>
    <xf numFmtId="11" fontId="0" fillId="10" borderId="3" xfId="0" applyNumberFormat="1" applyFill="1" applyBorder="1"/>
    <xf numFmtId="2" fontId="0" fillId="10" borderId="4" xfId="0" applyNumberFormat="1" applyFill="1" applyBorder="1"/>
    <xf numFmtId="0" fontId="3" fillId="0" borderId="0" xfId="0" applyFont="1" applyAlignment="1">
      <alignment horizontal="right"/>
    </xf>
    <xf numFmtId="10" fontId="0" fillId="0" borderId="0" xfId="2" applyNumberFormat="1" applyFont="1" applyFill="1" applyBorder="1" applyProtection="1"/>
    <xf numFmtId="0" fontId="0" fillId="0" borderId="0" xfId="0" applyAlignment="1">
      <alignment horizontal="right"/>
    </xf>
    <xf numFmtId="10" fontId="0" fillId="0" borderId="0" xfId="0" applyNumberFormat="1"/>
    <xf numFmtId="10" fontId="0" fillId="0" borderId="0" xfId="2" applyNumberFormat="1" applyFont="1" applyProtection="1"/>
    <xf numFmtId="0" fontId="3" fillId="6" borderId="0" xfId="0" applyFont="1" applyFill="1" applyAlignment="1">
      <alignment horizontal="right"/>
    </xf>
    <xf numFmtId="169" fontId="3" fillId="23" borderId="0" xfId="0" applyNumberFormat="1" applyFont="1" applyFill="1"/>
    <xf numFmtId="0" fontId="9" fillId="0" borderId="0" xfId="0" applyFont="1"/>
    <xf numFmtId="0" fontId="9" fillId="24" borderId="0" xfId="0" applyFont="1" applyFill="1"/>
    <xf numFmtId="0" fontId="10" fillId="24" borderId="0" xfId="0" applyFont="1" applyFill="1"/>
    <xf numFmtId="166" fontId="9" fillId="24" borderId="0" xfId="0" applyNumberFormat="1" applyFont="1" applyFill="1"/>
    <xf numFmtId="0" fontId="9" fillId="25" borderId="17" xfId="0" applyFont="1" applyFill="1" applyBorder="1"/>
    <xf numFmtId="0" fontId="9" fillId="25" borderId="18" xfId="0" applyFont="1" applyFill="1" applyBorder="1"/>
    <xf numFmtId="0" fontId="10" fillId="25" borderId="18" xfId="0" applyFont="1" applyFill="1" applyBorder="1"/>
    <xf numFmtId="166" fontId="9" fillId="25" borderId="18" xfId="0" applyNumberFormat="1" applyFont="1" applyFill="1" applyBorder="1"/>
    <xf numFmtId="0" fontId="9" fillId="25" borderId="6" xfId="0" applyFont="1" applyFill="1" applyBorder="1"/>
    <xf numFmtId="0" fontId="0" fillId="23" borderId="17" xfId="0" applyFill="1" applyBorder="1"/>
    <xf numFmtId="0" fontId="0" fillId="23" borderId="18" xfId="0" applyFill="1" applyBorder="1"/>
    <xf numFmtId="0" fontId="0" fillId="20" borderId="17" xfId="0" applyFill="1" applyBorder="1"/>
    <xf numFmtId="0" fontId="0" fillId="20" borderId="6" xfId="0" applyFill="1" applyBorder="1"/>
    <xf numFmtId="0" fontId="0" fillId="19" borderId="18" xfId="0" applyFill="1" applyBorder="1"/>
    <xf numFmtId="0" fontId="3" fillId="19" borderId="17" xfId="0" applyFont="1" applyFill="1" applyBorder="1"/>
    <xf numFmtId="0" fontId="0" fillId="19" borderId="6" xfId="0" applyFill="1" applyBorder="1"/>
    <xf numFmtId="0" fontId="3" fillId="19" borderId="18" xfId="0" applyFont="1" applyFill="1" applyBorder="1"/>
    <xf numFmtId="0" fontId="0" fillId="6" borderId="17" xfId="0" applyFill="1" applyBorder="1"/>
    <xf numFmtId="0" fontId="0" fillId="6" borderId="18" xfId="0" applyFill="1" applyBorder="1"/>
    <xf numFmtId="168" fontId="3" fillId="23" borderId="18" xfId="0" applyNumberFormat="1" applyFont="1" applyFill="1" applyBorder="1"/>
    <xf numFmtId="0" fontId="0" fillId="18" borderId="22" xfId="0" applyFill="1" applyBorder="1"/>
    <xf numFmtId="0" fontId="3" fillId="18" borderId="17" xfId="0" applyFont="1" applyFill="1" applyBorder="1"/>
    <xf numFmtId="0" fontId="0" fillId="18" borderId="18" xfId="0" applyFill="1" applyBorder="1"/>
    <xf numFmtId="0" fontId="0" fillId="18" borderId="6" xfId="0" applyFill="1" applyBorder="1"/>
    <xf numFmtId="0" fontId="0" fillId="6" borderId="6" xfId="0" applyFill="1" applyBorder="1"/>
    <xf numFmtId="0" fontId="3" fillId="23" borderId="19" xfId="0" applyFont="1" applyFill="1" applyBorder="1" applyAlignment="1">
      <alignment vertical="top"/>
    </xf>
    <xf numFmtId="0" fontId="0" fillId="23" borderId="0" xfId="0" applyFill="1"/>
    <xf numFmtId="0" fontId="3" fillId="20" borderId="19" xfId="0" applyFont="1" applyFill="1" applyBorder="1"/>
    <xf numFmtId="0" fontId="3" fillId="20" borderId="1" xfId="0" applyFont="1" applyFill="1" applyBorder="1"/>
    <xf numFmtId="0" fontId="3" fillId="19" borderId="0" xfId="0" applyFont="1" applyFill="1"/>
    <xf numFmtId="0" fontId="0" fillId="19" borderId="19" xfId="0" applyFill="1" applyBorder="1"/>
    <xf numFmtId="0" fontId="0" fillId="19" borderId="0" xfId="0" applyFill="1"/>
    <xf numFmtId="0" fontId="0" fillId="19" borderId="1" xfId="0" applyFill="1" applyBorder="1"/>
    <xf numFmtId="0" fontId="0" fillId="6" borderId="19" xfId="0" applyFill="1" applyBorder="1"/>
    <xf numFmtId="0" fontId="0" fillId="6" borderId="0" xfId="0" applyFill="1" applyAlignment="1">
      <alignment horizontal="center" wrapText="1"/>
    </xf>
    <xf numFmtId="168" fontId="3" fillId="23" borderId="0" xfId="0" applyNumberFormat="1" applyFont="1" applyFill="1"/>
    <xf numFmtId="0" fontId="3" fillId="18" borderId="2" xfId="0" applyFont="1" applyFill="1" applyBorder="1"/>
    <xf numFmtId="0" fontId="0" fillId="18" borderId="0" xfId="0" applyFill="1"/>
    <xf numFmtId="0" fontId="0" fillId="18" borderId="19" xfId="0" applyFill="1" applyBorder="1"/>
    <xf numFmtId="0" fontId="0" fillId="18" borderId="1" xfId="0" applyFill="1" applyBorder="1"/>
    <xf numFmtId="0" fontId="0" fillId="6" borderId="7" xfId="0" applyFill="1" applyBorder="1"/>
    <xf numFmtId="0" fontId="0" fillId="6" borderId="3" xfId="0" applyFill="1" applyBorder="1" applyAlignment="1">
      <alignment horizontal="center" wrapText="1"/>
    </xf>
    <xf numFmtId="168" fontId="3" fillId="23" borderId="3" xfId="0" applyNumberFormat="1" applyFont="1" applyFill="1" applyBorder="1"/>
    <xf numFmtId="0" fontId="0" fillId="6" borderId="4" xfId="0" applyFill="1" applyBorder="1"/>
    <xf numFmtId="0" fontId="3" fillId="23" borderId="19" xfId="0" applyFont="1" applyFill="1" applyBorder="1" applyAlignment="1">
      <alignment horizontal="center" vertical="top"/>
    </xf>
    <xf numFmtId="0" fontId="3" fillId="23" borderId="0" xfId="0" applyFont="1" applyFill="1" applyAlignment="1">
      <alignment horizontal="center"/>
    </xf>
    <xf numFmtId="0" fontId="3" fillId="20" borderId="19" xfId="0" applyFont="1" applyFill="1" applyBorder="1" applyAlignment="1">
      <alignment horizontal="center"/>
    </xf>
    <xf numFmtId="0" fontId="3" fillId="20" borderId="1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19" borderId="19" xfId="0" applyFont="1" applyFill="1" applyBorder="1" applyAlignment="1">
      <alignment horizontal="left"/>
    </xf>
    <xf numFmtId="0" fontId="3" fillId="19" borderId="1" xfId="0" applyFont="1" applyFill="1" applyBorder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0" fillId="23" borderId="0" xfId="0" applyFill="1" applyAlignment="1">
      <alignment horizontal="center"/>
    </xf>
    <xf numFmtId="0" fontId="3" fillId="20" borderId="7" xfId="0" applyFont="1" applyFill="1" applyBorder="1" applyAlignment="1">
      <alignment horizontal="center"/>
    </xf>
    <xf numFmtId="0" fontId="3" fillId="20" borderId="4" xfId="0" applyFont="1" applyFill="1" applyBorder="1" applyAlignment="1">
      <alignment horizontal="center"/>
    </xf>
    <xf numFmtId="0" fontId="3" fillId="19" borderId="3" xfId="0" applyFont="1" applyFill="1" applyBorder="1" applyAlignment="1">
      <alignment horizontal="center"/>
    </xf>
    <xf numFmtId="0" fontId="0" fillId="19" borderId="7" xfId="0" applyFill="1" applyBorder="1" applyAlignment="1">
      <alignment horizontal="center"/>
    </xf>
    <xf numFmtId="0" fontId="0" fillId="19" borderId="3" xfId="0" applyFill="1" applyBorder="1" applyAlignment="1">
      <alignment horizontal="center" wrapText="1"/>
    </xf>
    <xf numFmtId="0" fontId="0" fillId="19" borderId="3" xfId="0" applyFill="1" applyBorder="1" applyAlignment="1">
      <alignment horizontal="center"/>
    </xf>
    <xf numFmtId="0" fontId="0" fillId="19" borderId="4" xfId="0" applyFill="1" applyBorder="1" applyAlignment="1">
      <alignment horizontal="center" wrapText="1"/>
    </xf>
    <xf numFmtId="0" fontId="3" fillId="18" borderId="4" xfId="0" applyFont="1" applyFill="1" applyBorder="1" applyAlignment="1">
      <alignment horizontal="center"/>
    </xf>
    <xf numFmtId="0" fontId="0" fillId="18" borderId="0" xfId="0" applyFill="1" applyAlignment="1">
      <alignment horizontal="center"/>
    </xf>
    <xf numFmtId="0" fontId="0" fillId="18" borderId="3" xfId="0" applyFill="1" applyBorder="1" applyAlignment="1">
      <alignment horizontal="center" wrapText="1"/>
    </xf>
    <xf numFmtId="0" fontId="0" fillId="18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1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21" borderId="0" xfId="0" applyFill="1" applyAlignment="1">
      <alignment horizontal="center"/>
    </xf>
    <xf numFmtId="0" fontId="0" fillId="17" borderId="2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0" fillId="17" borderId="6" xfId="0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20" xfId="0" applyFill="1" applyBorder="1" applyAlignment="1">
      <alignment horizontal="center"/>
    </xf>
    <xf numFmtId="0" fontId="0" fillId="17" borderId="1" xfId="0" applyFill="1" applyBorder="1" applyAlignment="1">
      <alignment horizontal="center"/>
    </xf>
    <xf numFmtId="0" fontId="0" fillId="10" borderId="2" xfId="0" applyFill="1" applyBorder="1" applyAlignment="1">
      <alignment horizontal="center"/>
    </xf>
    <xf numFmtId="0" fontId="0" fillId="10" borderId="17" xfId="0" applyFill="1" applyBorder="1" applyAlignment="1">
      <alignment horizontal="center"/>
    </xf>
    <xf numFmtId="0" fontId="0" fillId="10" borderId="0" xfId="0" applyFill="1" applyAlignment="1">
      <alignment horizontal="center"/>
    </xf>
    <xf numFmtId="0" fontId="0" fillId="10" borderId="18" xfId="0" applyFill="1" applyBorder="1" applyAlignment="1">
      <alignment horizontal="center"/>
    </xf>
    <xf numFmtId="0" fontId="0" fillId="10" borderId="20" xfId="0" applyFill="1" applyBorder="1" applyAlignment="1">
      <alignment horizontal="center"/>
    </xf>
    <xf numFmtId="0" fontId="0" fillId="10" borderId="6" xfId="0" applyFill="1" applyBorder="1" applyAlignment="1">
      <alignment horizontal="center"/>
    </xf>
    <xf numFmtId="0" fontId="0" fillId="0" borderId="3" xfId="0" applyBorder="1" applyAlignment="1">
      <alignment horizontal="center"/>
    </xf>
    <xf numFmtId="171" fontId="0" fillId="22" borderId="18" xfId="0" applyNumberFormat="1" applyFill="1" applyBorder="1"/>
    <xf numFmtId="2" fontId="0" fillId="11" borderId="18" xfId="0" applyNumberFormat="1" applyFill="1" applyBorder="1"/>
    <xf numFmtId="2" fontId="0" fillId="17" borderId="17" xfId="0" applyNumberFormat="1" applyFill="1" applyBorder="1"/>
    <xf numFmtId="2" fontId="0" fillId="15" borderId="17" xfId="0" applyNumberFormat="1" applyFill="1" applyBorder="1"/>
    <xf numFmtId="171" fontId="0" fillId="13" borderId="18" xfId="0" applyNumberFormat="1" applyFill="1" applyBorder="1"/>
    <xf numFmtId="171" fontId="0" fillId="15" borderId="18" xfId="0" applyNumberFormat="1" applyFill="1" applyBorder="1"/>
    <xf numFmtId="171" fontId="0" fillId="13" borderId="6" xfId="0" applyNumberFormat="1" applyFill="1" applyBorder="1"/>
    <xf numFmtId="2" fontId="0" fillId="15" borderId="18" xfId="0" applyNumberFormat="1" applyFill="1" applyBorder="1"/>
    <xf numFmtId="2" fontId="0" fillId="13" borderId="18" xfId="0" applyNumberFormat="1" applyFill="1" applyBorder="1"/>
    <xf numFmtId="2" fontId="0" fillId="10" borderId="22" xfId="0" applyNumberFormat="1" applyFill="1" applyBorder="1"/>
    <xf numFmtId="2" fontId="0" fillId="9" borderId="17" xfId="0" applyNumberFormat="1" applyFill="1" applyBorder="1"/>
    <xf numFmtId="2" fontId="0" fillId="8" borderId="18" xfId="1" applyNumberFormat="1" applyFont="1" applyFill="1" applyBorder="1" applyProtection="1"/>
    <xf numFmtId="171" fontId="0" fillId="9" borderId="18" xfId="0" applyNumberFormat="1" applyFill="1" applyBorder="1"/>
    <xf numFmtId="2" fontId="0" fillId="8" borderId="6" xfId="0" applyNumberFormat="1" applyFill="1" applyBorder="1"/>
    <xf numFmtId="2" fontId="0" fillId="9" borderId="18" xfId="0" applyNumberFormat="1" applyFill="1" applyBorder="1"/>
    <xf numFmtId="2" fontId="0" fillId="8" borderId="18" xfId="0" applyNumberFormat="1" applyFill="1" applyBorder="1"/>
    <xf numFmtId="171" fontId="0" fillId="8" borderId="6" xfId="0" applyNumberFormat="1" applyFill="1" applyBorder="1"/>
    <xf numFmtId="0" fontId="0" fillId="6" borderId="1" xfId="0" applyFill="1" applyBorder="1"/>
    <xf numFmtId="171" fontId="0" fillId="22" borderId="0" xfId="0" applyNumberFormat="1" applyFill="1"/>
    <xf numFmtId="2" fontId="0" fillId="11" borderId="0" xfId="0" applyNumberFormat="1" applyFill="1"/>
    <xf numFmtId="2" fontId="0" fillId="17" borderId="19" xfId="0" applyNumberFormat="1" applyFill="1" applyBorder="1"/>
    <xf numFmtId="2" fontId="0" fillId="15" borderId="19" xfId="0" applyNumberFormat="1" applyFill="1" applyBorder="1"/>
    <xf numFmtId="171" fontId="0" fillId="13" borderId="0" xfId="0" applyNumberFormat="1" applyFill="1"/>
    <xf numFmtId="171" fontId="0" fillId="15" borderId="0" xfId="0" applyNumberFormat="1" applyFill="1"/>
    <xf numFmtId="171" fontId="0" fillId="13" borderId="1" xfId="0" applyNumberFormat="1" applyFill="1" applyBorder="1"/>
    <xf numFmtId="2" fontId="0" fillId="15" borderId="0" xfId="0" applyNumberFormat="1" applyFill="1"/>
    <xf numFmtId="2" fontId="0" fillId="13" borderId="0" xfId="0" applyNumberFormat="1" applyFill="1"/>
    <xf numFmtId="2" fontId="0" fillId="10" borderId="2" xfId="0" applyNumberFormat="1" applyFill="1" applyBorder="1"/>
    <xf numFmtId="2" fontId="0" fillId="9" borderId="19" xfId="0" applyNumberFormat="1" applyFill="1" applyBorder="1"/>
    <xf numFmtId="2" fontId="0" fillId="8" borderId="0" xfId="1" applyNumberFormat="1" applyFont="1" applyFill="1" applyBorder="1" applyProtection="1"/>
    <xf numFmtId="171" fontId="0" fillId="9" borderId="0" xfId="0" applyNumberFormat="1" applyFill="1"/>
    <xf numFmtId="2" fontId="0" fillId="8" borderId="1" xfId="0" applyNumberFormat="1" applyFill="1" applyBorder="1"/>
    <xf numFmtId="2" fontId="0" fillId="9" borderId="0" xfId="0" applyNumberFormat="1" applyFill="1"/>
    <xf numFmtId="2" fontId="0" fillId="8" borderId="0" xfId="0" applyNumberFormat="1" applyFill="1"/>
    <xf numFmtId="171" fontId="0" fillId="8" borderId="1" xfId="0" applyNumberFormat="1" applyFill="1" applyBorder="1"/>
    <xf numFmtId="171" fontId="0" fillId="22" borderId="3" xfId="0" applyNumberFormat="1" applyFill="1" applyBorder="1"/>
    <xf numFmtId="2" fontId="0" fillId="11" borderId="3" xfId="0" applyNumberFormat="1" applyFill="1" applyBorder="1"/>
    <xf numFmtId="2" fontId="0" fillId="17" borderId="7" xfId="0" applyNumberFormat="1" applyFill="1" applyBorder="1"/>
    <xf numFmtId="2" fontId="0" fillId="15" borderId="7" xfId="0" applyNumberFormat="1" applyFill="1" applyBorder="1"/>
    <xf numFmtId="171" fontId="0" fillId="13" borderId="3" xfId="0" applyNumberFormat="1" applyFill="1" applyBorder="1"/>
    <xf numFmtId="171" fontId="0" fillId="15" borderId="3" xfId="0" applyNumberFormat="1" applyFill="1" applyBorder="1"/>
    <xf numFmtId="171" fontId="0" fillId="13" borderId="4" xfId="0" applyNumberFormat="1" applyFill="1" applyBorder="1"/>
    <xf numFmtId="2" fontId="0" fillId="13" borderId="3" xfId="0" applyNumberFormat="1" applyFill="1" applyBorder="1"/>
    <xf numFmtId="2" fontId="0" fillId="10" borderId="5" xfId="0" applyNumberFormat="1" applyFill="1" applyBorder="1"/>
    <xf numFmtId="2" fontId="0" fillId="9" borderId="7" xfId="0" applyNumberFormat="1" applyFill="1" applyBorder="1"/>
    <xf numFmtId="2" fontId="0" fillId="8" borderId="3" xfId="1" applyNumberFormat="1" applyFont="1" applyFill="1" applyBorder="1" applyProtection="1"/>
    <xf numFmtId="171" fontId="0" fillId="9" borderId="3" xfId="0" applyNumberFormat="1" applyFill="1" applyBorder="1"/>
    <xf numFmtId="2" fontId="0" fillId="8" borderId="4" xfId="0" applyNumberFormat="1" applyFill="1" applyBorder="1"/>
    <xf numFmtId="2" fontId="0" fillId="9" borderId="3" xfId="0" applyNumberFormat="1" applyFill="1" applyBorder="1"/>
    <xf numFmtId="2" fontId="0" fillId="8" borderId="3" xfId="0" applyNumberFormat="1" applyFill="1" applyBorder="1"/>
    <xf numFmtId="171" fontId="0" fillId="8" borderId="4" xfId="0" applyNumberFormat="1" applyFill="1" applyBorder="1"/>
    <xf numFmtId="0" fontId="12" fillId="0" borderId="7" xfId="0" applyFont="1" applyBorder="1"/>
    <xf numFmtId="0" fontId="12" fillId="0" borderId="0" xfId="0" applyFont="1"/>
    <xf numFmtId="0" fontId="12" fillId="0" borderId="4" xfId="0" applyFont="1" applyBorder="1"/>
    <xf numFmtId="10" fontId="0" fillId="8" borderId="1" xfId="2" applyNumberFormat="1" applyFont="1" applyFill="1" applyBorder="1" applyProtection="1"/>
    <xf numFmtId="0" fontId="0" fillId="17" borderId="19" xfId="0" applyFill="1" applyBorder="1" applyAlignment="1">
      <alignment horizontal="right" indent="1"/>
    </xf>
    <xf numFmtId="0" fontId="0" fillId="9" borderId="19" xfId="0" applyFill="1" applyBorder="1" applyAlignment="1">
      <alignment horizontal="right" indent="1"/>
    </xf>
    <xf numFmtId="10" fontId="0" fillId="13" borderId="6" xfId="2" applyNumberFormat="1" applyFont="1" applyFill="1" applyBorder="1" applyProtection="1"/>
    <xf numFmtId="2" fontId="0" fillId="8" borderId="17" xfId="2" applyNumberFormat="1" applyFont="1" applyFill="1" applyBorder="1" applyProtection="1"/>
    <xf numFmtId="10" fontId="0" fillId="13" borderId="1" xfId="2" applyNumberFormat="1" applyFont="1" applyFill="1" applyBorder="1" applyProtection="1"/>
    <xf numFmtId="2" fontId="0" fillId="8" borderId="0" xfId="2" applyNumberFormat="1" applyFont="1" applyFill="1" applyBorder="1" applyProtection="1"/>
    <xf numFmtId="10" fontId="0" fillId="13" borderId="31" xfId="2" applyNumberFormat="1" applyFont="1" applyFill="1" applyBorder="1" applyProtection="1"/>
    <xf numFmtId="2" fontId="0" fillId="13" borderId="35" xfId="2" applyNumberFormat="1" applyFont="1" applyFill="1" applyBorder="1" applyProtection="1"/>
    <xf numFmtId="2" fontId="0" fillId="13" borderId="0" xfId="2" applyNumberFormat="1" applyFont="1" applyFill="1" applyBorder="1" applyProtection="1"/>
    <xf numFmtId="0" fontId="0" fillId="6" borderId="3" xfId="0" applyFill="1" applyBorder="1"/>
    <xf numFmtId="0" fontId="3" fillId="8" borderId="34" xfId="0" applyFont="1" applyFill="1" applyBorder="1" applyAlignment="1">
      <alignment horizontal="center"/>
    </xf>
    <xf numFmtId="0" fontId="3" fillId="13" borderId="33" xfId="0" applyFont="1" applyFill="1" applyBorder="1" applyAlignment="1">
      <alignment horizontal="center"/>
    </xf>
    <xf numFmtId="0" fontId="3" fillId="8" borderId="32" xfId="0" applyFont="1" applyFill="1" applyBorder="1" applyAlignment="1">
      <alignment horizontal="center"/>
    </xf>
    <xf numFmtId="0" fontId="3" fillId="7" borderId="7" xfId="0" applyFont="1" applyFill="1" applyBorder="1" applyAlignment="1">
      <alignment vertical="top"/>
    </xf>
    <xf numFmtId="0" fontId="0" fillId="7" borderId="4" xfId="0" applyFill="1" applyBorder="1"/>
    <xf numFmtId="0" fontId="3" fillId="7" borderId="19" xfId="0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3" fillId="13" borderId="32" xfId="0" applyFont="1" applyFill="1" applyBorder="1" applyAlignment="1">
      <alignment horizontal="center"/>
    </xf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right"/>
    </xf>
    <xf numFmtId="0" fontId="3" fillId="13" borderId="17" xfId="0" applyFont="1" applyFill="1" applyBorder="1"/>
    <xf numFmtId="0" fontId="3" fillId="13" borderId="18" xfId="0" applyFont="1" applyFill="1" applyBorder="1"/>
    <xf numFmtId="0" fontId="8" fillId="13" borderId="18" xfId="0" applyFont="1" applyFill="1" applyBorder="1"/>
    <xf numFmtId="0" fontId="3" fillId="13" borderId="6" xfId="0" applyFont="1" applyFill="1" applyBorder="1"/>
    <xf numFmtId="0" fontId="3" fillId="8" borderId="17" xfId="0" applyFont="1" applyFill="1" applyBorder="1"/>
    <xf numFmtId="0" fontId="3" fillId="8" borderId="18" xfId="0" applyFont="1" applyFill="1" applyBorder="1"/>
    <xf numFmtId="0" fontId="8" fillId="8" borderId="18" xfId="0" applyFont="1" applyFill="1" applyBorder="1"/>
    <xf numFmtId="0" fontId="3" fillId="8" borderId="6" xfId="0" applyFont="1" applyFill="1" applyBorder="1"/>
    <xf numFmtId="0" fontId="3" fillId="13" borderId="19" xfId="0" applyFont="1" applyFill="1" applyBorder="1"/>
    <xf numFmtId="0" fontId="8" fillId="13" borderId="0" xfId="0" applyFont="1" applyFill="1" applyAlignment="1">
      <alignment horizontal="right"/>
    </xf>
    <xf numFmtId="0" fontId="3" fillId="13" borderId="1" xfId="0" applyFont="1" applyFill="1" applyBorder="1"/>
    <xf numFmtId="0" fontId="3" fillId="8" borderId="19" xfId="0" applyFont="1" applyFill="1" applyBorder="1"/>
    <xf numFmtId="0" fontId="8" fillId="8" borderId="0" xfId="0" applyFont="1" applyFill="1" applyAlignment="1">
      <alignment horizontal="right"/>
    </xf>
    <xf numFmtId="0" fontId="3" fillId="8" borderId="1" xfId="0" applyFont="1" applyFill="1" applyBorder="1"/>
    <xf numFmtId="0" fontId="0" fillId="13" borderId="7" xfId="0" applyFill="1" applyBorder="1" applyAlignment="1">
      <alignment horizontal="right"/>
    </xf>
    <xf numFmtId="170" fontId="0" fillId="13" borderId="3" xfId="0" applyNumberFormat="1" applyFill="1" applyBorder="1"/>
    <xf numFmtId="0" fontId="0" fillId="13" borderId="3" xfId="0" applyFill="1" applyBorder="1" applyAlignment="1">
      <alignment horizontal="right"/>
    </xf>
    <xf numFmtId="170" fontId="0" fillId="13" borderId="4" xfId="0" applyNumberFormat="1" applyFill="1" applyBorder="1"/>
    <xf numFmtId="0" fontId="0" fillId="8" borderId="7" xfId="0" applyFill="1" applyBorder="1" applyAlignment="1">
      <alignment horizontal="right"/>
    </xf>
    <xf numFmtId="0" fontId="0" fillId="8" borderId="3" xfId="0" applyFill="1" applyBorder="1"/>
    <xf numFmtId="0" fontId="0" fillId="8" borderId="3" xfId="0" applyFill="1" applyBorder="1" applyAlignment="1">
      <alignment horizontal="right"/>
    </xf>
    <xf numFmtId="0" fontId="0" fillId="8" borderId="4" xfId="0" applyFill="1" applyBorder="1"/>
    <xf numFmtId="10" fontId="0" fillId="0" borderId="0" xfId="2" applyNumberFormat="1" applyFont="1" applyBorder="1" applyProtection="1"/>
    <xf numFmtId="0" fontId="3" fillId="15" borderId="19" xfId="0" applyFont="1" applyFill="1" applyBorder="1"/>
    <xf numFmtId="0" fontId="3" fillId="9" borderId="19" xfId="0" applyFont="1" applyFill="1" applyBorder="1"/>
    <xf numFmtId="0" fontId="0" fillId="9" borderId="1" xfId="0" applyFill="1" applyBorder="1"/>
    <xf numFmtId="0" fontId="3" fillId="15" borderId="0" xfId="0" applyFont="1" applyFill="1" applyAlignment="1">
      <alignment horizontal="right"/>
    </xf>
    <xf numFmtId="10" fontId="3" fillId="15" borderId="1" xfId="0" applyNumberFormat="1" applyFont="1" applyFill="1" applyBorder="1"/>
    <xf numFmtId="0" fontId="3" fillId="9" borderId="0" xfId="0" applyFont="1" applyFill="1" applyAlignment="1">
      <alignment horizontal="right"/>
    </xf>
    <xf numFmtId="10" fontId="3" fillId="9" borderId="1" xfId="0" applyNumberFormat="1" applyFont="1" applyFill="1" applyBorder="1"/>
    <xf numFmtId="0" fontId="0" fillId="15" borderId="7" xfId="0" applyFill="1" applyBorder="1" applyAlignment="1">
      <alignment horizontal="right"/>
    </xf>
    <xf numFmtId="10" fontId="0" fillId="15" borderId="0" xfId="0" applyNumberFormat="1" applyFill="1"/>
    <xf numFmtId="0" fontId="0" fillId="15" borderId="0" xfId="0" applyFill="1" applyAlignment="1">
      <alignment horizontal="right"/>
    </xf>
    <xf numFmtId="10" fontId="0" fillId="15" borderId="1" xfId="0" applyNumberFormat="1" applyFill="1" applyBorder="1"/>
    <xf numFmtId="0" fontId="0" fillId="9" borderId="7" xfId="0" applyFill="1" applyBorder="1" applyAlignment="1">
      <alignment horizontal="right"/>
    </xf>
    <xf numFmtId="10" fontId="0" fillId="9" borderId="0" xfId="0" applyNumberFormat="1" applyFill="1"/>
    <xf numFmtId="0" fontId="0" fillId="9" borderId="0" xfId="0" applyFill="1" applyAlignment="1">
      <alignment horizontal="right"/>
    </xf>
    <xf numFmtId="10" fontId="0" fillId="9" borderId="1" xfId="0" applyNumberFormat="1" applyFill="1" applyBorder="1"/>
    <xf numFmtId="0" fontId="3" fillId="17" borderId="17" xfId="0" applyFont="1" applyFill="1" applyBorder="1"/>
    <xf numFmtId="0" fontId="3" fillId="17" borderId="18" xfId="0" applyFont="1" applyFill="1" applyBorder="1"/>
    <xf numFmtId="0" fontId="8" fillId="17" borderId="18" xfId="0" applyFont="1" applyFill="1" applyBorder="1"/>
    <xf numFmtId="2" fontId="3" fillId="17" borderId="6" xfId="0" applyNumberFormat="1" applyFont="1" applyFill="1" applyBorder="1"/>
    <xf numFmtId="0" fontId="3" fillId="10" borderId="17" xfId="0" applyFont="1" applyFill="1" applyBorder="1"/>
    <xf numFmtId="0" fontId="3" fillId="10" borderId="18" xfId="0" applyFont="1" applyFill="1" applyBorder="1"/>
    <xf numFmtId="0" fontId="8" fillId="10" borderId="18" xfId="0" applyFont="1" applyFill="1" applyBorder="1"/>
    <xf numFmtId="2" fontId="3" fillId="10" borderId="6" xfId="0" applyNumberFormat="1" applyFont="1" applyFill="1" applyBorder="1"/>
    <xf numFmtId="0" fontId="3" fillId="17" borderId="19" xfId="0" applyFont="1" applyFill="1" applyBorder="1"/>
    <xf numFmtId="0" fontId="3" fillId="17" borderId="0" xfId="0" applyFont="1" applyFill="1"/>
    <xf numFmtId="0" fontId="8" fillId="17" borderId="0" xfId="0" applyFont="1" applyFill="1" applyAlignment="1">
      <alignment horizontal="right"/>
    </xf>
    <xf numFmtId="2" fontId="3" fillId="17" borderId="1" xfId="0" applyNumberFormat="1" applyFont="1" applyFill="1" applyBorder="1"/>
    <xf numFmtId="0" fontId="3" fillId="10" borderId="19" xfId="0" applyFont="1" applyFill="1" applyBorder="1"/>
    <xf numFmtId="0" fontId="8" fillId="10" borderId="0" xfId="0" applyFont="1" applyFill="1" applyAlignment="1">
      <alignment horizontal="right"/>
    </xf>
    <xf numFmtId="2" fontId="3" fillId="10" borderId="1" xfId="0" applyNumberFormat="1" applyFont="1" applyFill="1" applyBorder="1"/>
    <xf numFmtId="0" fontId="0" fillId="17" borderId="7" xfId="0" applyFill="1" applyBorder="1" applyAlignment="1">
      <alignment horizontal="right"/>
    </xf>
    <xf numFmtId="2" fontId="3" fillId="17" borderId="3" xfId="0" applyNumberFormat="1" applyFont="1" applyFill="1" applyBorder="1"/>
    <xf numFmtId="0" fontId="3" fillId="17" borderId="3" xfId="0" applyFont="1" applyFill="1" applyBorder="1" applyAlignment="1">
      <alignment horizontal="right"/>
    </xf>
    <xf numFmtId="2" fontId="3" fillId="17" borderId="4" xfId="0" applyNumberFormat="1" applyFont="1" applyFill="1" applyBorder="1"/>
    <xf numFmtId="0" fontId="0" fillId="10" borderId="7" xfId="0" applyFill="1" applyBorder="1" applyAlignment="1">
      <alignment horizontal="right"/>
    </xf>
    <xf numFmtId="2" fontId="3" fillId="10" borderId="3" xfId="0" applyNumberFormat="1" applyFont="1" applyFill="1" applyBorder="1"/>
    <xf numFmtId="0" fontId="0" fillId="10" borderId="3" xfId="0" applyFill="1" applyBorder="1" applyAlignment="1">
      <alignment horizontal="right"/>
    </xf>
    <xf numFmtId="2" fontId="3" fillId="10" borderId="4" xfId="0" applyNumberFormat="1" applyFont="1" applyFill="1" applyBorder="1"/>
    <xf numFmtId="0" fontId="3" fillId="19" borderId="19" xfId="0" applyFont="1" applyFill="1" applyBorder="1"/>
    <xf numFmtId="0" fontId="3" fillId="19" borderId="1" xfId="0" applyFont="1" applyFill="1" applyBorder="1"/>
    <xf numFmtId="0" fontId="3" fillId="18" borderId="19" xfId="0" applyFont="1" applyFill="1" applyBorder="1"/>
    <xf numFmtId="0" fontId="3" fillId="18" borderId="0" xfId="0" applyFont="1" applyFill="1"/>
    <xf numFmtId="0" fontId="3" fillId="18" borderId="1" xfId="0" applyFont="1" applyFill="1" applyBorder="1"/>
    <xf numFmtId="0" fontId="3" fillId="19" borderId="0" xfId="0" applyFont="1" applyFill="1" applyAlignment="1">
      <alignment horizontal="right"/>
    </xf>
    <xf numFmtId="0" fontId="3" fillId="18" borderId="0" xfId="0" applyFont="1" applyFill="1" applyAlignment="1">
      <alignment horizontal="right"/>
    </xf>
    <xf numFmtId="171" fontId="3" fillId="18" borderId="1" xfId="0" applyNumberFormat="1" applyFont="1" applyFill="1" applyBorder="1"/>
    <xf numFmtId="0" fontId="11" fillId="0" borderId="0" xfId="0" applyFont="1"/>
    <xf numFmtId="0" fontId="0" fillId="19" borderId="7" xfId="0" applyFill="1" applyBorder="1" applyAlignment="1">
      <alignment horizontal="right"/>
    </xf>
    <xf numFmtId="171" fontId="0" fillId="19" borderId="3" xfId="0" applyNumberFormat="1" applyFill="1" applyBorder="1"/>
    <xf numFmtId="0" fontId="0" fillId="19" borderId="3" xfId="0" applyFill="1" applyBorder="1" applyAlignment="1">
      <alignment horizontal="right"/>
    </xf>
    <xf numFmtId="171" fontId="0" fillId="19" borderId="4" xfId="0" applyNumberFormat="1" applyFill="1" applyBorder="1"/>
    <xf numFmtId="0" fontId="0" fillId="18" borderId="7" xfId="0" applyFill="1" applyBorder="1" applyAlignment="1">
      <alignment horizontal="right"/>
    </xf>
    <xf numFmtId="171" fontId="0" fillId="18" borderId="3" xfId="0" applyNumberFormat="1" applyFill="1" applyBorder="1"/>
    <xf numFmtId="0" fontId="0" fillId="18" borderId="3" xfId="0" applyFill="1" applyBorder="1" applyAlignment="1">
      <alignment horizontal="right"/>
    </xf>
    <xf numFmtId="171" fontId="0" fillId="18" borderId="4" xfId="0" applyNumberFormat="1" applyFill="1" applyBorder="1"/>
    <xf numFmtId="0" fontId="0" fillId="7" borderId="17" xfId="0" applyFill="1" applyBorder="1"/>
    <xf numFmtId="0" fontId="0" fillId="7" borderId="6" xfId="0" applyFill="1" applyBorder="1"/>
    <xf numFmtId="0" fontId="13" fillId="7" borderId="20" xfId="0" applyFont="1" applyFill="1" applyBorder="1"/>
    <xf numFmtId="0" fontId="14" fillId="7" borderId="8" xfId="0" applyFont="1" applyFill="1" applyBorder="1" applyAlignment="1">
      <alignment horizontal="center"/>
    </xf>
    <xf numFmtId="0" fontId="13" fillId="7" borderId="21" xfId="0" applyFont="1" applyFill="1" applyBorder="1"/>
    <xf numFmtId="0" fontId="3" fillId="7" borderId="19" xfId="0" applyFont="1" applyFill="1" applyBorder="1" applyAlignment="1">
      <alignment vertical="top"/>
    </xf>
    <xf numFmtId="0" fontId="0" fillId="7" borderId="1" xfId="0" applyFill="1" applyBorder="1"/>
    <xf numFmtId="0" fontId="3" fillId="7" borderId="19" xfId="0" applyFont="1" applyFill="1" applyBorder="1" applyAlignment="1">
      <alignment horizontal="center" vertical="top" wrapText="1"/>
    </xf>
    <xf numFmtId="0" fontId="3" fillId="7" borderId="0" xfId="0" applyFont="1" applyFill="1" applyAlignment="1">
      <alignment horizontal="center" vertical="top" wrapText="1"/>
    </xf>
    <xf numFmtId="0" fontId="3" fillId="7" borderId="1" xfId="0" applyFont="1" applyFill="1" applyBorder="1" applyAlignment="1">
      <alignment horizontal="center" vertical="top" wrapText="1"/>
    </xf>
    <xf numFmtId="0" fontId="3" fillId="13" borderId="0" xfId="0" applyFont="1" applyFill="1" applyAlignment="1">
      <alignment horizontal="center" vertical="top" wrapText="1"/>
    </xf>
    <xf numFmtId="0" fontId="3" fillId="22" borderId="0" xfId="0" applyFont="1" applyFill="1" applyAlignment="1">
      <alignment horizontal="center" vertical="top" wrapText="1"/>
    </xf>
    <xf numFmtId="0" fontId="3" fillId="13" borderId="1" xfId="0" applyFont="1" applyFill="1" applyBorder="1" applyAlignment="1">
      <alignment horizontal="center" vertical="top" wrapText="1"/>
    </xf>
    <xf numFmtId="0" fontId="3" fillId="8" borderId="0" xfId="0" applyFont="1" applyFill="1" applyAlignment="1">
      <alignment horizontal="center" vertical="top" wrapText="1"/>
    </xf>
    <xf numFmtId="0" fontId="3" fillId="8" borderId="1" xfId="0" applyFont="1" applyFill="1" applyBorder="1" applyAlignment="1">
      <alignment horizontal="center" vertical="top" wrapText="1"/>
    </xf>
    <xf numFmtId="0" fontId="3" fillId="19" borderId="0" xfId="0" applyFont="1" applyFill="1" applyAlignment="1">
      <alignment horizontal="center" wrapText="1"/>
    </xf>
    <xf numFmtId="0" fontId="3" fillId="19" borderId="1" xfId="0" applyFont="1" applyFill="1" applyBorder="1" applyAlignment="1">
      <alignment horizontal="center" wrapText="1"/>
    </xf>
    <xf numFmtId="0" fontId="3" fillId="18" borderId="0" xfId="0" applyFont="1" applyFill="1" applyAlignment="1">
      <alignment horizontal="center" wrapText="1"/>
    </xf>
    <xf numFmtId="0" fontId="3" fillId="18" borderId="1" xfId="0" applyFont="1" applyFill="1" applyBorder="1" applyAlignment="1">
      <alignment horizontal="center" wrapText="1"/>
    </xf>
    <xf numFmtId="0" fontId="14" fillId="8" borderId="20" xfId="0" applyFont="1" applyFill="1" applyBorder="1" applyAlignment="1">
      <alignment horizontal="center"/>
    </xf>
    <xf numFmtId="0" fontId="14" fillId="8" borderId="8" xfId="0" applyFont="1" applyFill="1" applyBorder="1" applyAlignment="1">
      <alignment horizontal="center"/>
    </xf>
    <xf numFmtId="0" fontId="14" fillId="8" borderId="21" xfId="0" applyFont="1" applyFill="1" applyBorder="1" applyAlignment="1">
      <alignment horizontal="center"/>
    </xf>
    <xf numFmtId="0" fontId="14" fillId="13" borderId="20" xfId="0" applyFont="1" applyFill="1" applyBorder="1" applyAlignment="1">
      <alignment horizontal="center"/>
    </xf>
    <xf numFmtId="0" fontId="14" fillId="13" borderId="8" xfId="0" applyFont="1" applyFill="1" applyBorder="1" applyAlignment="1">
      <alignment horizontal="center"/>
    </xf>
    <xf numFmtId="0" fontId="14" fillId="13" borderId="21" xfId="0" applyFont="1" applyFill="1" applyBorder="1" applyAlignment="1">
      <alignment horizontal="center"/>
    </xf>
    <xf numFmtId="0" fontId="5" fillId="0" borderId="29" xfId="0" applyFont="1" applyBorder="1" applyAlignment="1">
      <alignment horizontal="center"/>
    </xf>
    <xf numFmtId="0" fontId="5" fillId="0" borderId="30" xfId="0" applyFont="1" applyBorder="1" applyAlignment="1">
      <alignment horizontal="center"/>
    </xf>
    <xf numFmtId="0" fontId="3" fillId="18" borderId="0" xfId="0" applyFont="1" applyFill="1" applyAlignment="1">
      <alignment horizontal="center"/>
    </xf>
    <xf numFmtId="0" fontId="3" fillId="18" borderId="1" xfId="0" applyFont="1" applyFill="1" applyBorder="1" applyAlignment="1">
      <alignment horizontal="center"/>
    </xf>
    <xf numFmtId="0" fontId="3" fillId="19" borderId="0" xfId="0" applyFont="1" applyFill="1" applyAlignment="1">
      <alignment horizontal="center"/>
    </xf>
    <xf numFmtId="0" fontId="3" fillId="19" borderId="19" xfId="0" applyFont="1" applyFill="1" applyBorder="1" applyAlignment="1">
      <alignment horizontal="center"/>
    </xf>
    <xf numFmtId="0" fontId="3" fillId="18" borderId="19" xfId="0" applyFont="1" applyFill="1" applyBorder="1" applyAlignment="1">
      <alignment horizontal="center"/>
    </xf>
    <xf numFmtId="0" fontId="5" fillId="0" borderId="23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0" borderId="27" xfId="0" applyFont="1" applyBorder="1" applyAlignment="1">
      <alignment horizontal="center"/>
    </xf>
    <xf numFmtId="0" fontId="5" fillId="0" borderId="28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6" xfId="0" applyBorder="1" applyAlignment="1">
      <alignment horizontal="center"/>
    </xf>
  </cellXfs>
  <cellStyles count="3">
    <cellStyle name="Prozent" xfId="2" builtinId="5"/>
    <cellStyle name="Standard" xfId="0" builtinId="0"/>
    <cellStyle name="Währung" xfId="1" builtinId="4"/>
  </cellStyles>
  <dxfs count="2">
    <dxf>
      <font>
        <u val="none"/>
      </font>
      <fill>
        <patternFill>
          <bgColor rgb="FF92D050"/>
        </patternFill>
      </fill>
    </dxf>
    <dxf>
      <font>
        <u val="none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Cost</a:t>
            </a:r>
            <a:r>
              <a:rPr lang="de-DE" sz="1800" b="1" baseline="0"/>
              <a:t> of complying with low-ambition NDCs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Figures!$D$2</c:f>
              <c:strCache>
                <c:ptCount val="1"/>
                <c:pt idx="0">
                  <c:v>Domestic carbon trading schemes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Figures!$E$3:$E$18</c:f>
                <c:numCache>
                  <c:formatCode>General</c:formatCode>
                  <c:ptCount val="16"/>
                  <c:pt idx="0">
                    <c:v>20.588789387045104</c:v>
                  </c:pt>
                  <c:pt idx="1">
                    <c:v>5.8865933295691883</c:v>
                  </c:pt>
                  <c:pt idx="2">
                    <c:v>15.647789648434468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2.3718417269496244</c:v>
                  </c:pt>
                  <c:pt idx="6">
                    <c:v>4.0064527621058703</c:v>
                  </c:pt>
                  <c:pt idx="7">
                    <c:v>0</c:v>
                  </c:pt>
                  <c:pt idx="8">
                    <c:v>3.9968495881580886</c:v>
                  </c:pt>
                  <c:pt idx="9">
                    <c:v>24.075733801368905</c:v>
                  </c:pt>
                  <c:pt idx="10">
                    <c:v>0</c:v>
                  </c:pt>
                  <c:pt idx="11">
                    <c:v>4.5359160500186023E-4</c:v>
                  </c:pt>
                  <c:pt idx="12">
                    <c:v>2.2517791776309521</c:v>
                  </c:pt>
                  <c:pt idx="13">
                    <c:v>0.15990692896233716</c:v>
                  </c:pt>
                  <c:pt idx="14">
                    <c:v>0</c:v>
                  </c:pt>
                  <c:pt idx="15">
                    <c:v>0.14722294286171433</c:v>
                  </c:pt>
                </c:numCache>
              </c:numRef>
            </c:plus>
            <c:minus>
              <c:numRef>
                <c:f>Figures!$E$3:$E$18</c:f>
                <c:numCache>
                  <c:formatCode>General</c:formatCode>
                  <c:ptCount val="16"/>
                  <c:pt idx="0">
                    <c:v>20.588789387045104</c:v>
                  </c:pt>
                  <c:pt idx="1">
                    <c:v>5.8865933295691883</c:v>
                  </c:pt>
                  <c:pt idx="2">
                    <c:v>15.647789648434468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2.3718417269496244</c:v>
                  </c:pt>
                  <c:pt idx="6">
                    <c:v>4.0064527621058703</c:v>
                  </c:pt>
                  <c:pt idx="7">
                    <c:v>0</c:v>
                  </c:pt>
                  <c:pt idx="8">
                    <c:v>3.9968495881580886</c:v>
                  </c:pt>
                  <c:pt idx="9">
                    <c:v>24.075733801368905</c:v>
                  </c:pt>
                  <c:pt idx="10">
                    <c:v>0</c:v>
                  </c:pt>
                  <c:pt idx="11">
                    <c:v>4.5359160500186023E-4</c:v>
                  </c:pt>
                  <c:pt idx="12">
                    <c:v>2.2517791776309521</c:v>
                  </c:pt>
                  <c:pt idx="13">
                    <c:v>0.15990692896233716</c:v>
                  </c:pt>
                  <c:pt idx="14">
                    <c:v>0</c:v>
                  </c:pt>
                  <c:pt idx="15">
                    <c:v>0.14722294286171433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Figures!$D$3:$D$18</c:f>
              <c:numCache>
                <c:formatCode>General</c:formatCode>
                <c:ptCount val="16"/>
                <c:pt idx="0">
                  <c:v>30.00926102251147</c:v>
                </c:pt>
                <c:pt idx="1">
                  <c:v>11.271292571674019</c:v>
                </c:pt>
                <c:pt idx="2">
                  <c:v>23.724355454204101</c:v>
                </c:pt>
                <c:pt idx="3">
                  <c:v>8.013564240410938</c:v>
                </c:pt>
                <c:pt idx="4">
                  <c:v>5.9981480050157264E-2</c:v>
                </c:pt>
                <c:pt idx="5">
                  <c:v>1.6799511467336448</c:v>
                </c:pt>
                <c:pt idx="6">
                  <c:v>6.8301918621308078</c:v>
                </c:pt>
                <c:pt idx="7">
                  <c:v>0</c:v>
                </c:pt>
                <c:pt idx="8">
                  <c:v>4.3828840846686887</c:v>
                </c:pt>
                <c:pt idx="9">
                  <c:v>40.74179773166059</c:v>
                </c:pt>
                <c:pt idx="10">
                  <c:v>0</c:v>
                </c:pt>
                <c:pt idx="11">
                  <c:v>1.8517799731076925E-4</c:v>
                </c:pt>
                <c:pt idx="12">
                  <c:v>3.6218990268877462</c:v>
                </c:pt>
                <c:pt idx="13">
                  <c:v>6.5281730382200531E-2</c:v>
                </c:pt>
                <c:pt idx="14">
                  <c:v>0</c:v>
                </c:pt>
                <c:pt idx="15">
                  <c:v>0.11941922773296049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EA-4A90-A934-884034AD8DF7}"/>
            </c:ext>
          </c:extLst>
        </c:ser>
        <c:ser>
          <c:idx val="2"/>
          <c:order val="2"/>
          <c:tx>
            <c:strRef>
              <c:f>Figures!$F$2</c:f>
              <c:strCache>
                <c:ptCount val="1"/>
                <c:pt idx="0">
                  <c:v>with variations in CDR and ambition, if different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Figures!$G$3:$G$18</c:f>
                <c:numCache>
                  <c:formatCode>General</c:formatCode>
                  <c:ptCount val="16"/>
                  <c:pt idx="0">
                    <c:v>16.853313517163837</c:v>
                  </c:pt>
                  <c:pt idx="1">
                    <c:v>0</c:v>
                  </c:pt>
                  <c:pt idx="2">
                    <c:v>6.2043491221503748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0.21907045610234196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Figures!$G$3:$G$18</c:f>
                <c:numCache>
                  <c:formatCode>General</c:formatCode>
                  <c:ptCount val="16"/>
                  <c:pt idx="0">
                    <c:v>16.853313517163837</c:v>
                  </c:pt>
                  <c:pt idx="1">
                    <c:v>0</c:v>
                  </c:pt>
                  <c:pt idx="2">
                    <c:v>6.2043491221503748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0.21907045610234196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Figures!$F$3:$F$18</c:f>
              <c:numCache>
                <c:formatCode>General</c:formatCode>
                <c:ptCount val="16"/>
                <c:pt idx="0">
                  <c:v>22.04825479691387</c:v>
                </c:pt>
                <c:pt idx="1">
                  <c:v>0</c:v>
                </c:pt>
                <c:pt idx="2">
                  <c:v>5.0106552998122398</c:v>
                </c:pt>
                <c:pt idx="3">
                  <c:v>6.8229901888123825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8.9584652049752786E-2</c:v>
                </c:pt>
                <c:pt idx="9">
                  <c:v>15.829870100976294</c:v>
                </c:pt>
                <c:pt idx="10">
                  <c:v>0</c:v>
                </c:pt>
                <c:pt idx="11">
                  <c:v>0</c:v>
                </c:pt>
                <c:pt idx="12">
                  <c:v>2.887871365037137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BEA-4A90-A934-884034AD8DF7}"/>
            </c:ext>
          </c:extLst>
        </c:ser>
        <c:ser>
          <c:idx val="4"/>
          <c:order val="4"/>
          <c:tx>
            <c:strRef>
              <c:f>Figures!$H$2</c:f>
              <c:strCache>
                <c:ptCount val="1"/>
                <c:pt idx="0">
                  <c:v>International Carbon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Figures!$I$3:$I$18</c:f>
                <c:numCache>
                  <c:formatCode>General</c:formatCode>
                  <c:ptCount val="16"/>
                  <c:pt idx="0">
                    <c:v>7.8600070763041119</c:v>
                  </c:pt>
                  <c:pt idx="1">
                    <c:v>1.1972874376140006</c:v>
                  </c:pt>
                  <c:pt idx="2">
                    <c:v>2.4938329340620387</c:v>
                  </c:pt>
                  <c:pt idx="3">
                    <c:v>1.4970500769089254</c:v>
                  </c:pt>
                  <c:pt idx="4">
                    <c:v>0.66850651146252016</c:v>
                  </c:pt>
                  <c:pt idx="5">
                    <c:v>3.6168450794466676</c:v>
                  </c:pt>
                  <c:pt idx="6">
                    <c:v>0.77019015867952956</c:v>
                  </c:pt>
                  <c:pt idx="7">
                    <c:v>2.900078512534789</c:v>
                  </c:pt>
                  <c:pt idx="8">
                    <c:v>1.026092981263852</c:v>
                  </c:pt>
                  <c:pt idx="9">
                    <c:v>5.4792121921680783</c:v>
                  </c:pt>
                  <c:pt idx="10">
                    <c:v>1.5693200143785559</c:v>
                  </c:pt>
                  <c:pt idx="11">
                    <c:v>2.1318049061302449</c:v>
                  </c:pt>
                  <c:pt idx="12">
                    <c:v>0.83933839412592803</c:v>
                  </c:pt>
                  <c:pt idx="13">
                    <c:v>0.3677321850379659</c:v>
                  </c:pt>
                  <c:pt idx="14">
                    <c:v>1.0423343392335773</c:v>
                  </c:pt>
                  <c:pt idx="15">
                    <c:v>0.14018731275036503</c:v>
                  </c:pt>
                </c:numCache>
              </c:numRef>
            </c:plus>
            <c:minus>
              <c:numRef>
                <c:f>Figures!$I$3:$I$18</c:f>
                <c:numCache>
                  <c:formatCode>General</c:formatCode>
                  <c:ptCount val="16"/>
                  <c:pt idx="0">
                    <c:v>7.8600070763041119</c:v>
                  </c:pt>
                  <c:pt idx="1">
                    <c:v>1.1972874376140006</c:v>
                  </c:pt>
                  <c:pt idx="2">
                    <c:v>2.4938329340620387</c:v>
                  </c:pt>
                  <c:pt idx="3">
                    <c:v>1.4970500769089254</c:v>
                  </c:pt>
                  <c:pt idx="4">
                    <c:v>0.66850651146252016</c:v>
                  </c:pt>
                  <c:pt idx="5">
                    <c:v>3.6168450794466676</c:v>
                  </c:pt>
                  <c:pt idx="6">
                    <c:v>0.77019015867952956</c:v>
                  </c:pt>
                  <c:pt idx="7">
                    <c:v>2.900078512534789</c:v>
                  </c:pt>
                  <c:pt idx="8">
                    <c:v>1.026092981263852</c:v>
                  </c:pt>
                  <c:pt idx="9">
                    <c:v>5.4792121921680783</c:v>
                  </c:pt>
                  <c:pt idx="10">
                    <c:v>1.5693200143785559</c:v>
                  </c:pt>
                  <c:pt idx="11">
                    <c:v>2.1318049061302449</c:v>
                  </c:pt>
                  <c:pt idx="12">
                    <c:v>0.83933839412592803</c:v>
                  </c:pt>
                  <c:pt idx="13">
                    <c:v>0.3677321850379659</c:v>
                  </c:pt>
                  <c:pt idx="14">
                    <c:v>1.0423343392335773</c:v>
                  </c:pt>
                  <c:pt idx="15">
                    <c:v>0.14018731275036503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Figures!$H$3:$H$18</c:f>
              <c:numCache>
                <c:formatCode>General</c:formatCode>
                <c:ptCount val="16"/>
                <c:pt idx="0">
                  <c:v>10.007942107338598</c:v>
                </c:pt>
                <c:pt idx="1">
                  <c:v>1.6267425280560124</c:v>
                </c:pt>
                <c:pt idx="2">
                  <c:v>3.4092383265858452</c:v>
                </c:pt>
                <c:pt idx="3">
                  <c:v>1.868799075692019</c:v>
                </c:pt>
                <c:pt idx="4">
                  <c:v>-0.58901820417002004</c:v>
                </c:pt>
                <c:pt idx="5">
                  <c:v>-1.2524875925755488</c:v>
                </c:pt>
                <c:pt idx="6">
                  <c:v>1.0250254085113164</c:v>
                </c:pt>
                <c:pt idx="7">
                  <c:v>-3.4966188421649016</c:v>
                </c:pt>
                <c:pt idx="8">
                  <c:v>0.89811443487276132</c:v>
                </c:pt>
                <c:pt idx="9">
                  <c:v>7.3438757498106888</c:v>
                </c:pt>
                <c:pt idx="10">
                  <c:v>-1.8659975112244152</c:v>
                </c:pt>
                <c:pt idx="11">
                  <c:v>-2.5040248023958069</c:v>
                </c:pt>
                <c:pt idx="12">
                  <c:v>1.1551965719512176</c:v>
                </c:pt>
                <c:pt idx="13">
                  <c:v>-0.45051564453652276</c:v>
                </c:pt>
                <c:pt idx="14">
                  <c:v>-1.2806040986910139</c:v>
                </c:pt>
                <c:pt idx="15">
                  <c:v>8.6580556106521309E-2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BEA-4A90-A934-884034AD8DF7}"/>
            </c:ext>
          </c:extLst>
        </c:ser>
        <c:ser>
          <c:idx val="6"/>
          <c:order val="6"/>
          <c:tx>
            <c:strRef>
              <c:f>Figures!$J$2</c:f>
              <c:strCache>
                <c:ptCount val="1"/>
                <c:pt idx="0">
                  <c:v>with Variations in CDR and ambition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Figures!$K$3:$K$18</c:f>
                <c:numCache>
                  <c:formatCode>General</c:formatCode>
                  <c:ptCount val="16"/>
                  <c:pt idx="0">
                    <c:v>6.0852193470507769</c:v>
                  </c:pt>
                  <c:pt idx="1">
                    <c:v>1.0165037429135271</c:v>
                  </c:pt>
                  <c:pt idx="2">
                    <c:v>1.3158583748288872</c:v>
                  </c:pt>
                  <c:pt idx="3">
                    <c:v>1.2065167016057476</c:v>
                  </c:pt>
                  <c:pt idx="4">
                    <c:v>0.47277881881304551</c:v>
                  </c:pt>
                  <c:pt idx="5">
                    <c:v>3.2560012869485706</c:v>
                  </c:pt>
                  <c:pt idx="6">
                    <c:v>0.65204950352011737</c:v>
                  </c:pt>
                  <c:pt idx="7">
                    <c:v>2.1395736363621336</c:v>
                  </c:pt>
                  <c:pt idx="8">
                    <c:v>0.23751674097690928</c:v>
                  </c:pt>
                  <c:pt idx="9">
                    <c:v>3.4829721306106634</c:v>
                  </c:pt>
                  <c:pt idx="10">
                    <c:v>1.1566168491684266</c:v>
                  </c:pt>
                  <c:pt idx="11">
                    <c:v>1.5678735259499927</c:v>
                  </c:pt>
                  <c:pt idx="12">
                    <c:v>0.67180305386889694</c:v>
                  </c:pt>
                  <c:pt idx="13">
                    <c:v>0.3126591635061704</c:v>
                  </c:pt>
                  <c:pt idx="14">
                    <c:v>0.77031992645625624</c:v>
                  </c:pt>
                  <c:pt idx="15">
                    <c:v>0.11875736972097764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Figures!$J$3:$J$18</c:f>
              <c:numCache>
                <c:formatCode>General</c:formatCode>
                <c:ptCount val="16"/>
                <c:pt idx="0">
                  <c:v>6.8300172542490403</c:v>
                </c:pt>
                <c:pt idx="1">
                  <c:v>1.2321722780417936</c:v>
                </c:pt>
                <c:pt idx="2">
                  <c:v>1.3376438369911521</c:v>
                </c:pt>
                <c:pt idx="3">
                  <c:v>1.3465719717660285</c:v>
                </c:pt>
                <c:pt idx="4">
                  <c:v>-0.30549535964690555</c:v>
                </c:pt>
                <c:pt idx="5">
                  <c:v>0.40219859280579889</c:v>
                </c:pt>
                <c:pt idx="6">
                  <c:v>0.77890066662660107</c:v>
                </c:pt>
                <c:pt idx="7">
                  <c:v>-2.2541165205452378</c:v>
                </c:pt>
                <c:pt idx="8">
                  <c:v>6.0369052327975126E-3</c:v>
                </c:pt>
                <c:pt idx="9">
                  <c:v>3.8447655137861037</c:v>
                </c:pt>
                <c:pt idx="10">
                  <c:v>-1.196463080663031</c:v>
                </c:pt>
                <c:pt idx="11">
                  <c:v>-1.601770087209309</c:v>
                </c:pt>
                <c:pt idx="12">
                  <c:v>0.81364772290702325</c:v>
                </c:pt>
                <c:pt idx="13">
                  <c:v>-0.22996978752485242</c:v>
                </c:pt>
                <c:pt idx="14">
                  <c:v>-0.82133990031342208</c:v>
                </c:pt>
                <c:pt idx="15">
                  <c:v>9.8838762855413875E-2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BEA-4A90-A934-884034AD8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6835416"/>
        <c:axId val="416840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Figures!$E$2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Figures!$E$3:$E$18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20.588789387045104</c:v>
                      </c:pt>
                      <c:pt idx="1">
                        <c:v>5.8865933295691883</c:v>
                      </c:pt>
                      <c:pt idx="2">
                        <c:v>15.647789648434468</c:v>
                      </c:pt>
                      <c:pt idx="3">
                        <c:v>8.414464729881594</c:v>
                      </c:pt>
                      <c:pt idx="4">
                        <c:v>0.11505471080031769</c:v>
                      </c:pt>
                      <c:pt idx="5">
                        <c:v>2.3718417269496244</c:v>
                      </c:pt>
                      <c:pt idx="6">
                        <c:v>4.0064527621058703</c:v>
                      </c:pt>
                      <c:pt idx="7">
                        <c:v>0</c:v>
                      </c:pt>
                      <c:pt idx="8">
                        <c:v>3.9968495881580886</c:v>
                      </c:pt>
                      <c:pt idx="9">
                        <c:v>24.075733801368905</c:v>
                      </c:pt>
                      <c:pt idx="10">
                        <c:v>0</c:v>
                      </c:pt>
                      <c:pt idx="11">
                        <c:v>4.5359160500186023E-4</c:v>
                      </c:pt>
                      <c:pt idx="12">
                        <c:v>2.2517791776309521</c:v>
                      </c:pt>
                      <c:pt idx="13">
                        <c:v>0.15990692896233716</c:v>
                      </c:pt>
                      <c:pt idx="14">
                        <c:v>0</c:v>
                      </c:pt>
                      <c:pt idx="15">
                        <c:v>0.14722294286171433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FBEA-4A90-A934-884034AD8DF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Figures!$G$2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Figures!$G$3:$G$18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16.853313517163837</c:v>
                      </c:pt>
                      <c:pt idx="1">
                        <c:v>0</c:v>
                      </c:pt>
                      <c:pt idx="2">
                        <c:v>6.2043491221503748</c:v>
                      </c:pt>
                      <c:pt idx="3">
                        <c:v>7.7758705738013498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0.21907045610234196</c:v>
                      </c:pt>
                      <c:pt idx="9">
                        <c:v>13.228088275083834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1.9684831958192222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BEA-4A90-A934-884034AD8DF7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Figures!$I$2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7.8600070763041119</c:v>
                      </c:pt>
                      <c:pt idx="1">
                        <c:v>1.1972874376140006</c:v>
                      </c:pt>
                      <c:pt idx="2">
                        <c:v>2.4938329340620387</c:v>
                      </c:pt>
                      <c:pt idx="3">
                        <c:v>1.4970500769089254</c:v>
                      </c:pt>
                      <c:pt idx="4">
                        <c:v>0.66850651146252016</c:v>
                      </c:pt>
                      <c:pt idx="5">
                        <c:v>3.6168450794466676</c:v>
                      </c:pt>
                      <c:pt idx="6">
                        <c:v>0.77019015867952956</c:v>
                      </c:pt>
                      <c:pt idx="7">
                        <c:v>2.900078512534789</c:v>
                      </c:pt>
                      <c:pt idx="8">
                        <c:v>1.026092981263852</c:v>
                      </c:pt>
                      <c:pt idx="9">
                        <c:v>5.4792121921680783</c:v>
                      </c:pt>
                      <c:pt idx="10">
                        <c:v>1.5693200143785559</c:v>
                      </c:pt>
                      <c:pt idx="11">
                        <c:v>2.1318049061302449</c:v>
                      </c:pt>
                      <c:pt idx="12">
                        <c:v>0.83933839412592803</c:v>
                      </c:pt>
                      <c:pt idx="13">
                        <c:v>0.3677321850379659</c:v>
                      </c:pt>
                      <c:pt idx="14">
                        <c:v>1.0423343392335773</c:v>
                      </c:pt>
                      <c:pt idx="15">
                        <c:v>0.14018731275036503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BEA-4A90-A934-884034AD8DF7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Figures!$K$2</c15:sqref>
                        </c15:formulaRef>
                      </c:ext>
                    </c:extLst>
                    <c:strCache>
                      <c:ptCount val="1"/>
                      <c:pt idx="0">
                        <c:v>StE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6.0852193470507769</c:v>
                      </c:pt>
                      <c:pt idx="1">
                        <c:v>1.0165037429135271</c:v>
                      </c:pt>
                      <c:pt idx="2">
                        <c:v>1.3158583748288872</c:v>
                      </c:pt>
                      <c:pt idx="3">
                        <c:v>1.2065167016057476</c:v>
                      </c:pt>
                      <c:pt idx="4">
                        <c:v>0.47277881881304551</c:v>
                      </c:pt>
                      <c:pt idx="5">
                        <c:v>3.2560012869485706</c:v>
                      </c:pt>
                      <c:pt idx="6">
                        <c:v>0.65204950352011737</c:v>
                      </c:pt>
                      <c:pt idx="7">
                        <c:v>2.1395736363621336</c:v>
                      </c:pt>
                      <c:pt idx="8">
                        <c:v>0.23751674097690928</c:v>
                      </c:pt>
                      <c:pt idx="9">
                        <c:v>3.4829721306106634</c:v>
                      </c:pt>
                      <c:pt idx="10">
                        <c:v>1.1566168491684266</c:v>
                      </c:pt>
                      <c:pt idx="11">
                        <c:v>1.5678735259499927</c:v>
                      </c:pt>
                      <c:pt idx="12">
                        <c:v>0.67180305386889694</c:v>
                      </c:pt>
                      <c:pt idx="13">
                        <c:v>0.3126591635061704</c:v>
                      </c:pt>
                      <c:pt idx="14">
                        <c:v>0.77031992645625624</c:v>
                      </c:pt>
                      <c:pt idx="15">
                        <c:v>0.11875736972097764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BEA-4A90-A934-884034AD8DF7}"/>
                  </c:ext>
                </c:extLst>
              </c15:ser>
            </c15:filteredBarSeries>
          </c:ext>
        </c:extLst>
      </c:barChart>
      <c:catAx>
        <c:axId val="4168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40336"/>
        <c:crosses val="autoZero"/>
        <c:auto val="1"/>
        <c:lblAlgn val="ctr"/>
        <c:lblOffset val="100"/>
        <c:noMultiLvlLbl val="0"/>
      </c:catAx>
      <c:valAx>
        <c:axId val="416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Bn</a:t>
                </a:r>
                <a:r>
                  <a:rPr lang="de-DE" b="1" baseline="0"/>
                  <a:t> US-$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Cost of complying with high-ambition NDCs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Figures!$D$31</c:f>
              <c:strCache>
                <c:ptCount val="1"/>
                <c:pt idx="0">
                  <c:v>Domestic carbon trading schemes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Figures!$E$32:$E$47</c:f>
                <c:numCache>
                  <c:formatCode>General</c:formatCode>
                  <c:ptCount val="16"/>
                  <c:pt idx="0">
                    <c:v>23.020914076401109</c:v>
                  </c:pt>
                  <c:pt idx="1">
                    <c:v>7.0052385115268532</c:v>
                  </c:pt>
                  <c:pt idx="2">
                    <c:v>17.699128157723457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5.3282642458292973</c:v>
                  </c:pt>
                  <c:pt idx="6">
                    <c:v>4.0064527621058703</c:v>
                  </c:pt>
                  <c:pt idx="7">
                    <c:v>0.27486205061007962</c:v>
                  </c:pt>
                  <c:pt idx="8">
                    <c:v>12.829625309471956</c:v>
                  </c:pt>
                  <c:pt idx="9">
                    <c:v>24.075733801368905</c:v>
                  </c:pt>
                  <c:pt idx="10">
                    <c:v>0.70184397769083606</c:v>
                  </c:pt>
                  <c:pt idx="11">
                    <c:v>3.3228281716331467</c:v>
                  </c:pt>
                  <c:pt idx="12">
                    <c:v>2.2517791776309521</c:v>
                  </c:pt>
                  <c:pt idx="13">
                    <c:v>1.2214705030623547</c:v>
                  </c:pt>
                  <c:pt idx="14">
                    <c:v>0.526516178732086</c:v>
                  </c:pt>
                  <c:pt idx="15">
                    <c:v>0.19097632532838515</c:v>
                  </c:pt>
                </c:numCache>
              </c:numRef>
            </c:plus>
            <c:minus>
              <c:numRef>
                <c:f>Figures!$E$32:$E$47</c:f>
                <c:numCache>
                  <c:formatCode>General</c:formatCode>
                  <c:ptCount val="16"/>
                  <c:pt idx="0">
                    <c:v>23.020914076401109</c:v>
                  </c:pt>
                  <c:pt idx="1">
                    <c:v>7.0052385115268532</c:v>
                  </c:pt>
                  <c:pt idx="2">
                    <c:v>17.699128157723457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5.3282642458292973</c:v>
                  </c:pt>
                  <c:pt idx="6">
                    <c:v>4.0064527621058703</c:v>
                  </c:pt>
                  <c:pt idx="7">
                    <c:v>0.27486205061007962</c:v>
                  </c:pt>
                  <c:pt idx="8">
                    <c:v>12.829625309471956</c:v>
                  </c:pt>
                  <c:pt idx="9">
                    <c:v>24.075733801368905</c:v>
                  </c:pt>
                  <c:pt idx="10">
                    <c:v>0.70184397769083606</c:v>
                  </c:pt>
                  <c:pt idx="11">
                    <c:v>3.3228281716331467</c:v>
                  </c:pt>
                  <c:pt idx="12">
                    <c:v>2.2517791776309521</c:v>
                  </c:pt>
                  <c:pt idx="13">
                    <c:v>1.2214705030623547</c:v>
                  </c:pt>
                  <c:pt idx="14">
                    <c:v>0.526516178732086</c:v>
                  </c:pt>
                  <c:pt idx="15">
                    <c:v>0.19097632532838515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Figures!$D$32:$D$47</c:f>
              <c:numCache>
                <c:formatCode>General</c:formatCode>
                <c:ptCount val="16"/>
                <c:pt idx="0">
                  <c:v>35.812384436024161</c:v>
                </c:pt>
                <c:pt idx="1">
                  <c:v>15.224007212336124</c:v>
                </c:pt>
                <c:pt idx="2">
                  <c:v>30.055903557093021</c:v>
                </c:pt>
                <c:pt idx="3">
                  <c:v>8.013564240410938</c:v>
                </c:pt>
                <c:pt idx="4">
                  <c:v>5.9981480050157264E-2</c:v>
                </c:pt>
                <c:pt idx="5">
                  <c:v>5.3828821021158477</c:v>
                </c:pt>
                <c:pt idx="6">
                  <c:v>6.8301918621308078</c:v>
                </c:pt>
                <c:pt idx="7">
                  <c:v>0.11221196227495682</c:v>
                </c:pt>
                <c:pt idx="8">
                  <c:v>25.471020428278731</c:v>
                </c:pt>
                <c:pt idx="9">
                  <c:v>40.74179773166059</c:v>
                </c:pt>
                <c:pt idx="10">
                  <c:v>0.74076467886233488</c:v>
                </c:pt>
                <c:pt idx="11">
                  <c:v>4.2986654127019035</c:v>
                </c:pt>
                <c:pt idx="12">
                  <c:v>3.6218990268877462</c:v>
                </c:pt>
                <c:pt idx="13">
                  <c:v>0.66735102908090038</c:v>
                </c:pt>
                <c:pt idx="14">
                  <c:v>1.102115279002706</c:v>
                </c:pt>
                <c:pt idx="15">
                  <c:v>0.18018705359088086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42-403B-A013-387421E2B6E0}"/>
            </c:ext>
          </c:extLst>
        </c:ser>
        <c:ser>
          <c:idx val="2"/>
          <c:order val="2"/>
          <c:tx>
            <c:strRef>
              <c:f>Figures!$F$31</c:f>
              <c:strCache>
                <c:ptCount val="1"/>
                <c:pt idx="0">
                  <c:v>with variations in CDR and ambition, if different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Figures!$G$32:$G$47</c:f>
                <c:numCache>
                  <c:formatCode>General</c:formatCode>
                  <c:ptCount val="16"/>
                  <c:pt idx="0">
                    <c:v>19.110858420072361</c:v>
                  </c:pt>
                  <c:pt idx="1">
                    <c:v>0</c:v>
                  </c:pt>
                  <c:pt idx="2">
                    <c:v>7.7396425729780489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3.2531771143104544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Figures!$G$32:$G$47</c:f>
                <c:numCache>
                  <c:formatCode>General</c:formatCode>
                  <c:ptCount val="16"/>
                  <c:pt idx="0">
                    <c:v>19.110858420072361</c:v>
                  </c:pt>
                  <c:pt idx="1">
                    <c:v>0</c:v>
                  </c:pt>
                  <c:pt idx="2">
                    <c:v>7.7396425729780489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3.2531771143104544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Figures!$F$32:$F$47</c:f>
              <c:numCache>
                <c:formatCode>General</c:formatCode>
                <c:ptCount val="16"/>
                <c:pt idx="0">
                  <c:v>26.723593700948765</c:v>
                </c:pt>
                <c:pt idx="1">
                  <c:v>0</c:v>
                </c:pt>
                <c:pt idx="2">
                  <c:v>7.0576991632221935</c:v>
                </c:pt>
                <c:pt idx="3">
                  <c:v>6.8229901888123825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3.2478952624986257</c:v>
                </c:pt>
                <c:pt idx="9">
                  <c:v>15.829870100976294</c:v>
                </c:pt>
                <c:pt idx="10">
                  <c:v>0</c:v>
                </c:pt>
                <c:pt idx="11">
                  <c:v>0</c:v>
                </c:pt>
                <c:pt idx="12">
                  <c:v>2.887871365037137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A42-403B-A013-387421E2B6E0}"/>
            </c:ext>
          </c:extLst>
        </c:ser>
        <c:ser>
          <c:idx val="4"/>
          <c:order val="4"/>
          <c:tx>
            <c:strRef>
              <c:f>Figures!$H$31</c:f>
              <c:strCache>
                <c:ptCount val="1"/>
                <c:pt idx="0">
                  <c:v>International Carbon Market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Figures!$I$32:$I$47</c:f>
                <c:numCache>
                  <c:formatCode>General</c:formatCode>
                  <c:ptCount val="16"/>
                  <c:pt idx="0">
                    <c:v>12.841295627312778</c:v>
                  </c:pt>
                  <c:pt idx="1">
                    <c:v>2.1101576164978635</c:v>
                  </c:pt>
                  <c:pt idx="2">
                    <c:v>4.4376828060074525</c:v>
                  </c:pt>
                  <c:pt idx="3">
                    <c:v>2.6017494965937731</c:v>
                  </c:pt>
                  <c:pt idx="4">
                    <c:v>1.5742609681252588</c:v>
                  </c:pt>
                  <c:pt idx="5">
                    <c:v>7.5719229836321844</c:v>
                  </c:pt>
                  <c:pt idx="6">
                    <c:v>1.2531573473713806</c:v>
                  </c:pt>
                  <c:pt idx="7">
                    <c:v>6.8157693640379327</c:v>
                  </c:pt>
                  <c:pt idx="8">
                    <c:v>2.4989936089329077</c:v>
                  </c:pt>
                  <c:pt idx="9">
                    <c:v>8.810173509951257</c:v>
                  </c:pt>
                  <c:pt idx="10">
                    <c:v>2.3558878190530814</c:v>
                  </c:pt>
                  <c:pt idx="11">
                    <c:v>3.0114599131275259</c:v>
                  </c:pt>
                  <c:pt idx="12">
                    <c:v>1.2892235033279393</c:v>
                  </c:pt>
                  <c:pt idx="13">
                    <c:v>1.8512021640486678</c:v>
                  </c:pt>
                  <c:pt idx="14">
                    <c:v>0.52574028480849344</c:v>
                  </c:pt>
                  <c:pt idx="15">
                    <c:v>0.25120567025985419</c:v>
                  </c:pt>
                </c:numCache>
              </c:numRef>
            </c:plus>
            <c:minus>
              <c:numRef>
                <c:f>Figures!$I$32:$I$47</c:f>
                <c:numCache>
                  <c:formatCode>General</c:formatCode>
                  <c:ptCount val="16"/>
                  <c:pt idx="0">
                    <c:v>12.841295627312778</c:v>
                  </c:pt>
                  <c:pt idx="1">
                    <c:v>2.1101576164978635</c:v>
                  </c:pt>
                  <c:pt idx="2">
                    <c:v>4.4376828060074525</c:v>
                  </c:pt>
                  <c:pt idx="3">
                    <c:v>2.6017494965937731</c:v>
                  </c:pt>
                  <c:pt idx="4">
                    <c:v>1.5742609681252588</c:v>
                  </c:pt>
                  <c:pt idx="5">
                    <c:v>7.5719229836321844</c:v>
                  </c:pt>
                  <c:pt idx="6">
                    <c:v>1.2531573473713806</c:v>
                  </c:pt>
                  <c:pt idx="7">
                    <c:v>6.8157693640379327</c:v>
                  </c:pt>
                  <c:pt idx="8">
                    <c:v>2.4989936089329077</c:v>
                  </c:pt>
                  <c:pt idx="9">
                    <c:v>8.810173509951257</c:v>
                  </c:pt>
                  <c:pt idx="10">
                    <c:v>2.3558878190530814</c:v>
                  </c:pt>
                  <c:pt idx="11">
                    <c:v>3.0114599131275259</c:v>
                  </c:pt>
                  <c:pt idx="12">
                    <c:v>1.2892235033279393</c:v>
                  </c:pt>
                  <c:pt idx="13">
                    <c:v>1.8512021640486678</c:v>
                  </c:pt>
                  <c:pt idx="14">
                    <c:v>0.52574028480849344</c:v>
                  </c:pt>
                  <c:pt idx="15">
                    <c:v>0.25120567025985419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Figures!$H$32:$H$47</c:f>
              <c:numCache>
                <c:formatCode>General</c:formatCode>
                <c:ptCount val="16"/>
                <c:pt idx="0">
                  <c:v>19.07340388334126</c:v>
                </c:pt>
                <c:pt idx="1">
                  <c:v>3.4770632417092657</c:v>
                </c:pt>
                <c:pt idx="2">
                  <c:v>7.1217338615613484</c:v>
                </c:pt>
                <c:pt idx="3">
                  <c:v>3.3825708546321791</c:v>
                </c:pt>
                <c:pt idx="4">
                  <c:v>-2.2475863013777739</c:v>
                </c:pt>
                <c:pt idx="5">
                  <c:v>-1.2366760986781056</c:v>
                </c:pt>
                <c:pt idx="6">
                  <c:v>1.9261930384547397</c:v>
                </c:pt>
                <c:pt idx="7">
                  <c:v>-8.5662497749987683</c:v>
                </c:pt>
                <c:pt idx="8">
                  <c:v>3.7274748339045587</c:v>
                </c:pt>
                <c:pt idx="9">
                  <c:v>13.635139673658202</c:v>
                </c:pt>
                <c:pt idx="10">
                  <c:v>-0.82856751142348994</c:v>
                </c:pt>
                <c:pt idx="11">
                  <c:v>4.0953901127534023</c:v>
                </c:pt>
                <c:pt idx="12">
                  <c:v>2.0266555603531029</c:v>
                </c:pt>
                <c:pt idx="13">
                  <c:v>1.4480856517887627E-2</c:v>
                </c:pt>
                <c:pt idx="14">
                  <c:v>0.88994553130962872</c:v>
                </c:pt>
                <c:pt idx="15">
                  <c:v>4.0655556410141618E-2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A42-403B-A013-387421E2B6E0}"/>
            </c:ext>
          </c:extLst>
        </c:ser>
        <c:ser>
          <c:idx val="6"/>
          <c:order val="6"/>
          <c:tx>
            <c:strRef>
              <c:f>Figures!$J$31</c:f>
              <c:strCache>
                <c:ptCount val="1"/>
                <c:pt idx="0">
                  <c:v>with Variations in CDR and ambition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Figures!$K$32:$K$47</c:f>
                <c:numCache>
                  <c:formatCode>General</c:formatCode>
                  <c:ptCount val="16"/>
                  <c:pt idx="0">
                    <c:v>10.482750395882078</c:v>
                  </c:pt>
                  <c:pt idx="1">
                    <c:v>1.8892451709203579</c:v>
                  </c:pt>
                  <c:pt idx="2">
                    <c:v>2.5827537110874772</c:v>
                  </c:pt>
                  <c:pt idx="3">
                    <c:v>2.1848365664108274</c:v>
                  </c:pt>
                  <c:pt idx="4">
                    <c:v>1.2469746607341374</c:v>
                  </c:pt>
                  <c:pt idx="5">
                    <c:v>6.8036773246593354</c:v>
                  </c:pt>
                  <c:pt idx="6">
                    <c:v>1.1155393165637413</c:v>
                  </c:pt>
                  <c:pt idx="7">
                    <c:v>5.5189285114384656</c:v>
                  </c:pt>
                  <c:pt idx="8">
                    <c:v>1.4106858446335249</c:v>
                  </c:pt>
                  <c:pt idx="9">
                    <c:v>5.8519815194151601</c:v>
                  </c:pt>
                  <c:pt idx="10">
                    <c:v>1.938797538891305</c:v>
                  </c:pt>
                  <c:pt idx="11">
                    <c:v>2.826053857269855</c:v>
                  </c:pt>
                  <c:pt idx="12">
                    <c:v>1.0793981066752627</c:v>
                  </c:pt>
                  <c:pt idx="13">
                    <c:v>1.6173675511578522</c:v>
                  </c:pt>
                  <c:pt idx="14">
                    <c:v>0.49511871476765085</c:v>
                  </c:pt>
                  <c:pt idx="15">
                    <c:v>0.21281554260557201</c:v>
                  </c:pt>
                </c:numCache>
              </c:numRef>
            </c:plus>
            <c:minus>
              <c:numRef>
                <c:f>Figures!$K$32:$K$47</c:f>
                <c:numCache>
                  <c:formatCode>General</c:formatCode>
                  <c:ptCount val="16"/>
                  <c:pt idx="0">
                    <c:v>10.482750395882078</c:v>
                  </c:pt>
                  <c:pt idx="1">
                    <c:v>1.8892451709203579</c:v>
                  </c:pt>
                  <c:pt idx="2">
                    <c:v>2.5827537110874772</c:v>
                  </c:pt>
                  <c:pt idx="3">
                    <c:v>2.1848365664108274</c:v>
                  </c:pt>
                  <c:pt idx="4">
                    <c:v>1.2469746607341374</c:v>
                  </c:pt>
                  <c:pt idx="5">
                    <c:v>6.8036773246593354</c:v>
                  </c:pt>
                  <c:pt idx="6">
                    <c:v>1.1155393165637413</c:v>
                  </c:pt>
                  <c:pt idx="7">
                    <c:v>5.5189285114384656</c:v>
                  </c:pt>
                  <c:pt idx="8">
                    <c:v>1.4106858446335249</c:v>
                  </c:pt>
                  <c:pt idx="9">
                    <c:v>5.8519815194151601</c:v>
                  </c:pt>
                  <c:pt idx="10">
                    <c:v>1.938797538891305</c:v>
                  </c:pt>
                  <c:pt idx="11">
                    <c:v>2.826053857269855</c:v>
                  </c:pt>
                  <c:pt idx="12">
                    <c:v>1.0793981066752627</c:v>
                  </c:pt>
                  <c:pt idx="13">
                    <c:v>1.6173675511578522</c:v>
                  </c:pt>
                  <c:pt idx="14">
                    <c:v>0.49511871476765085</c:v>
                  </c:pt>
                  <c:pt idx="15">
                    <c:v>0.21281554260557201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Figures!$J$32:$J$47</c:f>
              <c:numCache>
                <c:formatCode>General</c:formatCode>
                <c:ptCount val="16"/>
                <c:pt idx="0">
                  <c:v>14.032314392554625</c:v>
                </c:pt>
                <c:pt idx="1">
                  <c:v>2.8665248278657836</c:v>
                </c:pt>
                <c:pt idx="2">
                  <c:v>3.0105042440189664</c:v>
                </c:pt>
                <c:pt idx="3">
                  <c:v>2.6284516224951786</c:v>
                </c:pt>
                <c:pt idx="4">
                  <c:v>-1.5117709250833651</c:v>
                </c:pt>
                <c:pt idx="5">
                  <c:v>2.0671975638561753</c:v>
                </c:pt>
                <c:pt idx="6">
                  <c:v>1.5989996148811783</c:v>
                </c:pt>
                <c:pt idx="7">
                  <c:v>-6.0522146743499627</c:v>
                </c:pt>
                <c:pt idx="8">
                  <c:v>1.1298716340415975</c:v>
                </c:pt>
                <c:pt idx="9">
                  <c:v>7.3481361385412356</c:v>
                </c:pt>
                <c:pt idx="10">
                  <c:v>-0.2152605863680713</c:v>
                </c:pt>
                <c:pt idx="11">
                  <c:v>3.9140448627749103</c:v>
                </c:pt>
                <c:pt idx="12">
                  <c:v>1.5403053351807259</c:v>
                </c:pt>
                <c:pt idx="13">
                  <c:v>0.23416354138838422</c:v>
                </c:pt>
                <c:pt idx="14">
                  <c:v>1.0083224362577938</c:v>
                </c:pt>
                <c:pt idx="15">
                  <c:v>0.11111648524573385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A42-403B-A013-387421E2B6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3952392"/>
        <c:axId val="553946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Figures!$E$31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>
                      <a:shade val="6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Figures!$E$32:$E$47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23.020914076401109</c:v>
                      </c:pt>
                      <c:pt idx="1">
                        <c:v>7.0052385115268532</c:v>
                      </c:pt>
                      <c:pt idx="2">
                        <c:v>17.699128157723457</c:v>
                      </c:pt>
                      <c:pt idx="3">
                        <c:v>8.414464729881594</c:v>
                      </c:pt>
                      <c:pt idx="4">
                        <c:v>0.11505471080031769</c:v>
                      </c:pt>
                      <c:pt idx="5">
                        <c:v>5.3282642458292973</c:v>
                      </c:pt>
                      <c:pt idx="6">
                        <c:v>4.0064527621058703</c:v>
                      </c:pt>
                      <c:pt idx="7">
                        <c:v>0.27486205061007962</c:v>
                      </c:pt>
                      <c:pt idx="8">
                        <c:v>12.829625309471956</c:v>
                      </c:pt>
                      <c:pt idx="9">
                        <c:v>24.075733801368905</c:v>
                      </c:pt>
                      <c:pt idx="10">
                        <c:v>0.70184397769083606</c:v>
                      </c:pt>
                      <c:pt idx="11">
                        <c:v>3.3228281716331467</c:v>
                      </c:pt>
                      <c:pt idx="12">
                        <c:v>2.2517791776309521</c:v>
                      </c:pt>
                      <c:pt idx="13">
                        <c:v>1.2214705030623547</c:v>
                      </c:pt>
                      <c:pt idx="14">
                        <c:v>0.526516178732086</c:v>
                      </c:pt>
                      <c:pt idx="15">
                        <c:v>0.19097632532838515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2A42-403B-A013-387421E2B6E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Figures!$G$31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>
                      <a:shade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Figures!$G$32:$G$47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19.110858420072361</c:v>
                      </c:pt>
                      <c:pt idx="1">
                        <c:v>0</c:v>
                      </c:pt>
                      <c:pt idx="2">
                        <c:v>7.7396425729780489</c:v>
                      </c:pt>
                      <c:pt idx="3">
                        <c:v>7.7758705738013498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3.2531771143104544</c:v>
                      </c:pt>
                      <c:pt idx="9">
                        <c:v>13.228088275083834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1.9684831958192222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A42-403B-A013-387421E2B6E0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Figures!$I$31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Figures!$I$32:$I$47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12.841295627312778</c:v>
                      </c:pt>
                      <c:pt idx="1">
                        <c:v>2.1101576164978635</c:v>
                      </c:pt>
                      <c:pt idx="2">
                        <c:v>4.4376828060074525</c:v>
                      </c:pt>
                      <c:pt idx="3">
                        <c:v>2.6017494965937731</c:v>
                      </c:pt>
                      <c:pt idx="4">
                        <c:v>1.5742609681252588</c:v>
                      </c:pt>
                      <c:pt idx="5">
                        <c:v>7.5719229836321844</c:v>
                      </c:pt>
                      <c:pt idx="6">
                        <c:v>1.2531573473713806</c:v>
                      </c:pt>
                      <c:pt idx="7">
                        <c:v>6.8157693640379327</c:v>
                      </c:pt>
                      <c:pt idx="8">
                        <c:v>2.4989936089329077</c:v>
                      </c:pt>
                      <c:pt idx="9">
                        <c:v>8.810173509951257</c:v>
                      </c:pt>
                      <c:pt idx="10">
                        <c:v>2.3558878190530814</c:v>
                      </c:pt>
                      <c:pt idx="11">
                        <c:v>3.0114599131275259</c:v>
                      </c:pt>
                      <c:pt idx="12">
                        <c:v>1.2892235033279393</c:v>
                      </c:pt>
                      <c:pt idx="13">
                        <c:v>1.8512021640486678</c:v>
                      </c:pt>
                      <c:pt idx="14">
                        <c:v>0.52574028480849344</c:v>
                      </c:pt>
                      <c:pt idx="15">
                        <c:v>0.25120567025985419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A42-403B-A013-387421E2B6E0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Figures!$K$31</c15:sqref>
                        </c15:formulaRef>
                      </c:ext>
                    </c:extLst>
                    <c:strCache>
                      <c:ptCount val="1"/>
                      <c:pt idx="0">
                        <c:v>StE</c:v>
                      </c:pt>
                    </c:strCache>
                  </c:strRef>
                </c:tx>
                <c:spPr>
                  <a:solidFill>
                    <a:schemeClr val="accent6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Figures!$K$32:$K$47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10.482750395882078</c:v>
                      </c:pt>
                      <c:pt idx="1">
                        <c:v>1.8892451709203579</c:v>
                      </c:pt>
                      <c:pt idx="2">
                        <c:v>2.5827537110874772</c:v>
                      </c:pt>
                      <c:pt idx="3">
                        <c:v>2.1848365664108274</c:v>
                      </c:pt>
                      <c:pt idx="4">
                        <c:v>1.2469746607341374</c:v>
                      </c:pt>
                      <c:pt idx="5">
                        <c:v>6.8036773246593354</c:v>
                      </c:pt>
                      <c:pt idx="6">
                        <c:v>1.1155393165637413</c:v>
                      </c:pt>
                      <c:pt idx="7">
                        <c:v>5.5189285114384656</c:v>
                      </c:pt>
                      <c:pt idx="8">
                        <c:v>1.4106858446335249</c:v>
                      </c:pt>
                      <c:pt idx="9">
                        <c:v>5.8519815194151601</c:v>
                      </c:pt>
                      <c:pt idx="10">
                        <c:v>1.938797538891305</c:v>
                      </c:pt>
                      <c:pt idx="11">
                        <c:v>2.826053857269855</c:v>
                      </c:pt>
                      <c:pt idx="12">
                        <c:v>1.0793981066752627</c:v>
                      </c:pt>
                      <c:pt idx="13">
                        <c:v>1.6173675511578522</c:v>
                      </c:pt>
                      <c:pt idx="14">
                        <c:v>0.49511871476765085</c:v>
                      </c:pt>
                      <c:pt idx="15">
                        <c:v>0.21281554260557201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A42-403B-A013-387421E2B6E0}"/>
                  </c:ext>
                </c:extLst>
              </c15:ser>
            </c15:filteredBarSeries>
          </c:ext>
        </c:extLst>
      </c:barChart>
      <c:catAx>
        <c:axId val="55395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46816"/>
        <c:crosses val="autoZero"/>
        <c:auto val="1"/>
        <c:lblAlgn val="ctr"/>
        <c:lblOffset val="100"/>
        <c:noMultiLvlLbl val="0"/>
      </c:catAx>
      <c:valAx>
        <c:axId val="5539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>
                    <a:effectLst/>
                  </a:rPr>
                  <a:t>Bn US-$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5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/>
              <a:t>Cost</a:t>
            </a:r>
            <a:r>
              <a:rPr lang="de-DE" sz="1800" b="1" baseline="0"/>
              <a:t> of complying with low-ambition NDCs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Figures!$D$2</c:f>
              <c:strCache>
                <c:ptCount val="1"/>
                <c:pt idx="0">
                  <c:v>Domestic carbon trading schemes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Figures!$E$3:$E$18</c:f>
                <c:numCache>
                  <c:formatCode>General</c:formatCode>
                  <c:ptCount val="16"/>
                  <c:pt idx="0">
                    <c:v>20.588789387045104</c:v>
                  </c:pt>
                  <c:pt idx="1">
                    <c:v>5.8865933295691883</c:v>
                  </c:pt>
                  <c:pt idx="2">
                    <c:v>15.647789648434468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2.3718417269496244</c:v>
                  </c:pt>
                  <c:pt idx="6">
                    <c:v>4.0064527621058703</c:v>
                  </c:pt>
                  <c:pt idx="7">
                    <c:v>0</c:v>
                  </c:pt>
                  <c:pt idx="8">
                    <c:v>3.9968495881580886</c:v>
                  </c:pt>
                  <c:pt idx="9">
                    <c:v>24.075733801368905</c:v>
                  </c:pt>
                  <c:pt idx="10">
                    <c:v>0</c:v>
                  </c:pt>
                  <c:pt idx="11">
                    <c:v>4.5359160500186023E-4</c:v>
                  </c:pt>
                  <c:pt idx="12">
                    <c:v>2.2517791776309521</c:v>
                  </c:pt>
                  <c:pt idx="13">
                    <c:v>0.15990692896233716</c:v>
                  </c:pt>
                  <c:pt idx="14">
                    <c:v>0</c:v>
                  </c:pt>
                  <c:pt idx="15">
                    <c:v>0.14722294286171433</c:v>
                  </c:pt>
                </c:numCache>
              </c:numRef>
            </c:plus>
            <c:minus>
              <c:numRef>
                <c:f>Figures!$E$3:$E$18</c:f>
                <c:numCache>
                  <c:formatCode>General</c:formatCode>
                  <c:ptCount val="16"/>
                  <c:pt idx="0">
                    <c:v>20.588789387045104</c:v>
                  </c:pt>
                  <c:pt idx="1">
                    <c:v>5.8865933295691883</c:v>
                  </c:pt>
                  <c:pt idx="2">
                    <c:v>15.647789648434468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2.3718417269496244</c:v>
                  </c:pt>
                  <c:pt idx="6">
                    <c:v>4.0064527621058703</c:v>
                  </c:pt>
                  <c:pt idx="7">
                    <c:v>0</c:v>
                  </c:pt>
                  <c:pt idx="8">
                    <c:v>3.9968495881580886</c:v>
                  </c:pt>
                  <c:pt idx="9">
                    <c:v>24.075733801368905</c:v>
                  </c:pt>
                  <c:pt idx="10">
                    <c:v>0</c:v>
                  </c:pt>
                  <c:pt idx="11">
                    <c:v>4.5359160500186023E-4</c:v>
                  </c:pt>
                  <c:pt idx="12">
                    <c:v>2.2517791776309521</c:v>
                  </c:pt>
                  <c:pt idx="13">
                    <c:v>0.15990692896233716</c:v>
                  </c:pt>
                  <c:pt idx="14">
                    <c:v>0</c:v>
                  </c:pt>
                  <c:pt idx="15">
                    <c:v>0.14722294286171433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Figures!$D$3:$D$18</c:f>
              <c:numCache>
                <c:formatCode>General</c:formatCode>
                <c:ptCount val="16"/>
                <c:pt idx="0">
                  <c:v>30.00926102251147</c:v>
                </c:pt>
                <c:pt idx="1">
                  <c:v>11.271292571674019</c:v>
                </c:pt>
                <c:pt idx="2">
                  <c:v>23.724355454204101</c:v>
                </c:pt>
                <c:pt idx="3">
                  <c:v>8.013564240410938</c:v>
                </c:pt>
                <c:pt idx="4">
                  <c:v>5.9981480050157264E-2</c:v>
                </c:pt>
                <c:pt idx="5">
                  <c:v>1.6799511467336448</c:v>
                </c:pt>
                <c:pt idx="6">
                  <c:v>6.8301918621308078</c:v>
                </c:pt>
                <c:pt idx="7">
                  <c:v>0</c:v>
                </c:pt>
                <c:pt idx="8">
                  <c:v>4.3828840846686887</c:v>
                </c:pt>
                <c:pt idx="9">
                  <c:v>40.74179773166059</c:v>
                </c:pt>
                <c:pt idx="10">
                  <c:v>0</c:v>
                </c:pt>
                <c:pt idx="11">
                  <c:v>1.8517799731076925E-4</c:v>
                </c:pt>
                <c:pt idx="12">
                  <c:v>3.6218990268877462</c:v>
                </c:pt>
                <c:pt idx="13">
                  <c:v>6.5281730382200531E-2</c:v>
                </c:pt>
                <c:pt idx="14">
                  <c:v>0</c:v>
                </c:pt>
                <c:pt idx="15">
                  <c:v>0.11941922773296049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D1-40FF-9CD8-1262A1E87C18}"/>
            </c:ext>
          </c:extLst>
        </c:ser>
        <c:ser>
          <c:idx val="2"/>
          <c:order val="2"/>
          <c:tx>
            <c:strRef>
              <c:f>Figures!$F$2</c:f>
              <c:strCache>
                <c:ptCount val="1"/>
                <c:pt idx="0">
                  <c:v>with variations in CDR and ambition, if different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Figures!$G$3:$G$18</c:f>
                <c:numCache>
                  <c:formatCode>General</c:formatCode>
                  <c:ptCount val="16"/>
                  <c:pt idx="0">
                    <c:v>16.853313517163837</c:v>
                  </c:pt>
                  <c:pt idx="1">
                    <c:v>0</c:v>
                  </c:pt>
                  <c:pt idx="2">
                    <c:v>6.2043491221503748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0.21907045610234196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Figures!$G$3:$G$18</c:f>
                <c:numCache>
                  <c:formatCode>General</c:formatCode>
                  <c:ptCount val="16"/>
                  <c:pt idx="0">
                    <c:v>16.853313517163837</c:v>
                  </c:pt>
                  <c:pt idx="1">
                    <c:v>0</c:v>
                  </c:pt>
                  <c:pt idx="2">
                    <c:v>6.2043491221503748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0.21907045610234196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Figures!$F$3:$F$18</c:f>
              <c:numCache>
                <c:formatCode>General</c:formatCode>
                <c:ptCount val="16"/>
                <c:pt idx="0">
                  <c:v>22.04825479691387</c:v>
                </c:pt>
                <c:pt idx="1">
                  <c:v>0</c:v>
                </c:pt>
                <c:pt idx="2">
                  <c:v>5.0106552998122398</c:v>
                </c:pt>
                <c:pt idx="3">
                  <c:v>6.8229901888123825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8.9584652049752786E-2</c:v>
                </c:pt>
                <c:pt idx="9">
                  <c:v>15.829870100976294</c:v>
                </c:pt>
                <c:pt idx="10">
                  <c:v>0</c:v>
                </c:pt>
                <c:pt idx="11">
                  <c:v>0</c:v>
                </c:pt>
                <c:pt idx="12">
                  <c:v>2.887871365037137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D1-40FF-9CD8-1262A1E87C18}"/>
            </c:ext>
          </c:extLst>
        </c:ser>
        <c:ser>
          <c:idx val="4"/>
          <c:order val="4"/>
          <c:tx>
            <c:strRef>
              <c:f>Figures!$H$2</c:f>
              <c:strCache>
                <c:ptCount val="1"/>
                <c:pt idx="0">
                  <c:v>International Carbon Market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Figures!$I$3:$I$18</c:f>
                <c:numCache>
                  <c:formatCode>General</c:formatCode>
                  <c:ptCount val="16"/>
                  <c:pt idx="0">
                    <c:v>7.8600070763041119</c:v>
                  </c:pt>
                  <c:pt idx="1">
                    <c:v>1.1972874376140006</c:v>
                  </c:pt>
                  <c:pt idx="2">
                    <c:v>2.4938329340620387</c:v>
                  </c:pt>
                  <c:pt idx="3">
                    <c:v>1.4970500769089254</c:v>
                  </c:pt>
                  <c:pt idx="4">
                    <c:v>0.66850651146252016</c:v>
                  </c:pt>
                  <c:pt idx="5">
                    <c:v>3.6168450794466676</c:v>
                  </c:pt>
                  <c:pt idx="6">
                    <c:v>0.77019015867952956</c:v>
                  </c:pt>
                  <c:pt idx="7">
                    <c:v>2.900078512534789</c:v>
                  </c:pt>
                  <c:pt idx="8">
                    <c:v>1.026092981263852</c:v>
                  </c:pt>
                  <c:pt idx="9">
                    <c:v>5.4792121921680783</c:v>
                  </c:pt>
                  <c:pt idx="10">
                    <c:v>1.5693200143785559</c:v>
                  </c:pt>
                  <c:pt idx="11">
                    <c:v>2.1318049061302449</c:v>
                  </c:pt>
                  <c:pt idx="12">
                    <c:v>0.83933839412592803</c:v>
                  </c:pt>
                  <c:pt idx="13">
                    <c:v>0.3677321850379659</c:v>
                  </c:pt>
                  <c:pt idx="14">
                    <c:v>1.0423343392335773</c:v>
                  </c:pt>
                  <c:pt idx="15">
                    <c:v>0.14018731275036503</c:v>
                  </c:pt>
                </c:numCache>
              </c:numRef>
            </c:plus>
            <c:minus>
              <c:numRef>
                <c:f>Figures!$I$3:$I$18</c:f>
                <c:numCache>
                  <c:formatCode>General</c:formatCode>
                  <c:ptCount val="16"/>
                  <c:pt idx="0">
                    <c:v>7.8600070763041119</c:v>
                  </c:pt>
                  <c:pt idx="1">
                    <c:v>1.1972874376140006</c:v>
                  </c:pt>
                  <c:pt idx="2">
                    <c:v>2.4938329340620387</c:v>
                  </c:pt>
                  <c:pt idx="3">
                    <c:v>1.4970500769089254</c:v>
                  </c:pt>
                  <c:pt idx="4">
                    <c:v>0.66850651146252016</c:v>
                  </c:pt>
                  <c:pt idx="5">
                    <c:v>3.6168450794466676</c:v>
                  </c:pt>
                  <c:pt idx="6">
                    <c:v>0.77019015867952956</c:v>
                  </c:pt>
                  <c:pt idx="7">
                    <c:v>2.900078512534789</c:v>
                  </c:pt>
                  <c:pt idx="8">
                    <c:v>1.026092981263852</c:v>
                  </c:pt>
                  <c:pt idx="9">
                    <c:v>5.4792121921680783</c:v>
                  </c:pt>
                  <c:pt idx="10">
                    <c:v>1.5693200143785559</c:v>
                  </c:pt>
                  <c:pt idx="11">
                    <c:v>2.1318049061302449</c:v>
                  </c:pt>
                  <c:pt idx="12">
                    <c:v>0.83933839412592803</c:v>
                  </c:pt>
                  <c:pt idx="13">
                    <c:v>0.3677321850379659</c:v>
                  </c:pt>
                  <c:pt idx="14">
                    <c:v>1.0423343392335773</c:v>
                  </c:pt>
                  <c:pt idx="15">
                    <c:v>0.14018731275036503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Figures!$H$3:$H$18</c:f>
              <c:numCache>
                <c:formatCode>General</c:formatCode>
                <c:ptCount val="16"/>
                <c:pt idx="0">
                  <c:v>10.007942107338598</c:v>
                </c:pt>
                <c:pt idx="1">
                  <c:v>1.6267425280560124</c:v>
                </c:pt>
                <c:pt idx="2">
                  <c:v>3.4092383265858452</c:v>
                </c:pt>
                <c:pt idx="3">
                  <c:v>1.868799075692019</c:v>
                </c:pt>
                <c:pt idx="4">
                  <c:v>-0.58901820417002004</c:v>
                </c:pt>
                <c:pt idx="5">
                  <c:v>-1.2524875925755488</c:v>
                </c:pt>
                <c:pt idx="6">
                  <c:v>1.0250254085113164</c:v>
                </c:pt>
                <c:pt idx="7">
                  <c:v>-3.4966188421649016</c:v>
                </c:pt>
                <c:pt idx="8">
                  <c:v>0.89811443487276132</c:v>
                </c:pt>
                <c:pt idx="9">
                  <c:v>7.3438757498106888</c:v>
                </c:pt>
                <c:pt idx="10">
                  <c:v>-1.8659975112244152</c:v>
                </c:pt>
                <c:pt idx="11">
                  <c:v>-2.5040248023958069</c:v>
                </c:pt>
                <c:pt idx="12">
                  <c:v>1.1551965719512176</c:v>
                </c:pt>
                <c:pt idx="13">
                  <c:v>-0.45051564453652276</c:v>
                </c:pt>
                <c:pt idx="14">
                  <c:v>-1.2806040986910139</c:v>
                </c:pt>
                <c:pt idx="15">
                  <c:v>8.6580556106521309E-2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D1-40FF-9CD8-1262A1E87C18}"/>
            </c:ext>
          </c:extLst>
        </c:ser>
        <c:ser>
          <c:idx val="6"/>
          <c:order val="6"/>
          <c:tx>
            <c:strRef>
              <c:f>Figures!$J$2</c:f>
              <c:strCache>
                <c:ptCount val="1"/>
                <c:pt idx="0">
                  <c:v>with Variations in CDR and ambition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Figures!$K$3:$K$18</c:f>
                <c:numCache>
                  <c:formatCode>General</c:formatCode>
                  <c:ptCount val="16"/>
                  <c:pt idx="0">
                    <c:v>6.0852193470507769</c:v>
                  </c:pt>
                  <c:pt idx="1">
                    <c:v>1.0165037429135271</c:v>
                  </c:pt>
                  <c:pt idx="2">
                    <c:v>1.3158583748288872</c:v>
                  </c:pt>
                  <c:pt idx="3">
                    <c:v>1.2065167016057476</c:v>
                  </c:pt>
                  <c:pt idx="4">
                    <c:v>0.47277881881304551</c:v>
                  </c:pt>
                  <c:pt idx="5">
                    <c:v>3.2560012869485706</c:v>
                  </c:pt>
                  <c:pt idx="6">
                    <c:v>0.65204950352011737</c:v>
                  </c:pt>
                  <c:pt idx="7">
                    <c:v>2.1395736363621336</c:v>
                  </c:pt>
                  <c:pt idx="8">
                    <c:v>0.23751674097690928</c:v>
                  </c:pt>
                  <c:pt idx="9">
                    <c:v>3.4829721306106634</c:v>
                  </c:pt>
                  <c:pt idx="10">
                    <c:v>1.1566168491684266</c:v>
                  </c:pt>
                  <c:pt idx="11">
                    <c:v>1.5678735259499927</c:v>
                  </c:pt>
                  <c:pt idx="12">
                    <c:v>0.67180305386889694</c:v>
                  </c:pt>
                  <c:pt idx="13">
                    <c:v>0.3126591635061704</c:v>
                  </c:pt>
                  <c:pt idx="14">
                    <c:v>0.77031992645625624</c:v>
                  </c:pt>
                  <c:pt idx="15">
                    <c:v>0.11875736972097764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Figures!$C$3:$C$18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Figures!$J$3:$J$18</c:f>
              <c:numCache>
                <c:formatCode>General</c:formatCode>
                <c:ptCount val="16"/>
                <c:pt idx="0">
                  <c:v>6.8300172542490403</c:v>
                </c:pt>
                <c:pt idx="1">
                  <c:v>1.2321722780417936</c:v>
                </c:pt>
                <c:pt idx="2">
                  <c:v>1.3376438369911521</c:v>
                </c:pt>
                <c:pt idx="3">
                  <c:v>1.3465719717660285</c:v>
                </c:pt>
                <c:pt idx="4">
                  <c:v>-0.30549535964690555</c:v>
                </c:pt>
                <c:pt idx="5">
                  <c:v>0.40219859280579889</c:v>
                </c:pt>
                <c:pt idx="6">
                  <c:v>0.77890066662660107</c:v>
                </c:pt>
                <c:pt idx="7">
                  <c:v>-2.2541165205452378</c:v>
                </c:pt>
                <c:pt idx="8">
                  <c:v>6.0369052327975126E-3</c:v>
                </c:pt>
                <c:pt idx="9">
                  <c:v>3.8447655137861037</c:v>
                </c:pt>
                <c:pt idx="10">
                  <c:v>-1.196463080663031</c:v>
                </c:pt>
                <c:pt idx="11">
                  <c:v>-1.601770087209309</c:v>
                </c:pt>
                <c:pt idx="12">
                  <c:v>0.81364772290702325</c:v>
                </c:pt>
                <c:pt idx="13">
                  <c:v>-0.22996978752485242</c:v>
                </c:pt>
                <c:pt idx="14">
                  <c:v>-0.82133990031342208</c:v>
                </c:pt>
                <c:pt idx="15">
                  <c:v>9.8838762855413875E-2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9D1-40FF-9CD8-1262A1E87C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416835416"/>
        <c:axId val="4168403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Figures!$E$2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Figures!$E$3:$E$18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20.588789387045104</c:v>
                      </c:pt>
                      <c:pt idx="1">
                        <c:v>5.8865933295691883</c:v>
                      </c:pt>
                      <c:pt idx="2">
                        <c:v>15.647789648434468</c:v>
                      </c:pt>
                      <c:pt idx="3">
                        <c:v>8.414464729881594</c:v>
                      </c:pt>
                      <c:pt idx="4">
                        <c:v>0.11505471080031769</c:v>
                      </c:pt>
                      <c:pt idx="5">
                        <c:v>2.3718417269496244</c:v>
                      </c:pt>
                      <c:pt idx="6">
                        <c:v>4.0064527621058703</c:v>
                      </c:pt>
                      <c:pt idx="7">
                        <c:v>0</c:v>
                      </c:pt>
                      <c:pt idx="8">
                        <c:v>3.9968495881580886</c:v>
                      </c:pt>
                      <c:pt idx="9">
                        <c:v>24.075733801368905</c:v>
                      </c:pt>
                      <c:pt idx="10">
                        <c:v>0</c:v>
                      </c:pt>
                      <c:pt idx="11">
                        <c:v>4.5359160500186023E-4</c:v>
                      </c:pt>
                      <c:pt idx="12">
                        <c:v>2.2517791776309521</c:v>
                      </c:pt>
                      <c:pt idx="13">
                        <c:v>0.15990692896233716</c:v>
                      </c:pt>
                      <c:pt idx="14">
                        <c:v>0</c:v>
                      </c:pt>
                      <c:pt idx="15">
                        <c:v>0.14722294286171433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9D1-40FF-9CD8-1262A1E87C1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Figures!$G$2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Figures!$G$3:$G$18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16.853313517163837</c:v>
                      </c:pt>
                      <c:pt idx="1">
                        <c:v>0</c:v>
                      </c:pt>
                      <c:pt idx="2">
                        <c:v>6.2043491221503748</c:v>
                      </c:pt>
                      <c:pt idx="3">
                        <c:v>7.7758705738013498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0.21907045610234196</c:v>
                      </c:pt>
                      <c:pt idx="9">
                        <c:v>13.228088275083834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1.9684831958192222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9D1-40FF-9CD8-1262A1E87C18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Figures!$I$2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Figures!$I$3:$I$18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7.8600070763041119</c:v>
                      </c:pt>
                      <c:pt idx="1">
                        <c:v>1.1972874376140006</c:v>
                      </c:pt>
                      <c:pt idx="2">
                        <c:v>2.4938329340620387</c:v>
                      </c:pt>
                      <c:pt idx="3">
                        <c:v>1.4970500769089254</c:v>
                      </c:pt>
                      <c:pt idx="4">
                        <c:v>0.66850651146252016</c:v>
                      </c:pt>
                      <c:pt idx="5">
                        <c:v>3.6168450794466676</c:v>
                      </c:pt>
                      <c:pt idx="6">
                        <c:v>0.77019015867952956</c:v>
                      </c:pt>
                      <c:pt idx="7">
                        <c:v>2.900078512534789</c:v>
                      </c:pt>
                      <c:pt idx="8">
                        <c:v>1.026092981263852</c:v>
                      </c:pt>
                      <c:pt idx="9">
                        <c:v>5.4792121921680783</c:v>
                      </c:pt>
                      <c:pt idx="10">
                        <c:v>1.5693200143785559</c:v>
                      </c:pt>
                      <c:pt idx="11">
                        <c:v>2.1318049061302449</c:v>
                      </c:pt>
                      <c:pt idx="12">
                        <c:v>0.83933839412592803</c:v>
                      </c:pt>
                      <c:pt idx="13">
                        <c:v>0.3677321850379659</c:v>
                      </c:pt>
                      <c:pt idx="14">
                        <c:v>1.0423343392335773</c:v>
                      </c:pt>
                      <c:pt idx="15">
                        <c:v>0.14018731275036503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9D1-40FF-9CD8-1262A1E87C18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Figures!$K$2</c15:sqref>
                        </c15:formulaRef>
                      </c:ext>
                    </c:extLst>
                    <c:strCache>
                      <c:ptCount val="1"/>
                      <c:pt idx="0">
                        <c:v>StE</c:v>
                      </c:pt>
                    </c:strCache>
                  </c:strRef>
                </c:tx>
                <c:spPr>
                  <a:solidFill>
                    <a:schemeClr val="accent2">
                      <a:lumMod val="60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Figures!$C$3:$C$18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Figures!$K$3:$K$18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6.0852193470507769</c:v>
                      </c:pt>
                      <c:pt idx="1">
                        <c:v>1.0165037429135271</c:v>
                      </c:pt>
                      <c:pt idx="2">
                        <c:v>1.3158583748288872</c:v>
                      </c:pt>
                      <c:pt idx="3">
                        <c:v>1.2065167016057476</c:v>
                      </c:pt>
                      <c:pt idx="4">
                        <c:v>0.47277881881304551</c:v>
                      </c:pt>
                      <c:pt idx="5">
                        <c:v>3.2560012869485706</c:v>
                      </c:pt>
                      <c:pt idx="6">
                        <c:v>0.65204950352011737</c:v>
                      </c:pt>
                      <c:pt idx="7">
                        <c:v>2.1395736363621336</c:v>
                      </c:pt>
                      <c:pt idx="8">
                        <c:v>0.23751674097690928</c:v>
                      </c:pt>
                      <c:pt idx="9">
                        <c:v>3.4829721306106634</c:v>
                      </c:pt>
                      <c:pt idx="10">
                        <c:v>1.1566168491684266</c:v>
                      </c:pt>
                      <c:pt idx="11">
                        <c:v>1.5678735259499927</c:v>
                      </c:pt>
                      <c:pt idx="12">
                        <c:v>0.67180305386889694</c:v>
                      </c:pt>
                      <c:pt idx="13">
                        <c:v>0.3126591635061704</c:v>
                      </c:pt>
                      <c:pt idx="14">
                        <c:v>0.77031992645625624</c:v>
                      </c:pt>
                      <c:pt idx="15">
                        <c:v>0.11875736972097764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9D1-40FF-9CD8-1262A1E87C18}"/>
                  </c:ext>
                </c:extLst>
              </c15:ser>
            </c15:filteredBarSeries>
          </c:ext>
        </c:extLst>
      </c:barChart>
      <c:catAx>
        <c:axId val="416835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40336"/>
        <c:crosses val="autoZero"/>
        <c:auto val="1"/>
        <c:lblAlgn val="ctr"/>
        <c:lblOffset val="100"/>
        <c:noMultiLvlLbl val="0"/>
      </c:catAx>
      <c:valAx>
        <c:axId val="416840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b="1"/>
                  <a:t>Bn</a:t>
                </a:r>
                <a:r>
                  <a:rPr lang="de-DE" b="1" baseline="0"/>
                  <a:t> US-$</a:t>
                </a:r>
                <a:endParaRPr lang="de-DE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16835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800" b="1" i="0" baseline="0">
                <a:effectLst/>
              </a:rPr>
              <a:t>Cost of complying with high-ambition NDCs</a:t>
            </a:r>
            <a:endParaRPr lang="de-D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Figures!$D$31</c:f>
              <c:strCache>
                <c:ptCount val="1"/>
                <c:pt idx="0">
                  <c:v>Domestic carbon trading schemes</c:v>
                </c:pt>
              </c:strCache>
            </c:strRef>
          </c:tx>
          <c:spPr>
            <a:solidFill>
              <a:schemeClr val="accent6">
                <a:shade val="4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Figures!$E$32:$E$47</c:f>
                <c:numCache>
                  <c:formatCode>General</c:formatCode>
                  <c:ptCount val="16"/>
                  <c:pt idx="0">
                    <c:v>23.020914076401109</c:v>
                  </c:pt>
                  <c:pt idx="1">
                    <c:v>7.0052385115268532</c:v>
                  </c:pt>
                  <c:pt idx="2">
                    <c:v>17.699128157723457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5.3282642458292973</c:v>
                  </c:pt>
                  <c:pt idx="6">
                    <c:v>4.0064527621058703</c:v>
                  </c:pt>
                  <c:pt idx="7">
                    <c:v>0.27486205061007962</c:v>
                  </c:pt>
                  <c:pt idx="8">
                    <c:v>12.829625309471956</c:v>
                  </c:pt>
                  <c:pt idx="9">
                    <c:v>24.075733801368905</c:v>
                  </c:pt>
                  <c:pt idx="10">
                    <c:v>0.70184397769083606</c:v>
                  </c:pt>
                  <c:pt idx="11">
                    <c:v>3.3228281716331467</c:v>
                  </c:pt>
                  <c:pt idx="12">
                    <c:v>2.2517791776309521</c:v>
                  </c:pt>
                  <c:pt idx="13">
                    <c:v>1.2214705030623547</c:v>
                  </c:pt>
                  <c:pt idx="14">
                    <c:v>0.526516178732086</c:v>
                  </c:pt>
                  <c:pt idx="15">
                    <c:v>0.19097632532838515</c:v>
                  </c:pt>
                </c:numCache>
              </c:numRef>
            </c:plus>
            <c:minus>
              <c:numRef>
                <c:f>Figures!$E$32:$E$47</c:f>
                <c:numCache>
                  <c:formatCode>General</c:formatCode>
                  <c:ptCount val="16"/>
                  <c:pt idx="0">
                    <c:v>23.020914076401109</c:v>
                  </c:pt>
                  <c:pt idx="1">
                    <c:v>7.0052385115268532</c:v>
                  </c:pt>
                  <c:pt idx="2">
                    <c:v>17.699128157723457</c:v>
                  </c:pt>
                  <c:pt idx="3">
                    <c:v>8.414464729881594</c:v>
                  </c:pt>
                  <c:pt idx="4">
                    <c:v>0.11505471080031769</c:v>
                  </c:pt>
                  <c:pt idx="5">
                    <c:v>5.3282642458292973</c:v>
                  </c:pt>
                  <c:pt idx="6">
                    <c:v>4.0064527621058703</c:v>
                  </c:pt>
                  <c:pt idx="7">
                    <c:v>0.27486205061007962</c:v>
                  </c:pt>
                  <c:pt idx="8">
                    <c:v>12.829625309471956</c:v>
                  </c:pt>
                  <c:pt idx="9">
                    <c:v>24.075733801368905</c:v>
                  </c:pt>
                  <c:pt idx="10">
                    <c:v>0.70184397769083606</c:v>
                  </c:pt>
                  <c:pt idx="11">
                    <c:v>3.3228281716331467</c:v>
                  </c:pt>
                  <c:pt idx="12">
                    <c:v>2.2517791776309521</c:v>
                  </c:pt>
                  <c:pt idx="13">
                    <c:v>1.2214705030623547</c:v>
                  </c:pt>
                  <c:pt idx="14">
                    <c:v>0.526516178732086</c:v>
                  </c:pt>
                  <c:pt idx="15">
                    <c:v>0.19097632532838515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Figures!$D$32:$D$47</c:f>
              <c:numCache>
                <c:formatCode>General</c:formatCode>
                <c:ptCount val="16"/>
                <c:pt idx="0">
                  <c:v>35.812384436024161</c:v>
                </c:pt>
                <c:pt idx="1">
                  <c:v>15.224007212336124</c:v>
                </c:pt>
                <c:pt idx="2">
                  <c:v>30.055903557093021</c:v>
                </c:pt>
                <c:pt idx="3">
                  <c:v>8.013564240410938</c:v>
                </c:pt>
                <c:pt idx="4">
                  <c:v>5.9981480050157264E-2</c:v>
                </c:pt>
                <c:pt idx="5">
                  <c:v>5.3828821021158477</c:v>
                </c:pt>
                <c:pt idx="6">
                  <c:v>6.8301918621308078</c:v>
                </c:pt>
                <c:pt idx="7">
                  <c:v>0.11221196227495682</c:v>
                </c:pt>
                <c:pt idx="8">
                  <c:v>25.471020428278731</c:v>
                </c:pt>
                <c:pt idx="9">
                  <c:v>40.74179773166059</c:v>
                </c:pt>
                <c:pt idx="10">
                  <c:v>0.74076467886233488</c:v>
                </c:pt>
                <c:pt idx="11">
                  <c:v>4.2986654127019035</c:v>
                </c:pt>
                <c:pt idx="12">
                  <c:v>3.6218990268877462</c:v>
                </c:pt>
                <c:pt idx="13">
                  <c:v>0.66735102908090038</c:v>
                </c:pt>
                <c:pt idx="14">
                  <c:v>1.102115279002706</c:v>
                </c:pt>
                <c:pt idx="15">
                  <c:v>0.18018705359088086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61-4CB5-B7B6-AC87EC0C64FC}"/>
            </c:ext>
          </c:extLst>
        </c:ser>
        <c:ser>
          <c:idx val="2"/>
          <c:order val="2"/>
          <c:tx>
            <c:strRef>
              <c:f>Figures!$F$31</c:f>
              <c:strCache>
                <c:ptCount val="1"/>
                <c:pt idx="0">
                  <c:v>with variations in CDR and ambition, if different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Figures!$G$32:$G$47</c:f>
                <c:numCache>
                  <c:formatCode>General</c:formatCode>
                  <c:ptCount val="16"/>
                  <c:pt idx="0">
                    <c:v>19.110858420072361</c:v>
                  </c:pt>
                  <c:pt idx="1">
                    <c:v>0</c:v>
                  </c:pt>
                  <c:pt idx="2">
                    <c:v>7.7396425729780489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3.2531771143104544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plus>
            <c:minus>
              <c:numRef>
                <c:f>Figures!$G$32:$G$47</c:f>
                <c:numCache>
                  <c:formatCode>General</c:formatCode>
                  <c:ptCount val="16"/>
                  <c:pt idx="0">
                    <c:v>19.110858420072361</c:v>
                  </c:pt>
                  <c:pt idx="1">
                    <c:v>0</c:v>
                  </c:pt>
                  <c:pt idx="2">
                    <c:v>7.7396425729780489</c:v>
                  </c:pt>
                  <c:pt idx="3">
                    <c:v>7.7758705738013498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3.2531771143104544</c:v>
                  </c:pt>
                  <c:pt idx="9">
                    <c:v>13.228088275083834</c:v>
                  </c:pt>
                  <c:pt idx="10">
                    <c:v>0</c:v>
                  </c:pt>
                  <c:pt idx="11">
                    <c:v>0</c:v>
                  </c:pt>
                  <c:pt idx="12">
                    <c:v>1.9684831958192222</c:v>
                  </c:pt>
                  <c:pt idx="13">
                    <c:v>0</c:v>
                  </c:pt>
                  <c:pt idx="14">
                    <c:v>0</c:v>
                  </c:pt>
                  <c:pt idx="15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Figures!$F$32:$F$47</c:f>
              <c:numCache>
                <c:formatCode>General</c:formatCode>
                <c:ptCount val="16"/>
                <c:pt idx="0">
                  <c:v>26.723593700948765</c:v>
                </c:pt>
                <c:pt idx="1">
                  <c:v>0</c:v>
                </c:pt>
                <c:pt idx="2">
                  <c:v>7.0576991632221935</c:v>
                </c:pt>
                <c:pt idx="3">
                  <c:v>6.8229901888123825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3.2478952624986257</c:v>
                </c:pt>
                <c:pt idx="9">
                  <c:v>15.829870100976294</c:v>
                </c:pt>
                <c:pt idx="10">
                  <c:v>0</c:v>
                </c:pt>
                <c:pt idx="11">
                  <c:v>0</c:v>
                </c:pt>
                <c:pt idx="12">
                  <c:v>2.887871365037137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61-4CB5-B7B6-AC87EC0C64FC}"/>
            </c:ext>
          </c:extLst>
        </c:ser>
        <c:ser>
          <c:idx val="4"/>
          <c:order val="4"/>
          <c:tx>
            <c:strRef>
              <c:f>Figures!$H$31</c:f>
              <c:strCache>
                <c:ptCount val="1"/>
                <c:pt idx="0">
                  <c:v>International Carbon Market</c:v>
                </c:pt>
              </c:strCache>
            </c:strRef>
          </c:tx>
          <c:spPr>
            <a:solidFill>
              <a:schemeClr val="accent6">
                <a:tint val="93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Figures!$I$32:$I$47</c:f>
                <c:numCache>
                  <c:formatCode>General</c:formatCode>
                  <c:ptCount val="16"/>
                  <c:pt idx="0">
                    <c:v>12.841295627312778</c:v>
                  </c:pt>
                  <c:pt idx="1">
                    <c:v>2.1101576164978635</c:v>
                  </c:pt>
                  <c:pt idx="2">
                    <c:v>4.4376828060074525</c:v>
                  </c:pt>
                  <c:pt idx="3">
                    <c:v>2.6017494965937731</c:v>
                  </c:pt>
                  <c:pt idx="4">
                    <c:v>1.5742609681252588</c:v>
                  </c:pt>
                  <c:pt idx="5">
                    <c:v>7.5719229836321844</c:v>
                  </c:pt>
                  <c:pt idx="6">
                    <c:v>1.2531573473713806</c:v>
                  </c:pt>
                  <c:pt idx="7">
                    <c:v>6.8157693640379327</c:v>
                  </c:pt>
                  <c:pt idx="8">
                    <c:v>2.4989936089329077</c:v>
                  </c:pt>
                  <c:pt idx="9">
                    <c:v>8.810173509951257</c:v>
                  </c:pt>
                  <c:pt idx="10">
                    <c:v>2.3558878190530814</c:v>
                  </c:pt>
                  <c:pt idx="11">
                    <c:v>3.0114599131275259</c:v>
                  </c:pt>
                  <c:pt idx="12">
                    <c:v>1.2892235033279393</c:v>
                  </c:pt>
                  <c:pt idx="13">
                    <c:v>1.8512021640486678</c:v>
                  </c:pt>
                  <c:pt idx="14">
                    <c:v>0.52574028480849344</c:v>
                  </c:pt>
                  <c:pt idx="15">
                    <c:v>0.25120567025985419</c:v>
                  </c:pt>
                </c:numCache>
              </c:numRef>
            </c:plus>
            <c:minus>
              <c:numRef>
                <c:f>Figures!$I$32:$I$47</c:f>
                <c:numCache>
                  <c:formatCode>General</c:formatCode>
                  <c:ptCount val="16"/>
                  <c:pt idx="0">
                    <c:v>12.841295627312778</c:v>
                  </c:pt>
                  <c:pt idx="1">
                    <c:v>2.1101576164978635</c:v>
                  </c:pt>
                  <c:pt idx="2">
                    <c:v>4.4376828060074525</c:v>
                  </c:pt>
                  <c:pt idx="3">
                    <c:v>2.6017494965937731</c:v>
                  </c:pt>
                  <c:pt idx="4">
                    <c:v>1.5742609681252588</c:v>
                  </c:pt>
                  <c:pt idx="5">
                    <c:v>7.5719229836321844</c:v>
                  </c:pt>
                  <c:pt idx="6">
                    <c:v>1.2531573473713806</c:v>
                  </c:pt>
                  <c:pt idx="7">
                    <c:v>6.8157693640379327</c:v>
                  </c:pt>
                  <c:pt idx="8">
                    <c:v>2.4989936089329077</c:v>
                  </c:pt>
                  <c:pt idx="9">
                    <c:v>8.810173509951257</c:v>
                  </c:pt>
                  <c:pt idx="10">
                    <c:v>2.3558878190530814</c:v>
                  </c:pt>
                  <c:pt idx="11">
                    <c:v>3.0114599131275259</c:v>
                  </c:pt>
                  <c:pt idx="12">
                    <c:v>1.2892235033279393</c:v>
                  </c:pt>
                  <c:pt idx="13">
                    <c:v>1.8512021640486678</c:v>
                  </c:pt>
                  <c:pt idx="14">
                    <c:v>0.52574028480849344</c:v>
                  </c:pt>
                  <c:pt idx="15">
                    <c:v>0.25120567025985419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Figures!$H$32:$H$47</c:f>
              <c:numCache>
                <c:formatCode>General</c:formatCode>
                <c:ptCount val="16"/>
                <c:pt idx="0">
                  <c:v>19.07340388334126</c:v>
                </c:pt>
                <c:pt idx="1">
                  <c:v>3.4770632417092657</c:v>
                </c:pt>
                <c:pt idx="2">
                  <c:v>7.1217338615613484</c:v>
                </c:pt>
                <c:pt idx="3">
                  <c:v>3.3825708546321791</c:v>
                </c:pt>
                <c:pt idx="4">
                  <c:v>-2.2475863013777739</c:v>
                </c:pt>
                <c:pt idx="5">
                  <c:v>-1.2366760986781056</c:v>
                </c:pt>
                <c:pt idx="6">
                  <c:v>1.9261930384547397</c:v>
                </c:pt>
                <c:pt idx="7">
                  <c:v>-8.5662497749987683</c:v>
                </c:pt>
                <c:pt idx="8">
                  <c:v>3.7274748339045587</c:v>
                </c:pt>
                <c:pt idx="9">
                  <c:v>13.635139673658202</c:v>
                </c:pt>
                <c:pt idx="10">
                  <c:v>-0.82856751142348994</c:v>
                </c:pt>
                <c:pt idx="11">
                  <c:v>4.0953901127534023</c:v>
                </c:pt>
                <c:pt idx="12">
                  <c:v>2.0266555603531029</c:v>
                </c:pt>
                <c:pt idx="13">
                  <c:v>1.4480856517887627E-2</c:v>
                </c:pt>
                <c:pt idx="14">
                  <c:v>0.88994553130962872</c:v>
                </c:pt>
                <c:pt idx="15">
                  <c:v>4.0655556410141618E-2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761-4CB5-B7B6-AC87EC0C64FC}"/>
            </c:ext>
          </c:extLst>
        </c:ser>
        <c:ser>
          <c:idx val="6"/>
          <c:order val="6"/>
          <c:tx>
            <c:strRef>
              <c:f>Figures!$J$31</c:f>
              <c:strCache>
                <c:ptCount val="1"/>
                <c:pt idx="0">
                  <c:v>with Variations in CDR and ambition</c:v>
                </c:pt>
              </c:strCache>
            </c:strRef>
          </c:tx>
          <c:spPr>
            <a:solidFill>
              <a:schemeClr val="accent6">
                <a:tint val="62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Figures!$K$32:$K$47</c:f>
                <c:numCache>
                  <c:formatCode>General</c:formatCode>
                  <c:ptCount val="16"/>
                  <c:pt idx="0">
                    <c:v>10.482750395882078</c:v>
                  </c:pt>
                  <c:pt idx="1">
                    <c:v>1.8892451709203579</c:v>
                  </c:pt>
                  <c:pt idx="2">
                    <c:v>2.5827537110874772</c:v>
                  </c:pt>
                  <c:pt idx="3">
                    <c:v>2.1848365664108274</c:v>
                  </c:pt>
                  <c:pt idx="4">
                    <c:v>1.2469746607341374</c:v>
                  </c:pt>
                  <c:pt idx="5">
                    <c:v>6.8036773246593354</c:v>
                  </c:pt>
                  <c:pt idx="6">
                    <c:v>1.1155393165637413</c:v>
                  </c:pt>
                  <c:pt idx="7">
                    <c:v>5.5189285114384656</c:v>
                  </c:pt>
                  <c:pt idx="8">
                    <c:v>1.4106858446335249</c:v>
                  </c:pt>
                  <c:pt idx="9">
                    <c:v>5.8519815194151601</c:v>
                  </c:pt>
                  <c:pt idx="10">
                    <c:v>1.938797538891305</c:v>
                  </c:pt>
                  <c:pt idx="11">
                    <c:v>2.826053857269855</c:v>
                  </c:pt>
                  <c:pt idx="12">
                    <c:v>1.0793981066752627</c:v>
                  </c:pt>
                  <c:pt idx="13">
                    <c:v>1.6173675511578522</c:v>
                  </c:pt>
                  <c:pt idx="14">
                    <c:v>0.49511871476765085</c:v>
                  </c:pt>
                  <c:pt idx="15">
                    <c:v>0.21281554260557201</c:v>
                  </c:pt>
                </c:numCache>
              </c:numRef>
            </c:plus>
            <c:minus>
              <c:numRef>
                <c:f>Figures!$K$32:$K$47</c:f>
                <c:numCache>
                  <c:formatCode>General</c:formatCode>
                  <c:ptCount val="16"/>
                  <c:pt idx="0">
                    <c:v>10.482750395882078</c:v>
                  </c:pt>
                  <c:pt idx="1">
                    <c:v>1.8892451709203579</c:v>
                  </c:pt>
                  <c:pt idx="2">
                    <c:v>2.5827537110874772</c:v>
                  </c:pt>
                  <c:pt idx="3">
                    <c:v>2.1848365664108274</c:v>
                  </c:pt>
                  <c:pt idx="4">
                    <c:v>1.2469746607341374</c:v>
                  </c:pt>
                  <c:pt idx="5">
                    <c:v>6.8036773246593354</c:v>
                  </c:pt>
                  <c:pt idx="6">
                    <c:v>1.1155393165637413</c:v>
                  </c:pt>
                  <c:pt idx="7">
                    <c:v>5.5189285114384656</c:v>
                  </c:pt>
                  <c:pt idx="8">
                    <c:v>1.4106858446335249</c:v>
                  </c:pt>
                  <c:pt idx="9">
                    <c:v>5.8519815194151601</c:v>
                  </c:pt>
                  <c:pt idx="10">
                    <c:v>1.938797538891305</c:v>
                  </c:pt>
                  <c:pt idx="11">
                    <c:v>2.826053857269855</c:v>
                  </c:pt>
                  <c:pt idx="12">
                    <c:v>1.0793981066752627</c:v>
                  </c:pt>
                  <c:pt idx="13">
                    <c:v>1.6173675511578522</c:v>
                  </c:pt>
                  <c:pt idx="14">
                    <c:v>0.49511871476765085</c:v>
                  </c:pt>
                  <c:pt idx="15">
                    <c:v>0.21281554260557201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Figures!$C$32:$C$47</c:f>
              <c:strCache>
                <c:ptCount val="16"/>
                <c:pt idx="0">
                  <c:v>USA</c:v>
                </c:pt>
                <c:pt idx="1">
                  <c:v>CAN</c:v>
                </c:pt>
                <c:pt idx="2">
                  <c:v>JPN</c:v>
                </c:pt>
                <c:pt idx="3">
                  <c:v>KOR</c:v>
                </c:pt>
                <c:pt idx="4">
                  <c:v>RUS</c:v>
                </c:pt>
                <c:pt idx="5">
                  <c:v>CHN</c:v>
                </c:pt>
                <c:pt idx="6">
                  <c:v>GBR</c:v>
                </c:pt>
                <c:pt idx="7">
                  <c:v>IND</c:v>
                </c:pt>
                <c:pt idx="8">
                  <c:v>BRA</c:v>
                </c:pt>
                <c:pt idx="9">
                  <c:v>EU</c:v>
                </c:pt>
                <c:pt idx="10">
                  <c:v>MEA</c:v>
                </c:pt>
                <c:pt idx="11">
                  <c:v>OAS</c:v>
                </c:pt>
                <c:pt idx="12">
                  <c:v>ANZ</c:v>
                </c:pt>
                <c:pt idx="13">
                  <c:v>OAM</c:v>
                </c:pt>
                <c:pt idx="14">
                  <c:v>AFR</c:v>
                </c:pt>
                <c:pt idx="15">
                  <c:v>REU</c:v>
                </c:pt>
              </c:strCache>
            </c:strRef>
          </c:cat>
          <c:val>
            <c:numRef>
              <c:f>Figures!$J$32:$J$47</c:f>
              <c:numCache>
                <c:formatCode>General</c:formatCode>
                <c:ptCount val="16"/>
                <c:pt idx="0">
                  <c:v>14.032314392554625</c:v>
                </c:pt>
                <c:pt idx="1">
                  <c:v>2.8665248278657836</c:v>
                </c:pt>
                <c:pt idx="2">
                  <c:v>3.0105042440189664</c:v>
                </c:pt>
                <c:pt idx="3">
                  <c:v>2.6284516224951786</c:v>
                </c:pt>
                <c:pt idx="4">
                  <c:v>-1.5117709250833651</c:v>
                </c:pt>
                <c:pt idx="5">
                  <c:v>2.0671975638561753</c:v>
                </c:pt>
                <c:pt idx="6">
                  <c:v>1.5989996148811783</c:v>
                </c:pt>
                <c:pt idx="7">
                  <c:v>-6.0522146743499627</c:v>
                </c:pt>
                <c:pt idx="8">
                  <c:v>1.1298716340415975</c:v>
                </c:pt>
                <c:pt idx="9">
                  <c:v>7.3481361385412356</c:v>
                </c:pt>
                <c:pt idx="10">
                  <c:v>-0.2152605863680713</c:v>
                </c:pt>
                <c:pt idx="11">
                  <c:v>3.9140448627749103</c:v>
                </c:pt>
                <c:pt idx="12">
                  <c:v>1.5403053351807259</c:v>
                </c:pt>
                <c:pt idx="13">
                  <c:v>0.23416354138838422</c:v>
                </c:pt>
                <c:pt idx="14">
                  <c:v>1.0083224362577938</c:v>
                </c:pt>
                <c:pt idx="15">
                  <c:v>0.11111648524573385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761-4CB5-B7B6-AC87EC0C64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553952392"/>
        <c:axId val="55394681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Figures!$E$31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>
                      <a:shade val="61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Figures!$E$32:$E$47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23.020914076401109</c:v>
                      </c:pt>
                      <c:pt idx="1">
                        <c:v>7.0052385115268532</c:v>
                      </c:pt>
                      <c:pt idx="2">
                        <c:v>17.699128157723457</c:v>
                      </c:pt>
                      <c:pt idx="3">
                        <c:v>8.414464729881594</c:v>
                      </c:pt>
                      <c:pt idx="4">
                        <c:v>0.11505471080031769</c:v>
                      </c:pt>
                      <c:pt idx="5">
                        <c:v>5.3282642458292973</c:v>
                      </c:pt>
                      <c:pt idx="6">
                        <c:v>4.0064527621058703</c:v>
                      </c:pt>
                      <c:pt idx="7">
                        <c:v>0.27486205061007962</c:v>
                      </c:pt>
                      <c:pt idx="8">
                        <c:v>12.829625309471956</c:v>
                      </c:pt>
                      <c:pt idx="9">
                        <c:v>24.075733801368905</c:v>
                      </c:pt>
                      <c:pt idx="10">
                        <c:v>0.70184397769083606</c:v>
                      </c:pt>
                      <c:pt idx="11">
                        <c:v>3.3228281716331467</c:v>
                      </c:pt>
                      <c:pt idx="12">
                        <c:v>2.2517791776309521</c:v>
                      </c:pt>
                      <c:pt idx="13">
                        <c:v>1.2214705030623547</c:v>
                      </c:pt>
                      <c:pt idx="14">
                        <c:v>0.526516178732086</c:v>
                      </c:pt>
                      <c:pt idx="15">
                        <c:v>0.19097632532838515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0761-4CB5-B7B6-AC87EC0C64F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Figures!$G$31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>
                      <a:shade val="92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Figures!$G$32:$G$47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19.110858420072361</c:v>
                      </c:pt>
                      <c:pt idx="1">
                        <c:v>0</c:v>
                      </c:pt>
                      <c:pt idx="2">
                        <c:v>7.7396425729780489</c:v>
                      </c:pt>
                      <c:pt idx="3">
                        <c:v>7.7758705738013498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3.2531771143104544</c:v>
                      </c:pt>
                      <c:pt idx="9">
                        <c:v>13.228088275083834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1.9684831958192222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761-4CB5-B7B6-AC87EC0C64FC}"/>
                  </c:ext>
                </c:extLst>
              </c15:ser>
            </c15:filteredBarSeries>
            <c15:filteredB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Figures!$I$31</c15:sqref>
                        </c15:formulaRef>
                      </c:ext>
                    </c:extLst>
                    <c:strCache>
                      <c:ptCount val="1"/>
                      <c:pt idx="0">
                        <c:v>StdE</c:v>
                      </c:pt>
                    </c:strCache>
                  </c:strRef>
                </c:tx>
                <c:spPr>
                  <a:solidFill>
                    <a:schemeClr val="accent6">
                      <a:tint val="77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Figures!$I$32:$I$47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12.841295627312778</c:v>
                      </c:pt>
                      <c:pt idx="1">
                        <c:v>2.1101576164978635</c:v>
                      </c:pt>
                      <c:pt idx="2">
                        <c:v>4.4376828060074525</c:v>
                      </c:pt>
                      <c:pt idx="3">
                        <c:v>2.6017494965937731</c:v>
                      </c:pt>
                      <c:pt idx="4">
                        <c:v>1.5742609681252588</c:v>
                      </c:pt>
                      <c:pt idx="5">
                        <c:v>7.5719229836321844</c:v>
                      </c:pt>
                      <c:pt idx="6">
                        <c:v>1.2531573473713806</c:v>
                      </c:pt>
                      <c:pt idx="7">
                        <c:v>6.8157693640379327</c:v>
                      </c:pt>
                      <c:pt idx="8">
                        <c:v>2.4989936089329077</c:v>
                      </c:pt>
                      <c:pt idx="9">
                        <c:v>8.810173509951257</c:v>
                      </c:pt>
                      <c:pt idx="10">
                        <c:v>2.3558878190530814</c:v>
                      </c:pt>
                      <c:pt idx="11">
                        <c:v>3.0114599131275259</c:v>
                      </c:pt>
                      <c:pt idx="12">
                        <c:v>1.2892235033279393</c:v>
                      </c:pt>
                      <c:pt idx="13">
                        <c:v>1.8512021640486678</c:v>
                      </c:pt>
                      <c:pt idx="14">
                        <c:v>0.52574028480849344</c:v>
                      </c:pt>
                      <c:pt idx="15">
                        <c:v>0.25120567025985419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761-4CB5-B7B6-AC87EC0C64FC}"/>
                  </c:ext>
                </c:extLst>
              </c15:ser>
            </c15:filteredBarSeries>
            <c15:filteredB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Figures!$K$31</c15:sqref>
                        </c15:formulaRef>
                      </c:ext>
                    </c:extLst>
                    <c:strCache>
                      <c:ptCount val="1"/>
                      <c:pt idx="0">
                        <c:v>StE</c:v>
                      </c:pt>
                    </c:strCache>
                  </c:strRef>
                </c:tx>
                <c:spPr>
                  <a:solidFill>
                    <a:schemeClr val="accent6">
                      <a:tint val="4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Figures!$C$32:$C$47</c15:sqref>
                        </c15:formulaRef>
                      </c:ext>
                    </c:extLst>
                    <c:strCache>
                      <c:ptCount val="16"/>
                      <c:pt idx="0">
                        <c:v>USA</c:v>
                      </c:pt>
                      <c:pt idx="1">
                        <c:v>CAN</c:v>
                      </c:pt>
                      <c:pt idx="2">
                        <c:v>JPN</c:v>
                      </c:pt>
                      <c:pt idx="3">
                        <c:v>KOR</c:v>
                      </c:pt>
                      <c:pt idx="4">
                        <c:v>RUS</c:v>
                      </c:pt>
                      <c:pt idx="5">
                        <c:v>CHN</c:v>
                      </c:pt>
                      <c:pt idx="6">
                        <c:v>GBR</c:v>
                      </c:pt>
                      <c:pt idx="7">
                        <c:v>IND</c:v>
                      </c:pt>
                      <c:pt idx="8">
                        <c:v>BRA</c:v>
                      </c:pt>
                      <c:pt idx="9">
                        <c:v>EU</c:v>
                      </c:pt>
                      <c:pt idx="10">
                        <c:v>MEA</c:v>
                      </c:pt>
                      <c:pt idx="11">
                        <c:v>OAS</c:v>
                      </c:pt>
                      <c:pt idx="12">
                        <c:v>ANZ</c:v>
                      </c:pt>
                      <c:pt idx="13">
                        <c:v>OAM</c:v>
                      </c:pt>
                      <c:pt idx="14">
                        <c:v>AFR</c:v>
                      </c:pt>
                      <c:pt idx="15">
                        <c:v>REU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Figures!$K$32:$K$47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10.482750395882078</c:v>
                      </c:pt>
                      <c:pt idx="1">
                        <c:v>1.8892451709203579</c:v>
                      </c:pt>
                      <c:pt idx="2">
                        <c:v>2.5827537110874772</c:v>
                      </c:pt>
                      <c:pt idx="3">
                        <c:v>2.1848365664108274</c:v>
                      </c:pt>
                      <c:pt idx="4">
                        <c:v>1.2469746607341374</c:v>
                      </c:pt>
                      <c:pt idx="5">
                        <c:v>6.8036773246593354</c:v>
                      </c:pt>
                      <c:pt idx="6">
                        <c:v>1.1155393165637413</c:v>
                      </c:pt>
                      <c:pt idx="7">
                        <c:v>5.5189285114384656</c:v>
                      </c:pt>
                      <c:pt idx="8">
                        <c:v>1.4106858446335249</c:v>
                      </c:pt>
                      <c:pt idx="9">
                        <c:v>5.8519815194151601</c:v>
                      </c:pt>
                      <c:pt idx="10">
                        <c:v>1.938797538891305</c:v>
                      </c:pt>
                      <c:pt idx="11">
                        <c:v>2.826053857269855</c:v>
                      </c:pt>
                      <c:pt idx="12">
                        <c:v>1.0793981066752627</c:v>
                      </c:pt>
                      <c:pt idx="13">
                        <c:v>1.6173675511578522</c:v>
                      </c:pt>
                      <c:pt idx="14">
                        <c:v>0.49511871476765085</c:v>
                      </c:pt>
                      <c:pt idx="15">
                        <c:v>0.21281554260557201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761-4CB5-B7B6-AC87EC0C64FC}"/>
                  </c:ext>
                </c:extLst>
              </c15:ser>
            </c15:filteredBarSeries>
          </c:ext>
        </c:extLst>
      </c:barChart>
      <c:catAx>
        <c:axId val="553952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46816"/>
        <c:crosses val="autoZero"/>
        <c:auto val="1"/>
        <c:lblAlgn val="ctr"/>
        <c:lblOffset val="100"/>
        <c:noMultiLvlLbl val="0"/>
      </c:catAx>
      <c:valAx>
        <c:axId val="553946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 sz="1000" b="1" i="0" baseline="0">
                    <a:effectLst/>
                  </a:rPr>
                  <a:t>Bn US-$</a:t>
                </a:r>
                <a:endParaRPr lang="de-DE" sz="10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53952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</xdr:colOff>
      <xdr:row>0</xdr:row>
      <xdr:rowOff>0</xdr:rowOff>
    </xdr:from>
    <xdr:to>
      <xdr:col>6</xdr:col>
      <xdr:colOff>704117</xdr:colOff>
      <xdr:row>18</xdr:row>
      <xdr:rowOff>76725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BE9E45DC-39EA-4943-9275-CD95CFBEC64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720734</xdr:colOff>
      <xdr:row>0</xdr:row>
      <xdr:rowOff>0</xdr:rowOff>
    </xdr:from>
    <xdr:to>
      <xdr:col>14</xdr:col>
      <xdr:colOff>1030708</xdr:colOff>
      <xdr:row>18</xdr:row>
      <xdr:rowOff>76725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38EDE62F-6E99-4855-97A6-63A1D641D564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19</xdr:row>
      <xdr:rowOff>12734</xdr:rowOff>
    </xdr:from>
    <xdr:to>
      <xdr:col>2</xdr:col>
      <xdr:colOff>630134</xdr:colOff>
      <xdr:row>20</xdr:row>
      <xdr:rowOff>558800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A887A14F-441E-4990-9D9D-BE35EC5FF2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3594134"/>
          <a:ext cx="2154134" cy="787366"/>
        </a:xfrm>
        <a:prstGeom prst="rect">
          <a:avLst/>
        </a:prstGeom>
      </xdr:spPr>
    </xdr:pic>
    <xdr:clientData/>
  </xdr:twoCellAnchor>
  <xdr:twoCellAnchor editAs="oneCell">
    <xdr:from>
      <xdr:col>0</xdr:col>
      <xdr:colOff>165100</xdr:colOff>
      <xdr:row>21</xdr:row>
      <xdr:rowOff>177800</xdr:rowOff>
    </xdr:from>
    <xdr:to>
      <xdr:col>1</xdr:col>
      <xdr:colOff>531296</xdr:colOff>
      <xdr:row>25</xdr:row>
      <xdr:rowOff>158750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B1A53560-989E-4C1B-BE31-621159F20D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5100" y="4737100"/>
          <a:ext cx="1128196" cy="7302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25400</xdr:colOff>
      <xdr:row>1</xdr:row>
      <xdr:rowOff>12699</xdr:rowOff>
    </xdr:from>
    <xdr:to>
      <xdr:col>0</xdr:col>
      <xdr:colOff>8809400</xdr:colOff>
      <xdr:row>23</xdr:row>
      <xdr:rowOff>130341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CF1AC015-B2B9-4FF2-B30F-614E781206A2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25</xdr:row>
      <xdr:rowOff>17457</xdr:rowOff>
    </xdr:from>
    <xdr:to>
      <xdr:col>0</xdr:col>
      <xdr:colOff>8784000</xdr:colOff>
      <xdr:row>47</xdr:row>
      <xdr:rowOff>140007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A9F15D3C-237C-44F6-A8D9-4DA6FE0008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27F73-62FC-4831-8CE7-857D4C3D78EA}">
  <dimension ref="A6:Z70"/>
  <sheetViews>
    <sheetView tabSelected="1" topLeftCell="A12" zoomScale="90" zoomScaleNormal="90" workbookViewId="0">
      <selection activeCell="H40" sqref="H40"/>
    </sheetView>
  </sheetViews>
  <sheetFormatPr baseColWidth="10" defaultColWidth="11.453125" defaultRowHeight="14.5" x14ac:dyDescent="0.35"/>
  <cols>
    <col min="4" max="4" width="19.453125" bestFit="1" customWidth="1"/>
    <col min="6" max="6" width="13.81640625" customWidth="1"/>
    <col min="7" max="7" width="11.7265625" customWidth="1"/>
    <col min="8" max="8" width="9.81640625" customWidth="1"/>
    <col min="9" max="9" width="10.54296875" customWidth="1"/>
    <col min="10" max="10" width="9.81640625" customWidth="1"/>
    <col min="11" max="11" width="13.81640625" customWidth="1"/>
    <col min="12" max="12" width="10.7265625" bestFit="1" customWidth="1"/>
    <col min="13" max="13" width="12.54296875" bestFit="1" customWidth="1"/>
    <col min="14" max="14" width="15.1796875" bestFit="1" customWidth="1"/>
    <col min="15" max="16" width="15.54296875" bestFit="1" customWidth="1"/>
    <col min="17" max="18" width="12.26953125" bestFit="1" customWidth="1"/>
    <col min="19" max="19" width="16" customWidth="1"/>
    <col min="21" max="21" width="16" customWidth="1"/>
    <col min="24" max="24" width="14.54296875" customWidth="1"/>
    <col min="25" max="25" width="13.7265625" customWidth="1"/>
    <col min="26" max="26" width="12.453125" customWidth="1"/>
    <col min="27" max="27" width="11.81640625" bestFit="1" customWidth="1"/>
    <col min="28" max="29" width="12.26953125" bestFit="1" customWidth="1"/>
  </cols>
  <sheetData>
    <row r="6" spans="5:25" s="305" customFormat="1" ht="21" x14ac:dyDescent="0.5">
      <c r="K6"/>
      <c r="L6"/>
      <c r="M6"/>
      <c r="N6"/>
      <c r="P6" s="306" t="s">
        <v>0</v>
      </c>
      <c r="S6" s="307"/>
      <c r="U6" s="306" t="s">
        <v>1</v>
      </c>
    </row>
    <row r="7" spans="5:25" x14ac:dyDescent="0.35">
      <c r="E7" s="146"/>
      <c r="P7" s="308" t="s">
        <v>2</v>
      </c>
      <c r="Q7" s="309"/>
      <c r="R7" s="310"/>
      <c r="S7" s="311"/>
      <c r="U7" s="312" t="s">
        <v>2</v>
      </c>
      <c r="V7" s="313"/>
      <c r="W7" s="314"/>
      <c r="X7" s="315"/>
    </row>
    <row r="8" spans="5:25" x14ac:dyDescent="0.35">
      <c r="P8" s="316"/>
      <c r="Q8" s="44"/>
      <c r="R8" s="317" t="s">
        <v>3</v>
      </c>
      <c r="S8" s="318">
        <f>Q9-S9</f>
        <v>913.6304816331467</v>
      </c>
      <c r="U8" s="319"/>
      <c r="V8" s="34"/>
      <c r="W8" s="320" t="s">
        <v>3</v>
      </c>
      <c r="X8" s="321">
        <f>V9-X9</f>
        <v>943.63752053816643</v>
      </c>
    </row>
    <row r="9" spans="5:25" x14ac:dyDescent="0.35">
      <c r="E9" s="146"/>
      <c r="P9" s="322" t="str">
        <f xml:space="preserve"> "with CDR "&amp;IF($J$22="no",":","and new targets:")</f>
        <v>with CDR :</v>
      </c>
      <c r="Q9" s="323">
        <f>Analysis!AF25</f>
        <v>35507.31985567489</v>
      </c>
      <c r="R9" s="324" t="s">
        <v>4</v>
      </c>
      <c r="S9" s="325">
        <f>Analysis!AF51</f>
        <v>34593.689374041744</v>
      </c>
      <c r="U9" s="326" t="str">
        <f xml:space="preserve"> "with CDR "&amp;IF($M$22="no",":","and new targets:")</f>
        <v>with CDR :</v>
      </c>
      <c r="V9" s="327">
        <f>Analysis!AH25</f>
        <v>32904.893184297587</v>
      </c>
      <c r="W9" s="328" t="s">
        <v>4</v>
      </c>
      <c r="X9" s="329">
        <f>Analysis!AH51</f>
        <v>31961.255663759421</v>
      </c>
      <c r="Y9" s="330">
        <f>(V9-X9)/X9</f>
        <v>2.9524419517977466E-2</v>
      </c>
    </row>
    <row r="10" spans="5:25" x14ac:dyDescent="0.35">
      <c r="P10" s="331" t="s">
        <v>5</v>
      </c>
      <c r="Q10" s="49"/>
      <c r="R10" s="49"/>
      <c r="S10" s="132"/>
      <c r="U10" s="332" t="s">
        <v>5</v>
      </c>
      <c r="V10" s="37"/>
      <c r="W10" s="37"/>
      <c r="X10" s="333"/>
    </row>
    <row r="11" spans="5:25" x14ac:dyDescent="0.35">
      <c r="P11" s="331"/>
      <c r="Q11" s="49"/>
      <c r="R11" s="334" t="s">
        <v>3</v>
      </c>
      <c r="S11" s="335">
        <f>Q12-S12</f>
        <v>-2.2663693002585694E-2</v>
      </c>
      <c r="U11" s="332"/>
      <c r="V11" s="37"/>
      <c r="W11" s="336" t="s">
        <v>3</v>
      </c>
      <c r="X11" s="337">
        <f>V12-X12</f>
        <v>-2.3408053366355902E-2</v>
      </c>
    </row>
    <row r="12" spans="5:25" x14ac:dyDescent="0.35">
      <c r="P12" s="338" t="str">
        <f xml:space="preserve"> "with CDR "&amp;IF($J$22="no",":","and new targets:")</f>
        <v>with CDR :</v>
      </c>
      <c r="Q12" s="339">
        <f>Analysis!AF3</f>
        <v>0.11919861176790797</v>
      </c>
      <c r="R12" s="340" t="s">
        <v>4</v>
      </c>
      <c r="S12" s="341">
        <f>Analysis!AF29</f>
        <v>0.14186230477049366</v>
      </c>
      <c r="U12" s="342" t="str">
        <f xml:space="preserve"> "with CDR "&amp;IF($M$22="no",":","and new targets:")</f>
        <v>with CDR :</v>
      </c>
      <c r="V12" s="343">
        <f>Analysis!AH3</f>
        <v>0.18375490703993766</v>
      </c>
      <c r="W12" s="344" t="s">
        <v>4</v>
      </c>
      <c r="X12" s="345">
        <f>Analysis!AH29</f>
        <v>0.20716296040629356</v>
      </c>
    </row>
    <row r="13" spans="5:25" x14ac:dyDescent="0.35">
      <c r="P13" s="346" t="s">
        <v>6</v>
      </c>
      <c r="Q13" s="347"/>
      <c r="R13" s="348"/>
      <c r="S13" s="349"/>
      <c r="U13" s="350" t="s">
        <v>6</v>
      </c>
      <c r="V13" s="351"/>
      <c r="W13" s="352"/>
      <c r="X13" s="353"/>
    </row>
    <row r="14" spans="5:25" x14ac:dyDescent="0.35">
      <c r="P14" s="354"/>
      <c r="Q14" s="355"/>
      <c r="R14" s="356" t="s">
        <v>3</v>
      </c>
      <c r="S14" s="357">
        <f>Q15-S15</f>
        <v>-1.9971229129658568</v>
      </c>
      <c r="U14" s="358"/>
      <c r="V14" s="38"/>
      <c r="W14" s="359" t="s">
        <v>3</v>
      </c>
      <c r="X14" s="360">
        <f>V15-X15</f>
        <v>-3.1039715097416103</v>
      </c>
    </row>
    <row r="15" spans="5:25" x14ac:dyDescent="0.35">
      <c r="P15" s="361" t="str">
        <f xml:space="preserve"> "with CDR "&amp;IF($J$22="no",":","and new targets:")</f>
        <v>with CDR :</v>
      </c>
      <c r="Q15" s="362">
        <f>Analysis!V3</f>
        <v>5.2662939632762056</v>
      </c>
      <c r="R15" s="363" t="s">
        <v>4</v>
      </c>
      <c r="S15" s="364">
        <f>Analysis!V29</f>
        <v>7.2634168762420623</v>
      </c>
      <c r="U15" s="365" t="str">
        <f xml:space="preserve"> "with CDR "&amp;IF($M$22="no",":","and new targets:")</f>
        <v>with CDR :</v>
      </c>
      <c r="V15" s="366">
        <f>Analysis!Y3</f>
        <v>12.068138067186036</v>
      </c>
      <c r="W15" s="367" t="s">
        <v>4</v>
      </c>
      <c r="X15" s="368">
        <f>Analysis!Y29</f>
        <v>15.172109576927646</v>
      </c>
    </row>
    <row r="16" spans="5:25" x14ac:dyDescent="0.35">
      <c r="P16" s="369" t="s">
        <v>7</v>
      </c>
      <c r="Q16" s="178"/>
      <c r="R16" s="178"/>
      <c r="S16" s="370"/>
      <c r="U16" s="371" t="s">
        <v>7</v>
      </c>
      <c r="V16" s="372"/>
      <c r="W16" s="372"/>
      <c r="X16" s="373"/>
    </row>
    <row r="17" spans="4:26" x14ac:dyDescent="0.35">
      <c r="P17" s="369"/>
      <c r="Q17" s="178"/>
      <c r="R17" s="374" t="s">
        <v>3</v>
      </c>
      <c r="S17" s="370">
        <f>Q18-S18</f>
        <v>-5.7006092938077551</v>
      </c>
      <c r="U17" s="371"/>
      <c r="V17" s="372"/>
      <c r="W17" s="375" t="s">
        <v>3</v>
      </c>
      <c r="X17" s="376">
        <f>V18-X18</f>
        <v>-12.820920804826685</v>
      </c>
    </row>
    <row r="18" spans="4:26" x14ac:dyDescent="0.35">
      <c r="J18" s="377" t="s">
        <v>8</v>
      </c>
      <c r="P18" s="378" t="str">
        <f xml:space="preserve"> "with CDR "&amp;IF($J$22="no",":","and new targets:")</f>
        <v>with CDR :</v>
      </c>
      <c r="Q18" s="379">
        <f>Analysis!AN25</f>
        <v>10.281638769358993</v>
      </c>
      <c r="R18" s="380" t="s">
        <v>4</v>
      </c>
      <c r="S18" s="381">
        <f>Analysis!AN51</f>
        <v>15.982248063166749</v>
      </c>
      <c r="U18" s="382" t="str">
        <f xml:space="preserve"> "with CDR "&amp;IF($M$22="no",":","and new targets:")</f>
        <v>with CDR :</v>
      </c>
      <c r="V18" s="383">
        <f>Analysis!AP25</f>
        <v>33.710706513300892</v>
      </c>
      <c r="W18" s="384" t="s">
        <v>4</v>
      </c>
      <c r="X18" s="385">
        <f>Analysis!AP51</f>
        <v>46.531627318127576</v>
      </c>
      <c r="Y18" s="330">
        <f>(V18-X18)/X18</f>
        <v>-0.27553132232347199</v>
      </c>
      <c r="Z18" s="146"/>
    </row>
    <row r="19" spans="4:26" x14ac:dyDescent="0.35">
      <c r="J19" s="377" t="s">
        <v>9</v>
      </c>
    </row>
    <row r="20" spans="4:26" ht="18.5" x14ac:dyDescent="0.45">
      <c r="D20" s="386"/>
      <c r="E20" s="387"/>
      <c r="F20" s="388"/>
      <c r="G20" s="389" t="s">
        <v>10</v>
      </c>
      <c r="H20" s="390"/>
      <c r="I20" s="408" t="s">
        <v>11</v>
      </c>
      <c r="J20" s="409"/>
      <c r="K20" s="410"/>
      <c r="L20" s="405" t="s">
        <v>12</v>
      </c>
      <c r="M20" s="406"/>
      <c r="N20" s="407"/>
      <c r="P20" s="163" t="s">
        <v>13</v>
      </c>
      <c r="Q20" s="162"/>
      <c r="R20" s="162"/>
      <c r="S20" s="164"/>
      <c r="U20" s="170" t="s">
        <v>13</v>
      </c>
      <c r="V20" s="171"/>
      <c r="W20" s="171"/>
      <c r="X20" s="172"/>
    </row>
    <row r="21" spans="4:26" ht="58.5" thickBot="1" x14ac:dyDescent="0.4">
      <c r="D21" s="391" t="s">
        <v>14</v>
      </c>
      <c r="E21" s="392"/>
      <c r="F21" s="393" t="s">
        <v>15</v>
      </c>
      <c r="G21" s="394" t="s">
        <v>16</v>
      </c>
      <c r="H21" s="395" t="s">
        <v>17</v>
      </c>
      <c r="I21" s="396" t="s">
        <v>18</v>
      </c>
      <c r="J21" s="397" t="s">
        <v>19</v>
      </c>
      <c r="K21" s="398" t="s">
        <v>20</v>
      </c>
      <c r="L21" s="399" t="s">
        <v>21</v>
      </c>
      <c r="M21" s="397" t="s">
        <v>19</v>
      </c>
      <c r="N21" s="400" t="s">
        <v>20</v>
      </c>
      <c r="O21" s="13"/>
      <c r="P21" s="179"/>
      <c r="Q21" s="401" t="s">
        <v>22</v>
      </c>
      <c r="R21" s="401" t="s">
        <v>23</v>
      </c>
      <c r="S21" s="402" t="s">
        <v>24</v>
      </c>
      <c r="U21" s="187"/>
      <c r="V21" s="403" t="s">
        <v>22</v>
      </c>
      <c r="W21" s="403" t="s">
        <v>23</v>
      </c>
      <c r="X21" s="404" t="s">
        <v>24</v>
      </c>
    </row>
    <row r="22" spans="4:26" ht="15" thickBot="1" x14ac:dyDescent="0.4">
      <c r="D22" s="299"/>
      <c r="E22" s="300"/>
      <c r="F22" s="301" t="s">
        <v>25</v>
      </c>
      <c r="G22" s="302" t="s">
        <v>25</v>
      </c>
      <c r="H22" s="303" t="s">
        <v>25</v>
      </c>
      <c r="I22" s="304" t="s">
        <v>25</v>
      </c>
      <c r="J22" s="119" t="s">
        <v>9</v>
      </c>
      <c r="K22" s="297"/>
      <c r="L22" s="298" t="s">
        <v>25</v>
      </c>
      <c r="M22" s="120" t="s">
        <v>9</v>
      </c>
      <c r="N22" s="296"/>
      <c r="O22" s="13"/>
      <c r="P22" s="179"/>
      <c r="Q22" s="197" t="s">
        <v>25</v>
      </c>
      <c r="R22" s="197" t="s">
        <v>25</v>
      </c>
      <c r="S22" s="199" t="s">
        <v>26</v>
      </c>
      <c r="U22" s="187"/>
      <c r="V22" s="201" t="s">
        <v>25</v>
      </c>
      <c r="W22" s="201" t="s">
        <v>25</v>
      </c>
      <c r="X22" s="200" t="s">
        <v>26</v>
      </c>
    </row>
    <row r="23" spans="4:26" x14ac:dyDescent="0.35">
      <c r="D23" s="166" t="str">
        <f>Analysis!A9</f>
        <v>United States</v>
      </c>
      <c r="E23" s="167" t="str">
        <f>Analysis!B9</f>
        <v>USA</v>
      </c>
      <c r="F23" s="121">
        <v>0</v>
      </c>
      <c r="G23" s="122">
        <v>0</v>
      </c>
      <c r="H23" s="122">
        <v>180.24</v>
      </c>
      <c r="I23" s="293">
        <f t="shared" ref="I23:I38" si="0">E50</f>
        <v>3447.4642970438149</v>
      </c>
      <c r="J23" s="123">
        <v>0</v>
      </c>
      <c r="K23" s="288">
        <f t="shared" ref="K23:K38" si="1">(IF(J$22="no",I23,IF(J23&gt;0,J23,I23))/D50)</f>
        <v>0.67798618529107646</v>
      </c>
      <c r="L23" s="289">
        <f>P50</f>
        <v>3336.8406797896337</v>
      </c>
      <c r="M23" s="124">
        <v>0</v>
      </c>
      <c r="N23" s="285">
        <f t="shared" ref="N23:N38" si="2">(IF($M$22="no",L23,IF(M23&gt;0,M23,L23))/D50)</f>
        <v>0.65623069261503175</v>
      </c>
      <c r="O23" s="13"/>
      <c r="P23" s="286" t="str">
        <f>E23</f>
        <v>USA</v>
      </c>
      <c r="Q23" s="257">
        <f>Analysis!AF9-Analysis!AF35</f>
        <v>98.617127966042062</v>
      </c>
      <c r="R23" s="257">
        <f>Analysis!AJ9-Analysis!AJ35</f>
        <v>-81.622872033957265</v>
      </c>
      <c r="S23" s="255">
        <f>Analysis!AN9-Analysis!AN35</f>
        <v>-3.1779248530895581</v>
      </c>
      <c r="U23" s="287" t="str">
        <f>E23</f>
        <v>USA</v>
      </c>
      <c r="V23" s="264">
        <f>Analysis!AH9-Analysis!AH35</f>
        <v>101.86139902623745</v>
      </c>
      <c r="W23" s="264">
        <f>Analysis!AL9-Analysis!AL35</f>
        <v>-78.37860097376381</v>
      </c>
      <c r="X23" s="265">
        <f>Analysis!AP9-Analysis!AP35</f>
        <v>-5.0410894907866357</v>
      </c>
    </row>
    <row r="24" spans="4:26" x14ac:dyDescent="0.35">
      <c r="D24" s="182" t="str">
        <f>Analysis!A10</f>
        <v>Canada</v>
      </c>
      <c r="E24" s="32" t="str">
        <f>Analysis!B10</f>
        <v>CAN</v>
      </c>
      <c r="F24" s="125">
        <v>0</v>
      </c>
      <c r="G24" s="126">
        <v>0</v>
      </c>
      <c r="H24" s="126">
        <v>0</v>
      </c>
      <c r="I24" s="294">
        <f t="shared" si="0"/>
        <v>334.79551107466779</v>
      </c>
      <c r="J24" s="123">
        <v>0</v>
      </c>
      <c r="K24" s="290">
        <f t="shared" si="1"/>
        <v>0.58057267161745751</v>
      </c>
      <c r="L24" s="291">
        <f t="shared" ref="L24:L38" si="3">P51</f>
        <v>307.80883102621891</v>
      </c>
      <c r="M24" s="127">
        <v>0</v>
      </c>
      <c r="N24" s="285">
        <f t="shared" si="2"/>
        <v>0.53377476538651281</v>
      </c>
      <c r="O24" s="13"/>
      <c r="P24" s="286" t="str">
        <f t="shared" ref="P24:P38" si="4">E24</f>
        <v>CAN</v>
      </c>
      <c r="Q24" s="257">
        <f>Analysis!AF10-Analysis!AF36</f>
        <v>8.8737064722585046</v>
      </c>
      <c r="R24" s="257">
        <f>Analysis!AJ10-Analysis!AJ36</f>
        <v>8.873706472258533</v>
      </c>
      <c r="S24" s="255">
        <f>Analysis!AN10-Analysis!AN36</f>
        <v>-0.39457025001421875</v>
      </c>
      <c r="U24" s="287" t="str">
        <f t="shared" ref="U24:U38" si="5">E24</f>
        <v>CAN</v>
      </c>
      <c r="V24" s="264">
        <f>Analysis!AH10-Analysis!AH36</f>
        <v>9.1626515502090342</v>
      </c>
      <c r="W24" s="264">
        <f>Analysis!AL10-Analysis!AL36</f>
        <v>9.1626515502091195</v>
      </c>
      <c r="X24" s="265">
        <f>Analysis!AP10-Analysis!AP36</f>
        <v>-0.61053841384348218</v>
      </c>
    </row>
    <row r="25" spans="4:26" x14ac:dyDescent="0.35">
      <c r="D25" s="182" t="str">
        <f>Analysis!A11</f>
        <v>Japan</v>
      </c>
      <c r="E25" s="32" t="str">
        <f>Analysis!B11</f>
        <v>JPN</v>
      </c>
      <c r="F25" s="125">
        <v>0</v>
      </c>
      <c r="G25" s="126">
        <v>0</v>
      </c>
      <c r="H25" s="126">
        <v>238.14</v>
      </c>
      <c r="I25" s="294">
        <f t="shared" si="0"/>
        <v>644.6952085692418</v>
      </c>
      <c r="J25" s="123">
        <v>0</v>
      </c>
      <c r="K25" s="290">
        <f t="shared" si="1"/>
        <v>0.5592439287449571</v>
      </c>
      <c r="L25" s="291">
        <f t="shared" si="3"/>
        <v>599.3538312254135</v>
      </c>
      <c r="M25" s="127">
        <v>0</v>
      </c>
      <c r="N25" s="285">
        <f t="shared" si="2"/>
        <v>0.51991233505009449</v>
      </c>
      <c r="O25" s="13"/>
      <c r="P25" s="286" t="str">
        <f t="shared" si="4"/>
        <v>JPN</v>
      </c>
      <c r="Q25" s="257">
        <f>Analysis!AF11-Analysis!AF37</f>
        <v>18.681944417254044</v>
      </c>
      <c r="R25" s="257">
        <f>Analysis!AJ11-Analysis!AJ37</f>
        <v>-219.45805558274608</v>
      </c>
      <c r="S25" s="255">
        <f>Analysis!AN11-Analysis!AN37</f>
        <v>-2.0715944895946929</v>
      </c>
      <c r="U25" s="287" t="str">
        <f t="shared" si="5"/>
        <v>JPN</v>
      </c>
      <c r="V25" s="264">
        <f>Analysis!AH11-Analysis!AH37</f>
        <v>19.345211295458626</v>
      </c>
      <c r="W25" s="264">
        <f>Analysis!AL11-Analysis!AL37</f>
        <v>-218.79478870454156</v>
      </c>
      <c r="X25" s="265">
        <f>Analysis!AP11-Analysis!AP37</f>
        <v>-4.1112296175423815</v>
      </c>
    </row>
    <row r="26" spans="4:26" x14ac:dyDescent="0.35">
      <c r="D26" s="182" t="str">
        <f>Analysis!A12</f>
        <v>South Korea</v>
      </c>
      <c r="E26" s="32" t="str">
        <f>Analysis!B12</f>
        <v>KOR</v>
      </c>
      <c r="F26" s="125">
        <v>0</v>
      </c>
      <c r="G26" s="126">
        <v>0</v>
      </c>
      <c r="H26" s="126">
        <v>19.02</v>
      </c>
      <c r="I26" s="294">
        <f t="shared" si="0"/>
        <v>388.13560685544007</v>
      </c>
      <c r="J26" s="123">
        <v>0</v>
      </c>
      <c r="K26" s="290">
        <f t="shared" si="1"/>
        <v>0.56590514710331952</v>
      </c>
      <c r="L26" s="291">
        <f t="shared" si="3"/>
        <v>388.13560685544007</v>
      </c>
      <c r="M26" s="127">
        <v>0</v>
      </c>
      <c r="N26" s="285">
        <f t="shared" si="2"/>
        <v>0.56590514710331952</v>
      </c>
      <c r="O26" s="13"/>
      <c r="P26" s="286" t="str">
        <f t="shared" si="4"/>
        <v>KOR</v>
      </c>
      <c r="Q26" s="257">
        <f>Analysis!AF12-Analysis!AF38</f>
        <v>14.901118166620222</v>
      </c>
      <c r="R26" s="257">
        <f>Analysis!AJ12-Analysis!AJ38</f>
        <v>-4.1188818333797883</v>
      </c>
      <c r="S26" s="255">
        <f>Analysis!AN12-Analysis!AN38</f>
        <v>-0.52222710392599048</v>
      </c>
      <c r="U26" s="287" t="str">
        <f t="shared" si="5"/>
        <v>KOR</v>
      </c>
      <c r="V26" s="264">
        <f>Analysis!AH12-Analysis!AH38</f>
        <v>15.489013693515631</v>
      </c>
      <c r="W26" s="264">
        <f>Analysis!AL12-Analysis!AL38</f>
        <v>-3.5309863064844649</v>
      </c>
      <c r="X26" s="265">
        <f>Analysis!AP12-Analysis!AP38</f>
        <v>-0.75411923213700049</v>
      </c>
    </row>
    <row r="27" spans="4:26" x14ac:dyDescent="0.35">
      <c r="D27" s="182" t="str">
        <f>Analysis!A13</f>
        <v>Russia</v>
      </c>
      <c r="E27" s="32" t="str">
        <f>Analysis!B13</f>
        <v>RUS</v>
      </c>
      <c r="F27" s="125">
        <v>0</v>
      </c>
      <c r="G27" s="126">
        <v>0</v>
      </c>
      <c r="H27" s="126">
        <v>0</v>
      </c>
      <c r="I27" s="294">
        <f t="shared" si="0"/>
        <v>1750.4189734568383</v>
      </c>
      <c r="J27" s="123">
        <v>0</v>
      </c>
      <c r="K27" s="290">
        <f t="shared" si="1"/>
        <v>0.96857619992803679</v>
      </c>
      <c r="L27" s="291">
        <f t="shared" si="3"/>
        <v>1750.4189734568383</v>
      </c>
      <c r="M27" s="127">
        <v>0</v>
      </c>
      <c r="N27" s="285">
        <f t="shared" si="2"/>
        <v>0.96857619992803679</v>
      </c>
      <c r="P27" s="286" t="str">
        <f t="shared" si="4"/>
        <v>RUS</v>
      </c>
      <c r="Q27" s="257">
        <f>Analysis!AF13-Analysis!AF39</f>
        <v>34.255192393816969</v>
      </c>
      <c r="R27" s="257">
        <f>Analysis!AJ13-Analysis!AJ39</f>
        <v>34.255192393817055</v>
      </c>
      <c r="S27" s="255">
        <f>Analysis!AN13-Analysis!AN39</f>
        <v>0.28352284452311449</v>
      </c>
      <c r="U27" s="287" t="str">
        <f t="shared" si="5"/>
        <v>RUS</v>
      </c>
      <c r="V27" s="264">
        <f>Analysis!AH13-Analysis!AH39</f>
        <v>35.463617514502403</v>
      </c>
      <c r="W27" s="264">
        <f>Analysis!AL13-Analysis!AL39</f>
        <v>35.463617514502545</v>
      </c>
      <c r="X27" s="265">
        <f>Analysis!AP13-Analysis!AP39</f>
        <v>0.73581537629440885</v>
      </c>
    </row>
    <row r="28" spans="4:26" x14ac:dyDescent="0.35">
      <c r="D28" s="182" t="str">
        <f>Analysis!A14</f>
        <v>China</v>
      </c>
      <c r="E28" s="32" t="str">
        <f>Analysis!B14</f>
        <v>CHN</v>
      </c>
      <c r="F28" s="125">
        <v>0</v>
      </c>
      <c r="G28" s="126">
        <v>0</v>
      </c>
      <c r="H28" s="126">
        <v>0</v>
      </c>
      <c r="I28" s="294">
        <f t="shared" si="0"/>
        <v>12309.368962204981</v>
      </c>
      <c r="J28" s="123">
        <v>0</v>
      </c>
      <c r="K28" s="290">
        <f t="shared" si="1"/>
        <v>0.90572904397676823</v>
      </c>
      <c r="L28" s="291">
        <f t="shared" si="3"/>
        <v>11457.539072913709</v>
      </c>
      <c r="M28" s="127">
        <v>0</v>
      </c>
      <c r="N28" s="285">
        <f t="shared" si="2"/>
        <v>0.84305100795172605</v>
      </c>
      <c r="P28" s="286" t="str">
        <f t="shared" si="4"/>
        <v>CHN</v>
      </c>
      <c r="Q28" s="257">
        <f>Analysis!AF14-Analysis!AF40</f>
        <v>368.73010832524233</v>
      </c>
      <c r="R28" s="257">
        <f>Analysis!AJ14-Analysis!AJ40</f>
        <v>368.73010832524324</v>
      </c>
      <c r="S28" s="255">
        <f>Analysis!AN14-Analysis!AN40</f>
        <v>1.6546861853813477</v>
      </c>
      <c r="U28" s="287" t="str">
        <f t="shared" si="5"/>
        <v>CHN</v>
      </c>
      <c r="V28" s="264">
        <f>Analysis!AH14-Analysis!AH40</f>
        <v>380.30134757371707</v>
      </c>
      <c r="W28" s="264">
        <f>Analysis!AL14-Analysis!AL40</f>
        <v>380.30134757371445</v>
      </c>
      <c r="X28" s="265">
        <f>Analysis!AP14-Analysis!AP40</f>
        <v>3.3038736625342811</v>
      </c>
    </row>
    <row r="29" spans="4:26" x14ac:dyDescent="0.35">
      <c r="D29" s="182" t="str">
        <f>Analysis!A15</f>
        <v>Great Britain + Ireland</v>
      </c>
      <c r="E29" s="32" t="str">
        <f>Analysis!B15</f>
        <v>GBR</v>
      </c>
      <c r="F29" s="125">
        <v>0</v>
      </c>
      <c r="G29" s="126">
        <v>0</v>
      </c>
      <c r="H29" s="126">
        <v>0</v>
      </c>
      <c r="I29" s="294">
        <f t="shared" si="0"/>
        <v>240.38013421489839</v>
      </c>
      <c r="J29" s="123">
        <v>0</v>
      </c>
      <c r="K29" s="290">
        <f t="shared" si="1"/>
        <v>0.61337379994098662</v>
      </c>
      <c r="L29" s="291">
        <f t="shared" si="3"/>
        <v>240.38013421489839</v>
      </c>
      <c r="M29" s="127">
        <v>0</v>
      </c>
      <c r="N29" s="285">
        <f t="shared" si="2"/>
        <v>0.61337379994098662</v>
      </c>
      <c r="P29" s="286" t="str">
        <f t="shared" si="4"/>
        <v>GBR</v>
      </c>
      <c r="Q29" s="257">
        <f>Analysis!AF15-Analysis!AF41</f>
        <v>5.6819679817711517</v>
      </c>
      <c r="R29" s="257">
        <f>Analysis!AJ15-Analysis!AJ41</f>
        <v>5.6819679817711659</v>
      </c>
      <c r="S29" s="255">
        <f>Analysis!AN15-Analysis!AN41</f>
        <v>-0.24612474188471534</v>
      </c>
      <c r="U29" s="287" t="str">
        <f t="shared" si="5"/>
        <v>GBR</v>
      </c>
      <c r="V29" s="264">
        <f>Analysis!AH15-Analysis!AH41</f>
        <v>5.8743240447358289</v>
      </c>
      <c r="W29" s="264">
        <f>Analysis!AL15-Analysis!AL41</f>
        <v>5.8743240447358431</v>
      </c>
      <c r="X29" s="265">
        <f>Analysis!AP15-Analysis!AP41</f>
        <v>-0.3271934235735614</v>
      </c>
    </row>
    <row r="30" spans="4:26" x14ac:dyDescent="0.35">
      <c r="D30" s="182" t="str">
        <f>Analysis!A16</f>
        <v>India</v>
      </c>
      <c r="E30" s="32" t="str">
        <f>Analysis!B16</f>
        <v>IND</v>
      </c>
      <c r="F30" s="125">
        <v>0</v>
      </c>
      <c r="G30" s="126">
        <v>0</v>
      </c>
      <c r="H30" s="126">
        <v>0</v>
      </c>
      <c r="I30" s="294">
        <f t="shared" si="0"/>
        <v>4494.2930257872886</v>
      </c>
      <c r="J30" s="123">
        <v>0</v>
      </c>
      <c r="K30" s="290">
        <f t="shared" si="1"/>
        <v>1.4070426806708185</v>
      </c>
      <c r="L30" s="291">
        <f t="shared" si="3"/>
        <v>3327.8009417597737</v>
      </c>
      <c r="M30" s="127">
        <v>0</v>
      </c>
      <c r="N30" s="285">
        <f t="shared" si="2"/>
        <v>1.0418452759902797</v>
      </c>
      <c r="P30" s="286" t="str">
        <f t="shared" si="4"/>
        <v>IND</v>
      </c>
      <c r="Q30" s="257">
        <f>Analysis!AF16-Analysis!AF42</f>
        <v>99.419206605418822</v>
      </c>
      <c r="R30" s="257">
        <f>Analysis!AJ16-Analysis!AJ42</f>
        <v>99.419206605418822</v>
      </c>
      <c r="S30" s="255">
        <f>Analysis!AN16-Analysis!AN42</f>
        <v>1.2425023216196638</v>
      </c>
      <c r="U30" s="287" t="str">
        <f t="shared" si="5"/>
        <v>IND</v>
      </c>
      <c r="V30" s="264">
        <f>Analysis!AH16-Analysis!AH42</f>
        <v>103.03718012671698</v>
      </c>
      <c r="W30" s="264">
        <f>Analysis!AL16-Analysis!AL42</f>
        <v>103.03718012671652</v>
      </c>
      <c r="X30" s="265">
        <f>Analysis!AP16-Analysis!AP42</f>
        <v>2.5140351006488055</v>
      </c>
    </row>
    <row r="31" spans="4:26" x14ac:dyDescent="0.35">
      <c r="D31" s="182" t="str">
        <f>Analysis!A17</f>
        <v>Brazil</v>
      </c>
      <c r="E31" s="32" t="str">
        <f>Analysis!B17</f>
        <v>BRA</v>
      </c>
      <c r="F31" s="125">
        <v>0</v>
      </c>
      <c r="G31" s="126">
        <v>0</v>
      </c>
      <c r="H31" s="126">
        <v>158.31</v>
      </c>
      <c r="I31" s="294">
        <f t="shared" si="0"/>
        <v>390.90315271109517</v>
      </c>
      <c r="J31" s="123">
        <v>0</v>
      </c>
      <c r="K31" s="290">
        <f t="shared" si="1"/>
        <v>0.72955771964752159</v>
      </c>
      <c r="L31" s="291">
        <f t="shared" si="3"/>
        <v>250.39169325157403</v>
      </c>
      <c r="M31" s="127">
        <v>0</v>
      </c>
      <c r="N31" s="285">
        <f t="shared" si="2"/>
        <v>0.46731573148070726</v>
      </c>
      <c r="P31" s="286" t="str">
        <f t="shared" si="4"/>
        <v>BRA</v>
      </c>
      <c r="Q31" s="257">
        <f>Analysis!AF17-Analysis!AF43</f>
        <v>7.6823418624244368</v>
      </c>
      <c r="R31" s="257">
        <f>Analysis!AJ17-Analysis!AJ43</f>
        <v>-120.08813977073518</v>
      </c>
      <c r="S31" s="255">
        <f>Analysis!AN17-Analysis!AN43</f>
        <v>-0.89207752963996378</v>
      </c>
      <c r="U31" s="287" t="str">
        <f t="shared" si="5"/>
        <v>BRA</v>
      </c>
      <c r="V31" s="264">
        <f>Analysis!AH17-Analysis!AH43</f>
        <v>7.8821071234052624</v>
      </c>
      <c r="W31" s="264">
        <f>Analysis!AL17-Analysis!AL43</f>
        <v>-149.89541341476087</v>
      </c>
      <c r="X31" s="265">
        <f>Analysis!AP17-Analysis!AP43</f>
        <v>-2.5976031998629612</v>
      </c>
    </row>
    <row r="32" spans="4:26" x14ac:dyDescent="0.35">
      <c r="D32" s="182" t="str">
        <f>Analysis!A18</f>
        <v>EU29</v>
      </c>
      <c r="E32" s="32" t="str">
        <f>Analysis!B18</f>
        <v>EU</v>
      </c>
      <c r="F32" s="125">
        <v>0</v>
      </c>
      <c r="G32" s="126">
        <v>0</v>
      </c>
      <c r="H32" s="126">
        <v>333.1</v>
      </c>
      <c r="I32" s="294">
        <f t="shared" si="0"/>
        <v>1742.4565014934249</v>
      </c>
      <c r="J32" s="123">
        <v>0</v>
      </c>
      <c r="K32" s="290">
        <f t="shared" si="1"/>
        <v>0.61064811219611215</v>
      </c>
      <c r="L32" s="291">
        <f t="shared" si="3"/>
        <v>1742.4565014934249</v>
      </c>
      <c r="M32" s="127">
        <v>0</v>
      </c>
      <c r="N32" s="285">
        <f t="shared" si="2"/>
        <v>0.61064811219611215</v>
      </c>
      <c r="P32" s="286" t="str">
        <f t="shared" si="4"/>
        <v>EU</v>
      </c>
      <c r="Q32" s="257">
        <f>Analysis!AF18-Analysis!AF44</f>
        <v>46.285806798167869</v>
      </c>
      <c r="R32" s="257">
        <f>Analysis!AJ18-Analysis!AJ44</f>
        <v>-286.81419320183238</v>
      </c>
      <c r="S32" s="255">
        <f>Analysis!AN18-Analysis!AN44</f>
        <v>-3.4991102360245852</v>
      </c>
      <c r="U32" s="287" t="str">
        <f t="shared" si="5"/>
        <v>EU</v>
      </c>
      <c r="V32" s="264">
        <f>Analysis!AH18-Analysis!AH44</f>
        <v>47.828377119212291</v>
      </c>
      <c r="W32" s="264">
        <f>Analysis!AL18-Analysis!AL44</f>
        <v>-285.27162288078773</v>
      </c>
      <c r="X32" s="265">
        <f>Analysis!AP18-Analysis!AP44</f>
        <v>-6.2870035351169662</v>
      </c>
    </row>
    <row r="33" spans="1:26" x14ac:dyDescent="0.35">
      <c r="D33" s="182" t="str">
        <f>Analysis!A19</f>
        <v>Middle East</v>
      </c>
      <c r="E33" s="32" t="str">
        <f>Analysis!B19</f>
        <v>MEA</v>
      </c>
      <c r="F33" s="125">
        <v>0</v>
      </c>
      <c r="G33" s="126">
        <v>0</v>
      </c>
      <c r="H33" s="126">
        <v>0</v>
      </c>
      <c r="I33" s="294">
        <f t="shared" si="0"/>
        <v>3411.9461147757734</v>
      </c>
      <c r="J33" s="123">
        <v>0</v>
      </c>
      <c r="K33" s="290">
        <f t="shared" si="1"/>
        <v>1.0582835875822769</v>
      </c>
      <c r="L33" s="291">
        <f t="shared" si="3"/>
        <v>2957.0597729853939</v>
      </c>
      <c r="M33" s="127">
        <v>0</v>
      </c>
      <c r="N33" s="285">
        <f t="shared" si="2"/>
        <v>0.91719145613056507</v>
      </c>
      <c r="P33" s="286" t="str">
        <f t="shared" si="4"/>
        <v>MEA</v>
      </c>
      <c r="Q33" s="257">
        <f>Analysis!AF19-Analysis!AF45</f>
        <v>54.339155519503947</v>
      </c>
      <c r="R33" s="257">
        <f>Analysis!AJ19-Analysis!AJ45</f>
        <v>54.33915551950372</v>
      </c>
      <c r="S33" s="255">
        <f>Analysis!AN19-Analysis!AN45</f>
        <v>0.66953443056138418</v>
      </c>
      <c r="U33" s="287" t="str">
        <f t="shared" si="5"/>
        <v>MEA</v>
      </c>
      <c r="V33" s="264">
        <f>Analysis!AH19-Analysis!AH45</f>
        <v>56.025484336367754</v>
      </c>
      <c r="W33" s="264">
        <f>Analysis!AL19-Analysis!AL45</f>
        <v>56.025484336367441</v>
      </c>
      <c r="X33" s="265">
        <f>Analysis!AP19-Analysis!AP45</f>
        <v>0.61330692505541862</v>
      </c>
    </row>
    <row r="34" spans="1:26" x14ac:dyDescent="0.35">
      <c r="D34" s="182" t="str">
        <f>Analysis!A20</f>
        <v>Other Asia</v>
      </c>
      <c r="E34" s="32" t="str">
        <f>Analysis!B20</f>
        <v>OAS</v>
      </c>
      <c r="F34" s="125">
        <v>0</v>
      </c>
      <c r="G34" s="126">
        <v>0</v>
      </c>
      <c r="H34" s="126">
        <v>0</v>
      </c>
      <c r="I34" s="294">
        <f t="shared" si="0"/>
        <v>3595.871812837343</v>
      </c>
      <c r="J34" s="123">
        <v>0</v>
      </c>
      <c r="K34" s="290">
        <f t="shared" si="1"/>
        <v>1.0988623737868539</v>
      </c>
      <c r="L34" s="291">
        <f t="shared" si="3"/>
        <v>2569.9514771653135</v>
      </c>
      <c r="M34" s="127">
        <v>0</v>
      </c>
      <c r="N34" s="285">
        <f t="shared" si="2"/>
        <v>0.78535140508432</v>
      </c>
      <c r="P34" s="286" t="str">
        <f t="shared" si="4"/>
        <v>OAS</v>
      </c>
      <c r="Q34" s="257">
        <f>Analysis!AF20-Analysis!AF46</f>
        <v>73.805564472876995</v>
      </c>
      <c r="R34" s="257">
        <f>Analysis!AJ20-Analysis!AJ46</f>
        <v>73.805564472876767</v>
      </c>
      <c r="S34" s="255">
        <f>Analysis!AN20-Analysis!AN46</f>
        <v>0.90225471518649791</v>
      </c>
      <c r="U34" s="287" t="str">
        <f t="shared" si="5"/>
        <v>OAS</v>
      </c>
      <c r="V34" s="264">
        <f>Analysis!AH20-Analysis!AH46</f>
        <v>76.360276604269075</v>
      </c>
      <c r="W34" s="264">
        <f>Analysis!AL20-Analysis!AL46</f>
        <v>76.360276604269146</v>
      </c>
      <c r="X34" s="265">
        <f>Analysis!AP20-Analysis!AP46</f>
        <v>-0.181345249978492</v>
      </c>
    </row>
    <row r="35" spans="1:26" x14ac:dyDescent="0.35">
      <c r="D35" s="182" t="str">
        <f>Analysis!A21</f>
        <v>Aust/NZ</v>
      </c>
      <c r="E35" s="32" t="str">
        <f>Analysis!B21</f>
        <v>ANZ</v>
      </c>
      <c r="F35" s="125">
        <v>0</v>
      </c>
      <c r="G35" s="126">
        <v>0</v>
      </c>
      <c r="H35" s="126">
        <v>15.36</v>
      </c>
      <c r="I35" s="294">
        <f t="shared" si="0"/>
        <v>281.29752422676165</v>
      </c>
      <c r="J35" s="123">
        <v>0</v>
      </c>
      <c r="K35" s="290">
        <f t="shared" si="1"/>
        <v>0.59324794774958456</v>
      </c>
      <c r="L35" s="291">
        <f t="shared" si="3"/>
        <v>281.29752422676165</v>
      </c>
      <c r="M35" s="127">
        <v>0</v>
      </c>
      <c r="N35" s="285">
        <f t="shared" si="2"/>
        <v>0.59324794774958456</v>
      </c>
      <c r="P35" s="286" t="str">
        <f t="shared" si="4"/>
        <v>ANZ</v>
      </c>
      <c r="Q35" s="257">
        <f>Analysis!AF21-Analysis!AF47</f>
        <v>11.23986713338752</v>
      </c>
      <c r="R35" s="257">
        <f>Analysis!AJ21-Analysis!AJ47</f>
        <v>-4.1201328666124368</v>
      </c>
      <c r="S35" s="255">
        <f>Analysis!AN21-Analysis!AN47</f>
        <v>-0.34154884904419436</v>
      </c>
      <c r="U35" s="287" t="str">
        <f t="shared" si="5"/>
        <v>ANZ</v>
      </c>
      <c r="V35" s="264">
        <f>Analysis!AH21-Analysis!AH47</f>
        <v>11.620271214612671</v>
      </c>
      <c r="W35" s="264">
        <f>Analysis!AL21-Analysis!AL47</f>
        <v>-3.7397287853874133</v>
      </c>
      <c r="X35" s="265">
        <f>Analysis!AP21-Analysis!AP47</f>
        <v>-0.48635022517237703</v>
      </c>
    </row>
    <row r="36" spans="1:26" x14ac:dyDescent="0.35">
      <c r="D36" s="182" t="str">
        <f>Analysis!A22</f>
        <v>Other Americans</v>
      </c>
      <c r="E36" s="32" t="str">
        <f>Analysis!B22</f>
        <v>OAM</v>
      </c>
      <c r="F36" s="125">
        <v>0</v>
      </c>
      <c r="G36" s="126">
        <v>0</v>
      </c>
      <c r="H36" s="126">
        <v>0</v>
      </c>
      <c r="I36" s="294">
        <f t="shared" si="0"/>
        <v>1353.2699326303937</v>
      </c>
      <c r="J36" s="123">
        <v>0</v>
      </c>
      <c r="K36" s="290">
        <f t="shared" si="1"/>
        <v>1.0286383724937522</v>
      </c>
      <c r="L36" s="291">
        <f t="shared" si="3"/>
        <v>1182.9174344625901</v>
      </c>
      <c r="M36" s="127">
        <v>0</v>
      </c>
      <c r="N36" s="285">
        <f t="shared" si="2"/>
        <v>0.89915118576155895</v>
      </c>
      <c r="P36" s="286" t="str">
        <f t="shared" si="4"/>
        <v>OAM</v>
      </c>
      <c r="Q36" s="257">
        <f>Analysis!AF22-Analysis!AF48</f>
        <v>24.51620772762999</v>
      </c>
      <c r="R36" s="257">
        <f>Analysis!AJ22-Analysis!AJ48</f>
        <v>24.516207727629777</v>
      </c>
      <c r="S36" s="255">
        <f>Analysis!AN22-Analysis!AN48</f>
        <v>0.22054585701167034</v>
      </c>
      <c r="U36" s="287" t="str">
        <f t="shared" si="5"/>
        <v>OAM</v>
      </c>
      <c r="V36" s="264">
        <f>Analysis!AH22-Analysis!AH48</f>
        <v>25.234521463345345</v>
      </c>
      <c r="W36" s="264">
        <f>Analysis!AL22-Analysis!AL48</f>
        <v>25.234521463345452</v>
      </c>
      <c r="X36" s="265">
        <f>Analysis!AP22-Analysis!AP48</f>
        <v>0.21968268487049658</v>
      </c>
    </row>
    <row r="37" spans="1:26" x14ac:dyDescent="0.35">
      <c r="D37" s="182" t="str">
        <f>Analysis!A23</f>
        <v>Africa</v>
      </c>
      <c r="E37" s="32" t="str">
        <f>Analysis!B23</f>
        <v>AFR</v>
      </c>
      <c r="F37" s="125">
        <v>0</v>
      </c>
      <c r="G37" s="126">
        <v>0</v>
      </c>
      <c r="H37" s="126">
        <v>0</v>
      </c>
      <c r="I37" s="294">
        <f t="shared" si="0"/>
        <v>1998.0284985238136</v>
      </c>
      <c r="J37" s="123">
        <v>0</v>
      </c>
      <c r="K37" s="290">
        <f t="shared" si="1"/>
        <v>1.1333045615462571</v>
      </c>
      <c r="L37" s="291">
        <f t="shared" si="3"/>
        <v>1475.6872893765128</v>
      </c>
      <c r="M37" s="127">
        <v>0</v>
      </c>
      <c r="N37" s="285">
        <f t="shared" si="2"/>
        <v>0.83702666788879176</v>
      </c>
      <c r="P37" s="286" t="str">
        <f t="shared" si="4"/>
        <v>AFR</v>
      </c>
      <c r="Q37" s="257">
        <f>Analysis!AF23-Analysis!AF49</f>
        <v>37.330612548006002</v>
      </c>
      <c r="R37" s="257">
        <f>Analysis!AJ23-Analysis!AJ49</f>
        <v>37.330612548006002</v>
      </c>
      <c r="S37" s="255">
        <f>Analysis!AN23-Analysis!AN49</f>
        <v>0.4592641983775918</v>
      </c>
      <c r="U37" s="287" t="str">
        <f t="shared" si="5"/>
        <v>AFR</v>
      </c>
      <c r="V37" s="264">
        <f>Analysis!AH23-Analysis!AH49</f>
        <v>38.559764168159063</v>
      </c>
      <c r="W37" s="264">
        <f>Analysis!AL23-Analysis!AL49</f>
        <v>38.559764168159404</v>
      </c>
      <c r="X37" s="265">
        <f>Analysis!AP23-Analysis!AP49</f>
        <v>0.11837690494816511</v>
      </c>
    </row>
    <row r="38" spans="1:26" ht="15" thickBot="1" x14ac:dyDescent="0.4">
      <c r="D38" s="189" t="str">
        <f>Analysis!A24</f>
        <v>Rest Europe (nonETS)</v>
      </c>
      <c r="E38" s="295" t="str">
        <f>Analysis!B24</f>
        <v>REU</v>
      </c>
      <c r="F38" s="128">
        <v>0</v>
      </c>
      <c r="G38" s="129">
        <v>0</v>
      </c>
      <c r="H38" s="126">
        <v>0</v>
      </c>
      <c r="I38" s="294">
        <f t="shared" si="0"/>
        <v>340.86631315176754</v>
      </c>
      <c r="J38" s="130">
        <v>0</v>
      </c>
      <c r="K38" s="292">
        <f t="shared" si="1"/>
        <v>0.87382243792840097</v>
      </c>
      <c r="L38" s="291">
        <f t="shared" si="3"/>
        <v>331.34283267414207</v>
      </c>
      <c r="M38" s="131">
        <v>0</v>
      </c>
      <c r="N38" s="285">
        <f t="shared" si="2"/>
        <v>0.84940867039714885</v>
      </c>
      <c r="P38" s="286" t="str">
        <f t="shared" si="4"/>
        <v>REU</v>
      </c>
      <c r="Q38" s="257">
        <f>Analysis!AF24-Analysis!AF50</f>
        <v>9.2705532427382309</v>
      </c>
      <c r="R38" s="257">
        <f>Analysis!AJ24-Analysis!AJ50</f>
        <v>9.2705532427382593</v>
      </c>
      <c r="S38" s="255">
        <f>Analysis!AN24-Analysis!AN50</f>
        <v>1.2258206748892567E-2</v>
      </c>
      <c r="U38" s="287" t="str">
        <f t="shared" si="5"/>
        <v>REU</v>
      </c>
      <c r="V38" s="264">
        <f>Analysis!AH24-Analysis!AH50</f>
        <v>9.5919736837051914</v>
      </c>
      <c r="W38" s="264">
        <f>Analysis!AL24-Analysis!AL50</f>
        <v>9.5919736837052305</v>
      </c>
      <c r="X38" s="265">
        <f>Analysis!AP24-Analysis!AP50</f>
        <v>7.046092883559224E-2</v>
      </c>
    </row>
    <row r="39" spans="1:26" ht="15" thickBot="1" x14ac:dyDescent="0.4">
      <c r="F39" s="411" t="s">
        <v>27</v>
      </c>
      <c r="G39" s="412"/>
      <c r="H39" s="412"/>
      <c r="I39" s="418" t="s">
        <v>677</v>
      </c>
      <c r="J39" s="419"/>
      <c r="K39" s="420"/>
      <c r="L39" s="418" t="s">
        <v>678</v>
      </c>
      <c r="M39" s="419"/>
      <c r="N39" s="420"/>
      <c r="P39" s="98"/>
      <c r="Q39" s="49"/>
      <c r="R39" s="49"/>
      <c r="S39" s="132"/>
      <c r="U39" s="133"/>
      <c r="V39" s="39"/>
      <c r="W39" s="39"/>
      <c r="X39" s="134"/>
    </row>
    <row r="40" spans="1:26" ht="15" thickBot="1" x14ac:dyDescent="0.4">
      <c r="I40" s="421" t="s">
        <v>28</v>
      </c>
      <c r="J40" s="422"/>
      <c r="K40" s="423"/>
      <c r="L40" s="421" t="s">
        <v>28</v>
      </c>
      <c r="M40" s="422"/>
      <c r="N40" s="423"/>
      <c r="P40" s="58" t="s">
        <v>29</v>
      </c>
      <c r="Q40" s="135">
        <f>SUM(Q23:Q38)</f>
        <v>913.63048163315898</v>
      </c>
      <c r="R40" s="136">
        <f>SUM(R23:R38)</f>
        <v>2.4158453015843406E-13</v>
      </c>
      <c r="S40" s="137">
        <f>SUM(S23:S38)</f>
        <v>-5.7006092938077577</v>
      </c>
      <c r="U40" s="138" t="s">
        <v>29</v>
      </c>
      <c r="V40" s="139">
        <f>SUM(V23:V38)</f>
        <v>943.63752053816961</v>
      </c>
      <c r="W40" s="140">
        <f>SUM(W23:W38)</f>
        <v>-7.3541173151170369E-13</v>
      </c>
      <c r="X40" s="141">
        <f>SUM(X23:X38)</f>
        <v>-12.820920804826686</v>
      </c>
    </row>
    <row r="41" spans="1:26" x14ac:dyDescent="0.35">
      <c r="H41" s="142" t="s">
        <v>30</v>
      </c>
      <c r="I41" s="103">
        <f>SUM(I23:I38)</f>
        <v>36724.191569557537</v>
      </c>
      <c r="J41" s="103">
        <f>I41+SUM(Analysis!I9:I24)</f>
        <v>36724.191569557537</v>
      </c>
      <c r="K41" s="143">
        <f>(IF(J$22="no",I41,J41))/D68</f>
        <v>0.91098734141709137</v>
      </c>
      <c r="L41" s="103">
        <f>SUM(L23:L38)</f>
        <v>32199.382596877636</v>
      </c>
      <c r="M41" s="103">
        <f>L41+SUM(Analysis!L9:L24)</f>
        <v>32199.382596877636</v>
      </c>
      <c r="N41" s="143">
        <f>(IF(M$22="no",L41,M41))/D68</f>
        <v>0.79874406198003434</v>
      </c>
    </row>
    <row r="42" spans="1:26" x14ac:dyDescent="0.35">
      <c r="I42" s="103"/>
      <c r="J42" s="144" t="s">
        <v>31</v>
      </c>
      <c r="K42" s="145">
        <f>1-K41</f>
        <v>8.9012658582908633E-2</v>
      </c>
      <c r="M42" s="144" t="s">
        <v>31</v>
      </c>
      <c r="N42" s="146">
        <f>1-N41</f>
        <v>0.20125593801996566</v>
      </c>
      <c r="P42" s="32"/>
      <c r="Q42" s="25"/>
      <c r="R42" s="147" t="s">
        <v>32</v>
      </c>
      <c r="S42" s="148">
        <f>S40*10^9</f>
        <v>-5700609293.8077574</v>
      </c>
      <c r="U42" s="32"/>
      <c r="V42" s="25"/>
      <c r="W42" s="147" t="s">
        <v>32</v>
      </c>
      <c r="X42" s="148">
        <f>X40*10^9</f>
        <v>-12820920804.826687</v>
      </c>
    </row>
    <row r="44" spans="1:26" s="149" customFormat="1" ht="21" x14ac:dyDescent="0.5">
      <c r="E44" s="150"/>
      <c r="F44" s="150"/>
      <c r="G44" s="150"/>
      <c r="H44" s="151" t="s">
        <v>33</v>
      </c>
      <c r="I44" s="150"/>
      <c r="J44" s="152"/>
      <c r="K44" s="150"/>
      <c r="L44" s="150"/>
      <c r="M44" s="150"/>
      <c r="N44" s="150"/>
      <c r="O44" s="150"/>
      <c r="P44" s="153"/>
      <c r="Q44" s="154"/>
      <c r="R44" s="154"/>
      <c r="S44" s="155" t="s">
        <v>34</v>
      </c>
      <c r="T44" s="154"/>
      <c r="U44" s="156"/>
      <c r="V44" s="154"/>
      <c r="W44" s="154"/>
      <c r="X44" s="154"/>
      <c r="Y44" s="154"/>
      <c r="Z44" s="157"/>
    </row>
    <row r="45" spans="1:26" x14ac:dyDescent="0.35">
      <c r="A45" s="158"/>
      <c r="B45" s="159"/>
      <c r="C45" s="160"/>
      <c r="D45" s="161"/>
      <c r="E45" s="162" t="s">
        <v>35</v>
      </c>
      <c r="F45" s="163" t="s">
        <v>36</v>
      </c>
      <c r="G45" s="162"/>
      <c r="H45" s="162"/>
      <c r="I45" s="164"/>
      <c r="J45" s="165" t="s">
        <v>37</v>
      </c>
      <c r="K45" s="162"/>
      <c r="L45" s="166" t="s">
        <v>38</v>
      </c>
      <c r="M45" s="167" t="s">
        <v>39</v>
      </c>
      <c r="N45" s="168">
        <f>Analysis!V29</f>
        <v>7.2634168762420623</v>
      </c>
      <c r="O45" s="167" t="s">
        <v>40</v>
      </c>
      <c r="P45" s="169" t="s">
        <v>35</v>
      </c>
      <c r="Q45" s="170" t="s">
        <v>36</v>
      </c>
      <c r="R45" s="171"/>
      <c r="S45" s="171"/>
      <c r="T45" s="172"/>
      <c r="U45" s="170" t="s">
        <v>37</v>
      </c>
      <c r="V45" s="171"/>
      <c r="W45" s="166" t="s">
        <v>38</v>
      </c>
      <c r="X45" s="167" t="s">
        <v>39</v>
      </c>
      <c r="Y45" s="168">
        <f>Analysis!Y29</f>
        <v>15.172109576927646</v>
      </c>
      <c r="Z45" s="173" t="s">
        <v>40</v>
      </c>
    </row>
    <row r="46" spans="1:26" x14ac:dyDescent="0.35">
      <c r="A46" s="174" t="s">
        <v>14</v>
      </c>
      <c r="B46" s="175"/>
      <c r="C46" s="176" t="s">
        <v>41</v>
      </c>
      <c r="D46" s="177"/>
      <c r="E46" s="178" t="s">
        <v>42</v>
      </c>
      <c r="F46" s="179" t="s">
        <v>43</v>
      </c>
      <c r="G46" s="180"/>
      <c r="H46" s="180"/>
      <c r="I46" s="181"/>
      <c r="J46" s="180" t="s">
        <v>44</v>
      </c>
      <c r="K46" s="180"/>
      <c r="L46" s="182"/>
      <c r="M46" s="183" t="str">
        <f xml:space="preserve"> "with CDR "&amp;IF($J$22="no","","and new targets")</f>
        <v xml:space="preserve">with CDR </v>
      </c>
      <c r="N46" s="184">
        <f>Analysis!V3</f>
        <v>5.2662939632762056</v>
      </c>
      <c r="O46" s="32" t="s">
        <v>40</v>
      </c>
      <c r="P46" s="185" t="s">
        <v>42</v>
      </c>
      <c r="Q46" s="186" t="s">
        <v>43</v>
      </c>
      <c r="R46" s="186"/>
      <c r="S46" s="186"/>
      <c r="T46" s="186"/>
      <c r="U46" s="187" t="s">
        <v>44</v>
      </c>
      <c r="V46" s="188"/>
      <c r="W46" s="189"/>
      <c r="X46" s="190" t="str">
        <f xml:space="preserve"> "with CDR "&amp;IF($M$22="no","","and new targets")</f>
        <v xml:space="preserve">with CDR </v>
      </c>
      <c r="Y46" s="191">
        <f>Analysis!Y3</f>
        <v>12.068138067186036</v>
      </c>
      <c r="Z46" s="192" t="s">
        <v>40</v>
      </c>
    </row>
    <row r="47" spans="1:26" s="102" customFormat="1" x14ac:dyDescent="0.35">
      <c r="A47" s="193"/>
      <c r="B47" s="194"/>
      <c r="C47" s="195" t="s">
        <v>45</v>
      </c>
      <c r="D47" s="196" t="s">
        <v>46</v>
      </c>
      <c r="E47" s="197" t="s">
        <v>46</v>
      </c>
      <c r="F47" s="416" t="s">
        <v>47</v>
      </c>
      <c r="G47" s="415"/>
      <c r="H47" s="415" t="s">
        <v>48</v>
      </c>
      <c r="I47" s="415"/>
      <c r="J47" s="198" t="s">
        <v>49</v>
      </c>
      <c r="K47" s="197"/>
      <c r="L47" s="197" t="s">
        <v>50</v>
      </c>
      <c r="M47" s="197"/>
      <c r="N47" s="197" t="s">
        <v>51</v>
      </c>
      <c r="O47" s="199"/>
      <c r="P47" s="200" t="s">
        <v>46</v>
      </c>
      <c r="Q47" s="413" t="s">
        <v>47</v>
      </c>
      <c r="R47" s="413"/>
      <c r="S47" s="413" t="s">
        <v>48</v>
      </c>
      <c r="T47" s="414"/>
      <c r="U47" s="417" t="s">
        <v>49</v>
      </c>
      <c r="V47" s="413"/>
      <c r="W47" s="413" t="s">
        <v>50</v>
      </c>
      <c r="X47" s="413"/>
      <c r="Y47" s="413" t="s">
        <v>51</v>
      </c>
      <c r="Z47" s="414"/>
    </row>
    <row r="48" spans="1:26" s="214" customFormat="1" x14ac:dyDescent="0.35">
      <c r="A48" s="193"/>
      <c r="B48" s="202"/>
      <c r="C48" s="203">
        <v>2030</v>
      </c>
      <c r="D48" s="204">
        <v>2030</v>
      </c>
      <c r="E48" s="205">
        <v>2030</v>
      </c>
      <c r="F48" s="206" t="s">
        <v>39</v>
      </c>
      <c r="G48" s="207" t="str">
        <f xml:space="preserve"> "with CDR "&amp;IF($J$22="no","","and new targets")</f>
        <v xml:space="preserve">with CDR </v>
      </c>
      <c r="H48" s="208" t="s">
        <v>39</v>
      </c>
      <c r="I48" s="207" t="str">
        <f xml:space="preserve"> "with CDR "&amp;IF($J$22="no","","and new targets")</f>
        <v xml:space="preserve">with CDR </v>
      </c>
      <c r="J48" s="206" t="s">
        <v>39</v>
      </c>
      <c r="K48" s="207" t="str">
        <f xml:space="preserve"> "with CDR "&amp;IF($J$22="no","","and new targets")</f>
        <v xml:space="preserve">with CDR </v>
      </c>
      <c r="L48" s="208" t="s">
        <v>39</v>
      </c>
      <c r="M48" s="207" t="str">
        <f xml:space="preserve"> "with CDR "&amp;IF($J$22="no","","and new targets")</f>
        <v xml:space="preserve">with CDR </v>
      </c>
      <c r="N48" s="208" t="s">
        <v>39</v>
      </c>
      <c r="O48" s="209" t="str">
        <f xml:space="preserve"> "with CDR "&amp;IF($J$22="no","","and new targets")</f>
        <v xml:space="preserve">with CDR </v>
      </c>
      <c r="P48" s="210">
        <v>2030</v>
      </c>
      <c r="Q48" s="211" t="s">
        <v>39</v>
      </c>
      <c r="R48" s="212" t="str">
        <f xml:space="preserve"> "with CDR "&amp;IF($M$22="no","","and new targets")</f>
        <v xml:space="preserve">with CDR </v>
      </c>
      <c r="S48" s="211" t="s">
        <v>39</v>
      </c>
      <c r="T48" s="212" t="str">
        <f xml:space="preserve"> "with CDR "&amp;IF($M$22="no","","and new targets")</f>
        <v xml:space="preserve">with CDR </v>
      </c>
      <c r="U48" s="213" t="s">
        <v>39</v>
      </c>
      <c r="V48" s="212" t="str">
        <f xml:space="preserve"> "with CDR "&amp;IF($M$22="no","","and new targets")</f>
        <v xml:space="preserve">with CDR </v>
      </c>
      <c r="W48" s="211" t="s">
        <v>39</v>
      </c>
      <c r="X48" s="212" t="str">
        <f xml:space="preserve"> "with CDR "&amp;IF($M$22="no","","and new targets")</f>
        <v xml:space="preserve">with CDR </v>
      </c>
      <c r="Y48" s="211" t="s">
        <v>39</v>
      </c>
      <c r="Z48" s="212" t="str">
        <f xml:space="preserve"> "with CDR "&amp;IF($M$22="no","","and new targets")</f>
        <v xml:space="preserve">with CDR </v>
      </c>
    </row>
    <row r="49" spans="1:26" s="230" customFormat="1" x14ac:dyDescent="0.35">
      <c r="A49" s="215"/>
      <c r="B49" s="216"/>
      <c r="C49" s="217" t="s">
        <v>26</v>
      </c>
      <c r="D49" s="217" t="s">
        <v>52</v>
      </c>
      <c r="E49" s="218" t="s">
        <v>52</v>
      </c>
      <c r="F49" s="219" t="s">
        <v>53</v>
      </c>
      <c r="G49" s="220"/>
      <c r="H49" s="219" t="s">
        <v>26</v>
      </c>
      <c r="I49" s="221"/>
      <c r="J49" s="219" t="s">
        <v>25</v>
      </c>
      <c r="K49" s="221" t="s">
        <v>25</v>
      </c>
      <c r="L49" s="222" t="s">
        <v>25</v>
      </c>
      <c r="M49" s="221" t="s">
        <v>25</v>
      </c>
      <c r="N49" s="222" t="s">
        <v>26</v>
      </c>
      <c r="O49" s="223" t="s">
        <v>26</v>
      </c>
      <c r="P49" s="224" t="s">
        <v>52</v>
      </c>
      <c r="Q49" s="225" t="s">
        <v>53</v>
      </c>
      <c r="R49" s="226" t="s">
        <v>53</v>
      </c>
      <c r="S49" s="225" t="s">
        <v>26</v>
      </c>
      <c r="T49" s="227" t="s">
        <v>26</v>
      </c>
      <c r="U49" s="225" t="s">
        <v>25</v>
      </c>
      <c r="V49" s="227" t="s">
        <v>25</v>
      </c>
      <c r="W49" s="228" t="s">
        <v>25</v>
      </c>
      <c r="X49" s="227" t="s">
        <v>25</v>
      </c>
      <c r="Y49" s="228" t="s">
        <v>26</v>
      </c>
      <c r="Z49" s="229" t="s">
        <v>26</v>
      </c>
    </row>
    <row r="50" spans="1:26" x14ac:dyDescent="0.35">
      <c r="A50" s="166" t="str">
        <f>Analysis!A9</f>
        <v>United States</v>
      </c>
      <c r="B50" s="173" t="str">
        <f>Analysis!B9</f>
        <v>USA</v>
      </c>
      <c r="C50" s="231">
        <f>Analysis!R35</f>
        <v>26423.640666646581</v>
      </c>
      <c r="D50" s="232">
        <f>Analysis!T35</f>
        <v>5084.8592078077991</v>
      </c>
      <c r="E50" s="233">
        <f>'Data_world regions'!Y4</f>
        <v>3447.4642970438149</v>
      </c>
      <c r="F50" s="234">
        <f>Analysis!V35</f>
        <v>49.180757902654676</v>
      </c>
      <c r="G50" s="235">
        <f>IF(Analysis!$F9&gt;0,Analysis!V9,IF(Analysis!$I9=0,"",Analysis!V9))</f>
        <v>39.360483142151793</v>
      </c>
      <c r="H50" s="236">
        <f>Analysis!AB35</f>
        <v>30.00926102251147</v>
      </c>
      <c r="I50" s="237">
        <f>IF(Analysis!$F9&gt;0,Analysis!AB9,IF(Analysis!$I9=0,"",Analysis!AB9))</f>
        <v>22.04825479691387</v>
      </c>
      <c r="J50" s="238">
        <f>Analysis!AF35</f>
        <v>4461.628766358991</v>
      </c>
      <c r="K50" s="239">
        <f>Analysis!AF9</f>
        <v>4560.2458943250331</v>
      </c>
      <c r="L50" s="238">
        <f>Analysis!AJ35</f>
        <v>1014.1644693151757</v>
      </c>
      <c r="M50" s="239">
        <f>Analysis!AJ9</f>
        <v>932.5415972812184</v>
      </c>
      <c r="N50" s="236">
        <f>Analysis!AN35</f>
        <v>10.007942107338598</v>
      </c>
      <c r="O50" s="235">
        <f>Analysis!AN9</f>
        <v>6.8300172542490403</v>
      </c>
      <c r="P50" s="240">
        <f>'Data_world regions'!$Z4</f>
        <v>3336.8406797896337</v>
      </c>
      <c r="Q50" s="241">
        <f>Analysis!Y35</f>
        <v>55.812399464995245</v>
      </c>
      <c r="R50" s="242">
        <f>IF(Analysis!$F9&gt;0,Analysis!Y9,IF(Analysis!$L9=0,"",Analysis!Y9))</f>
        <v>45.243094902911487</v>
      </c>
      <c r="S50" s="243">
        <f>Analysis!AD35</f>
        <v>35.812384436024161</v>
      </c>
      <c r="T50" s="244">
        <f>IF(Analysis!$F9&gt;0,Analysis!AD9,IF(Analysis!$L9=0,"",Analysis!AD9))</f>
        <v>26.723593700948765</v>
      </c>
      <c r="U50" s="245">
        <f>Analysis!AH35</f>
        <v>4176.3716718663291</v>
      </c>
      <c r="V50" s="246">
        <f>Analysis!AH9</f>
        <v>4278.2330708925665</v>
      </c>
      <c r="W50" s="245">
        <f>Analysis!AL35</f>
        <v>839.53099207669584</v>
      </c>
      <c r="X50" s="246">
        <f>Analysis!AL9</f>
        <v>761.15239110293203</v>
      </c>
      <c r="Y50" s="243">
        <f>Analysis!AP35</f>
        <v>19.07340388334126</v>
      </c>
      <c r="Z50" s="247">
        <f>Analysis!AP9</f>
        <v>14.032314392554625</v>
      </c>
    </row>
    <row r="51" spans="1:26" x14ac:dyDescent="0.35">
      <c r="A51" s="182" t="str">
        <f>Analysis!A10</f>
        <v>Canada</v>
      </c>
      <c r="B51" s="248" t="str">
        <f>Analysis!B10</f>
        <v>CAN</v>
      </c>
      <c r="C51" s="249">
        <f>Analysis!R36</f>
        <v>2042.0458165165253</v>
      </c>
      <c r="D51" s="250">
        <f>Analysis!T36</f>
        <v>576.66426175716788</v>
      </c>
      <c r="E51" s="251">
        <f>'Data_world regions'!Y5</f>
        <v>334.79551107466779</v>
      </c>
      <c r="F51" s="252">
        <f>Analysis!V36</f>
        <v>131.43911960884108</v>
      </c>
      <c r="G51" s="253" t="str">
        <f>IF(Analysis!$F10&gt;0,Analysis!V10,IF(Analysis!I10=0,"",Analysis!V10))</f>
        <v/>
      </c>
      <c r="H51" s="254">
        <f>Analysis!AB36</f>
        <v>11.271292571674019</v>
      </c>
      <c r="I51" s="255" t="str">
        <f>IF(Analysis!$F10&gt;0,Analysis!AB10,IF(Analysis!$I10=0,"",Analysis!AB10))</f>
        <v/>
      </c>
      <c r="J51" s="256">
        <f>Analysis!AF36</f>
        <v>520.69722339396606</v>
      </c>
      <c r="K51" s="257">
        <f>Analysis!AF10</f>
        <v>529.57092986622456</v>
      </c>
      <c r="L51" s="256">
        <f>Analysis!AJ36</f>
        <v>185.90171231929821</v>
      </c>
      <c r="M51" s="257">
        <f>Analysis!AJ10</f>
        <v>194.77541879155675</v>
      </c>
      <c r="N51" s="254">
        <f>Analysis!AN36</f>
        <v>1.6267425280560124</v>
      </c>
      <c r="O51" s="253">
        <f>Analysis!AN10</f>
        <v>1.2321722780417936</v>
      </c>
      <c r="P51" s="258">
        <f>'Data_world regions'!Z5</f>
        <v>307.80883102621891</v>
      </c>
      <c r="Q51" s="259">
        <f>Analysis!Y36</f>
        <v>162.06096103554424</v>
      </c>
      <c r="R51" s="260" t="str">
        <f>IF(Analysis!$F10&gt;0,Analysis!Y10,IF(Analysis!$L10=0,"",Analysis!Y10))</f>
        <v/>
      </c>
      <c r="S51" s="261">
        <f>Analysis!AD36</f>
        <v>15.224007212336124</v>
      </c>
      <c r="T51" s="262" t="str">
        <f>IF(Analysis!$F10&gt;0,Analysis!AD10,IF(Analysis!$L10=0,"",Analysis!AD10))</f>
        <v/>
      </c>
      <c r="U51" s="263">
        <f>Analysis!AH36</f>
        <v>495.0679128186411</v>
      </c>
      <c r="V51" s="264">
        <f>Analysis!AH10</f>
        <v>504.23056436885014</v>
      </c>
      <c r="W51" s="263">
        <f>Analysis!AL36</f>
        <v>187.25908179242219</v>
      </c>
      <c r="X51" s="264">
        <f>Analysis!AL10</f>
        <v>196.42173334263131</v>
      </c>
      <c r="Y51" s="261">
        <f>Analysis!AP36</f>
        <v>3.4770632417092657</v>
      </c>
      <c r="Z51" s="265">
        <f>Analysis!AP10</f>
        <v>2.8665248278657836</v>
      </c>
    </row>
    <row r="52" spans="1:26" x14ac:dyDescent="0.35">
      <c r="A52" s="182" t="str">
        <f>Analysis!A11</f>
        <v>Japan</v>
      </c>
      <c r="B52" s="248" t="str">
        <f>Analysis!B11</f>
        <v>JPN</v>
      </c>
      <c r="C52" s="249">
        <f>Analysis!R37</f>
        <v>5603.6516926257291</v>
      </c>
      <c r="D52" s="250">
        <f>Analysis!T37</f>
        <v>1152.7978676783359</v>
      </c>
      <c r="E52" s="251">
        <f>'Data_world regions'!Y6</f>
        <v>644.6952085692418</v>
      </c>
      <c r="F52" s="252">
        <f>Analysis!V37</f>
        <v>127.97275969880911</v>
      </c>
      <c r="G52" s="253">
        <f>IF(Analysis!$F11&gt;0,Analysis!V11,IF(Analysis!I11=0,"",Analysis!V11))</f>
        <v>39.187105722606098</v>
      </c>
      <c r="H52" s="254">
        <f>Analysis!AB37</f>
        <v>23.724355454204101</v>
      </c>
      <c r="I52" s="255">
        <f>IF(Analysis!$F11&gt;0,Analysis!AB11,IF(Analysis!$I11=0,"",Analysis!AB11))</f>
        <v>5.0106552998122398</v>
      </c>
      <c r="J52" s="256">
        <f>Analysis!AF37</f>
        <v>1033.9044446094554</v>
      </c>
      <c r="K52" s="257">
        <f>Analysis!AF11</f>
        <v>1052.5863890267094</v>
      </c>
      <c r="L52" s="256">
        <f>Analysis!AJ37</f>
        <v>389.20923604021363</v>
      </c>
      <c r="M52" s="257">
        <f>Analysis!AJ11</f>
        <v>169.75118045746754</v>
      </c>
      <c r="N52" s="254">
        <f>Analysis!AN37</f>
        <v>3.4092383265858452</v>
      </c>
      <c r="O52" s="253">
        <f>Analysis!AN11</f>
        <v>1.3376438369911521</v>
      </c>
      <c r="P52" s="258">
        <f>'Data_world regions'!Z6</f>
        <v>599.3538312254135</v>
      </c>
      <c r="Q52" s="259">
        <f>Analysis!Y37</f>
        <v>151.67299683792166</v>
      </c>
      <c r="R52" s="260">
        <f>IF(Analysis!$F11&gt;0,Analysis!Y11,IF(Analysis!$L11=0,"",Analysis!Y11))</f>
        <v>51.46993937780752</v>
      </c>
      <c r="S52" s="261">
        <f>Analysis!AD37</f>
        <v>30.055903557093021</v>
      </c>
      <c r="T52" s="262">
        <f>IF(Analysis!$F11&gt;0,Analysis!AD11,IF(Analysis!$L11=0,"",Analysis!AD11))</f>
        <v>7.0576991632221935</v>
      </c>
      <c r="U52" s="263">
        <f>Analysis!AH37</f>
        <v>979.52010868821537</v>
      </c>
      <c r="V52" s="264">
        <f>Analysis!AH11</f>
        <v>998.865319983674</v>
      </c>
      <c r="W52" s="263">
        <f>Analysis!AL37</f>
        <v>380.16627746280193</v>
      </c>
      <c r="X52" s="264">
        <f>Analysis!AL11</f>
        <v>161.37148875826037</v>
      </c>
      <c r="Y52" s="261">
        <f>Analysis!AP37</f>
        <v>7.1217338615613484</v>
      </c>
      <c r="Z52" s="265">
        <f>Analysis!AP11</f>
        <v>3.0105042440189664</v>
      </c>
    </row>
    <row r="53" spans="1:26" x14ac:dyDescent="0.35">
      <c r="A53" s="182" t="str">
        <f>Analysis!A12</f>
        <v>South Korea</v>
      </c>
      <c r="B53" s="248" t="str">
        <f>Analysis!B12</f>
        <v>KOR</v>
      </c>
      <c r="C53" s="249">
        <f>Analysis!R38</f>
        <v>2262.2153781468805</v>
      </c>
      <c r="D53" s="250">
        <f>Analysis!T38</f>
        <v>685.86689632030618</v>
      </c>
      <c r="E53" s="251">
        <f>'Data_world regions'!Y7</f>
        <v>388.13560685544007</v>
      </c>
      <c r="F53" s="252">
        <f>Analysis!V38</f>
        <v>66.693363574798013</v>
      </c>
      <c r="G53" s="253">
        <f>IF(Analysis!$F12&gt;0,Analysis!V12,IF(Analysis!I12=0,"",Analysis!V12))</f>
        <v>58.601600017746371</v>
      </c>
      <c r="H53" s="254">
        <f>Analysis!AB38</f>
        <v>8.013564240410938</v>
      </c>
      <c r="I53" s="255">
        <f>IF(Analysis!$F12&gt;0,Analysis!AB12,IF(Analysis!$I12=0,"",Analysis!AB12))</f>
        <v>6.8229901888123825</v>
      </c>
      <c r="J53" s="256">
        <f>Analysis!AF38</f>
        <v>590.0239536407762</v>
      </c>
      <c r="K53" s="257">
        <f>Analysis!AF12</f>
        <v>604.92507180739642</v>
      </c>
      <c r="L53" s="256">
        <f>Analysis!AJ38</f>
        <v>201.88834678533613</v>
      </c>
      <c r="M53" s="257">
        <f>Analysis!AJ12</f>
        <v>197.76946495195634</v>
      </c>
      <c r="N53" s="254">
        <f>Analysis!AN38</f>
        <v>1.868799075692019</v>
      </c>
      <c r="O53" s="253">
        <f>Analysis!AN12</f>
        <v>1.3465719717660285</v>
      </c>
      <c r="P53" s="258">
        <f>'Data_world regions'!Z7</f>
        <v>388.13560685544007</v>
      </c>
      <c r="Q53" s="259">
        <f>Analysis!Y38</f>
        <v>66.693363574798013</v>
      </c>
      <c r="R53" s="260">
        <f>IF(Analysis!$F12&gt;0,Analysis!Y12,IF(Analysis!$L12=0,"",Analysis!Y12))</f>
        <v>58.601600017746371</v>
      </c>
      <c r="S53" s="261">
        <f>Analysis!AD38</f>
        <v>8.013564240410938</v>
      </c>
      <c r="T53" s="262">
        <f>IF(Analysis!$F12&gt;0,Analysis!AD12,IF(Analysis!$L12=0,"",Analysis!AD12))</f>
        <v>6.8229901888123825</v>
      </c>
      <c r="U53" s="263">
        <f>Analysis!AH38</f>
        <v>546.21736439591621</v>
      </c>
      <c r="V53" s="264">
        <f>Analysis!AH12</f>
        <v>561.70637808943184</v>
      </c>
      <c r="W53" s="263">
        <f>Analysis!AL38</f>
        <v>158.08175754047622</v>
      </c>
      <c r="X53" s="264">
        <f>Analysis!AL12</f>
        <v>154.55077123399175</v>
      </c>
      <c r="Y53" s="261">
        <f>Analysis!AP38</f>
        <v>3.3825708546321791</v>
      </c>
      <c r="Z53" s="265">
        <f>Analysis!AP12</f>
        <v>2.6284516224951786</v>
      </c>
    </row>
    <row r="54" spans="1:26" x14ac:dyDescent="0.35">
      <c r="A54" s="182" t="str">
        <f>Analysis!A13</f>
        <v>Russia</v>
      </c>
      <c r="B54" s="248" t="str">
        <f>Analysis!B13</f>
        <v>RUS</v>
      </c>
      <c r="C54" s="249">
        <f>Analysis!R39</f>
        <v>2039.7575971447261</v>
      </c>
      <c r="D54" s="250">
        <f>Analysis!T39</f>
        <v>1807.2083266003137</v>
      </c>
      <c r="E54" s="251">
        <f>'Data_world regions'!Y8</f>
        <v>1750.4189734568383</v>
      </c>
      <c r="F54" s="252">
        <f>Analysis!V39</f>
        <v>1.1162835699883733</v>
      </c>
      <c r="G54" s="253" t="str">
        <f>IF(Analysis!$F13&gt;0,Analysis!V13,IF(Analysis!I13=0,"",Analysis!V13))</f>
        <v/>
      </c>
      <c r="H54" s="254">
        <f>Analysis!AB39</f>
        <v>5.9981480050157264E-2</v>
      </c>
      <c r="I54" s="255" t="str">
        <f>IF(Analysis!$F13&gt;0,Analysis!AB13,IF(Analysis!$I13=0,"",Analysis!AB13))</f>
        <v/>
      </c>
      <c r="J54" s="256">
        <f>Analysis!AF39</f>
        <v>1594.2573329623413</v>
      </c>
      <c r="K54" s="257">
        <f>Analysis!AF13</f>
        <v>1628.5125253561582</v>
      </c>
      <c r="L54" s="256">
        <f>Analysis!AJ39</f>
        <v>-146.98634602011632</v>
      </c>
      <c r="M54" s="257">
        <f>Analysis!AJ13</f>
        <v>-112.73115362629926</v>
      </c>
      <c r="N54" s="254">
        <f>Analysis!AN39</f>
        <v>-0.58901820417002004</v>
      </c>
      <c r="O54" s="253">
        <f>Analysis!AN13</f>
        <v>-0.30549535964690555</v>
      </c>
      <c r="P54" s="258">
        <f>'Data_world regions'!Z8</f>
        <v>1750.4189734568383</v>
      </c>
      <c r="Q54" s="259">
        <f>Analysis!Y39</f>
        <v>1.1162835699883733</v>
      </c>
      <c r="R54" s="260" t="str">
        <f>IF(Analysis!$F13&gt;0,Analysis!Y13,IF(Analysis!$L13=0,"",Analysis!Y13))</f>
        <v/>
      </c>
      <c r="S54" s="261">
        <f>Analysis!AD39</f>
        <v>5.9981480050157264E-2</v>
      </c>
      <c r="T54" s="262" t="str">
        <f>IF(Analysis!$F13&gt;0,Analysis!AD13,IF(Analysis!$L13=0,"",Analysis!AD13))</f>
        <v/>
      </c>
      <c r="U54" s="263">
        <f>Analysis!AH39</f>
        <v>1495.6638537741158</v>
      </c>
      <c r="V54" s="264">
        <f>Analysis!AH13</f>
        <v>1531.1274712886182</v>
      </c>
      <c r="W54" s="263">
        <f>Analysis!AL39</f>
        <v>-245.57982520834184</v>
      </c>
      <c r="X54" s="264">
        <f>Analysis!AL13</f>
        <v>-210.1162076938393</v>
      </c>
      <c r="Y54" s="261">
        <f>Analysis!AP39</f>
        <v>-2.2475863013777739</v>
      </c>
      <c r="Z54" s="265">
        <f>Analysis!AP13</f>
        <v>-1.5117709250833651</v>
      </c>
    </row>
    <row r="55" spans="1:26" x14ac:dyDescent="0.35">
      <c r="A55" s="182" t="str">
        <f>Analysis!A14</f>
        <v>China</v>
      </c>
      <c r="B55" s="248" t="str">
        <f>Analysis!B14</f>
        <v>CHN</v>
      </c>
      <c r="C55" s="249">
        <f>Analysis!R40</f>
        <v>27350.395345251094</v>
      </c>
      <c r="D55" s="250">
        <f>Analysis!T40</f>
        <v>13590.564467446529</v>
      </c>
      <c r="E55" s="251">
        <f>'Data_world regions'!Y9</f>
        <v>12309.368962204981</v>
      </c>
      <c r="F55" s="252">
        <f>Analysis!V40</f>
        <v>2.6383863518722177</v>
      </c>
      <c r="G55" s="253" t="str">
        <f>IF(Analysis!$F14&gt;0,Analysis!V14,IF(Analysis!I14=0,"",Analysis!V14))</f>
        <v/>
      </c>
      <c r="H55" s="254">
        <f>Analysis!AB40</f>
        <v>1.6799511467336448</v>
      </c>
      <c r="I55" s="255" t="str">
        <f>IF(Analysis!$F14&gt;0,Analysis!AB14,IF(Analysis!$I14=0,"",Analysis!AB14))</f>
        <v/>
      </c>
      <c r="J55" s="256">
        <f>Analysis!AF40</f>
        <v>11294.586387608577</v>
      </c>
      <c r="K55" s="257">
        <f>Analysis!AF14</f>
        <v>11663.316495933819</v>
      </c>
      <c r="L55" s="256">
        <f>Analysis!AJ40</f>
        <v>-1014.7825745964043</v>
      </c>
      <c r="M55" s="257">
        <f>Analysis!AJ14</f>
        <v>-646.05246627116105</v>
      </c>
      <c r="N55" s="254">
        <f>Analysis!AN40</f>
        <v>-1.2524875925755488</v>
      </c>
      <c r="O55" s="253">
        <f>Analysis!AN14</f>
        <v>0.40219859280579889</v>
      </c>
      <c r="P55" s="258">
        <f>'Data_world regions'!Z9</f>
        <v>11457.539072913709</v>
      </c>
      <c r="Q55" s="259">
        <f>Analysis!Y40</f>
        <v>6.3786906950370295</v>
      </c>
      <c r="R55" s="260" t="str">
        <f>IF(Analysis!$F14&gt;0,Analysis!Y14,IF(Analysis!$L14=0,"",Analysis!Y14))</f>
        <v/>
      </c>
      <c r="S55" s="261">
        <f>Analysis!AD40</f>
        <v>5.3828821021158477</v>
      </c>
      <c r="T55" s="262" t="str">
        <f>IF(Analysis!$F14&gt;0,Analysis!AD14,IF(Analysis!$L14=0,"",Analysis!AD14))</f>
        <v/>
      </c>
      <c r="U55" s="263">
        <f>Analysis!AH40</f>
        <v>10236.0200339153</v>
      </c>
      <c r="V55" s="264">
        <f>Analysis!AH14</f>
        <v>10616.321381489017</v>
      </c>
      <c r="W55" s="263">
        <f>Analysis!AL40</f>
        <v>-1221.519038998407</v>
      </c>
      <c r="X55" s="264">
        <f>Analysis!AL14</f>
        <v>-841.21769142469259</v>
      </c>
      <c r="Y55" s="261">
        <f>Analysis!AP40</f>
        <v>-1.2366760986781056</v>
      </c>
      <c r="Z55" s="265">
        <f>Analysis!AP14</f>
        <v>2.0671975638561753</v>
      </c>
    </row>
    <row r="56" spans="1:26" x14ac:dyDescent="0.35">
      <c r="A56" s="182" t="str">
        <f>Analysis!A15</f>
        <v>Great Britain + Ireland</v>
      </c>
      <c r="B56" s="248" t="str">
        <f>Analysis!B15</f>
        <v>GBR</v>
      </c>
      <c r="C56" s="249">
        <f>Analysis!R41</f>
        <v>3865.3360868313407</v>
      </c>
      <c r="D56" s="250">
        <f>Analysis!T41</f>
        <v>391.89827514319268</v>
      </c>
      <c r="E56" s="251">
        <f>'Data_world regions'!Y10</f>
        <v>240.38013421489839</v>
      </c>
      <c r="F56" s="252">
        <f>Analysis!V41</f>
        <v>124.91830632735618</v>
      </c>
      <c r="G56" s="253" t="str">
        <f>IF(Analysis!$F15&gt;0,Analysis!V15,IF(Analysis!I15=0,"",Analysis!V15))</f>
        <v/>
      </c>
      <c r="H56" s="254">
        <f>Analysis!AB41</f>
        <v>6.8301918621308078</v>
      </c>
      <c r="I56" s="255" t="str">
        <f>IF(Analysis!$F15&gt;0,Analysis!AB15,IF(Analysis!$I15=0,"",Analysis!AB15))</f>
        <v/>
      </c>
      <c r="J56" s="256">
        <f>Analysis!AF41</f>
        <v>355.90217283562691</v>
      </c>
      <c r="K56" s="257">
        <f>Analysis!AF15</f>
        <v>361.58414081739807</v>
      </c>
      <c r="L56" s="256">
        <f>Analysis!AJ41</f>
        <v>115.52203862072848</v>
      </c>
      <c r="M56" s="257">
        <f>Analysis!AJ15</f>
        <v>121.20400660249965</v>
      </c>
      <c r="N56" s="254">
        <f>Analysis!AN41</f>
        <v>1.0250254085113164</v>
      </c>
      <c r="O56" s="253">
        <f>Analysis!AN15</f>
        <v>0.77890066662660107</v>
      </c>
      <c r="P56" s="258">
        <f>'Data_world regions'!Z10</f>
        <v>240.38013421489839</v>
      </c>
      <c r="Q56" s="259">
        <f>Analysis!Y41</f>
        <v>124.91830632735618</v>
      </c>
      <c r="R56" s="260" t="str">
        <f>IF(Analysis!$F15&gt;0,Analysis!Y15,IF(Analysis!$L15=0,"",Analysis!Y15))</f>
        <v/>
      </c>
      <c r="S56" s="261">
        <f>Analysis!AD41</f>
        <v>6.8301918621308078</v>
      </c>
      <c r="T56" s="262" t="str">
        <f>IF(Analysis!$F15&gt;0,Analysis!AD15,IF(Analysis!$L15=0,"",Analysis!AD15))</f>
        <v/>
      </c>
      <c r="U56" s="263">
        <f>Analysis!AH41</f>
        <v>339.43026140764579</v>
      </c>
      <c r="V56" s="264">
        <f>Analysis!AH15</f>
        <v>345.30458545238162</v>
      </c>
      <c r="W56" s="263">
        <f>Analysis!AL41</f>
        <v>99.050127192747354</v>
      </c>
      <c r="X56" s="264">
        <f>Analysis!AL15</f>
        <v>104.9244512374832</v>
      </c>
      <c r="Y56" s="261">
        <f>Analysis!AP41</f>
        <v>1.9261930384547397</v>
      </c>
      <c r="Z56" s="265">
        <f>Analysis!AP15</f>
        <v>1.5989996148811783</v>
      </c>
    </row>
    <row r="57" spans="1:26" x14ac:dyDescent="0.35">
      <c r="A57" s="182" t="str">
        <f>Analysis!A16</f>
        <v>India</v>
      </c>
      <c r="B57" s="248" t="str">
        <f>Analysis!B16</f>
        <v>IND</v>
      </c>
      <c r="C57" s="249">
        <f>Analysis!R42</f>
        <v>4798.9397521920828</v>
      </c>
      <c r="D57" s="250">
        <f>Analysis!T42</f>
        <v>3194.1412208225265</v>
      </c>
      <c r="E57" s="251">
        <f>'Data_world regions'!Y11</f>
        <v>4494.2930257872886</v>
      </c>
      <c r="F57" s="252">
        <f>Analysis!V42</f>
        <v>0</v>
      </c>
      <c r="G57" s="253" t="str">
        <f>IF(Analysis!$F16&gt;0,Analysis!V16,IF(Analysis!I16=0,"",Analysis!V16))</f>
        <v/>
      </c>
      <c r="H57" s="254">
        <f>Analysis!AB42</f>
        <v>0</v>
      </c>
      <c r="I57" s="255" t="str">
        <f>IF(Analysis!$F16&gt;0,Analysis!AB16,IF(Analysis!$I16=0,"",Analysis!AB16))</f>
        <v/>
      </c>
      <c r="J57" s="256">
        <f>Analysis!AF42</f>
        <v>2566.9022619471411</v>
      </c>
      <c r="K57" s="257">
        <f>Analysis!AF16</f>
        <v>2666.32146855256</v>
      </c>
      <c r="L57" s="256">
        <f>Analysis!AJ42</f>
        <v>-627.23895887538538</v>
      </c>
      <c r="M57" s="257">
        <f>Analysis!AJ16</f>
        <v>-527.81975226996656</v>
      </c>
      <c r="N57" s="254">
        <f>Analysis!AN42</f>
        <v>-3.4966188421649016</v>
      </c>
      <c r="O57" s="253">
        <f>Analysis!AN16</f>
        <v>-2.2541165205452378</v>
      </c>
      <c r="P57" s="258">
        <f>'Data_world regions'!Z11</f>
        <v>3327.8009417597737</v>
      </c>
      <c r="Q57" s="259">
        <f>Analysis!Y42</f>
        <v>0.59429400779796182</v>
      </c>
      <c r="R57" s="260" t="str">
        <f>IF(Analysis!$F16&gt;0,Analysis!Y16,IF(Analysis!$L16=0,"",Analysis!Y16))</f>
        <v/>
      </c>
      <c r="S57" s="261">
        <f>Analysis!AD42</f>
        <v>0.11221196227495682</v>
      </c>
      <c r="T57" s="262" t="str">
        <f>IF(Analysis!$F16&gt;0,Analysis!AD16,IF(Analysis!$L16=0,"",Analysis!AD16))</f>
        <v/>
      </c>
      <c r="U57" s="263">
        <f>Analysis!AH42</f>
        <v>2278.1522572964191</v>
      </c>
      <c r="V57" s="264">
        <f>Analysis!AH16</f>
        <v>2381.189437423136</v>
      </c>
      <c r="W57" s="263">
        <f>Analysis!AL42</f>
        <v>-821.58117815171317</v>
      </c>
      <c r="X57" s="264">
        <f>Analysis!AL16</f>
        <v>-718.54399802499665</v>
      </c>
      <c r="Y57" s="261">
        <f>Analysis!AP42</f>
        <v>-8.5662497749987683</v>
      </c>
      <c r="Z57" s="265">
        <f>Analysis!AP16</f>
        <v>-6.0522146743499627</v>
      </c>
    </row>
    <row r="58" spans="1:26" x14ac:dyDescent="0.35">
      <c r="A58" s="182" t="str">
        <f>Analysis!A17</f>
        <v>Brazil</v>
      </c>
      <c r="B58" s="248" t="str">
        <f>Analysis!B17</f>
        <v>BRA</v>
      </c>
      <c r="C58" s="249">
        <f>Analysis!R43</f>
        <v>1959.7821035228105</v>
      </c>
      <c r="D58" s="250">
        <f>Analysis!T43</f>
        <v>535.80839758635693</v>
      </c>
      <c r="E58" s="251">
        <f>'Data_world regions'!Y12</f>
        <v>390.90315271109517</v>
      </c>
      <c r="F58" s="252">
        <f>Analysis!V43</f>
        <v>70.797144566141824</v>
      </c>
      <c r="G58" s="253">
        <f>IF(Analysis!$F17&gt;0,Analysis!V17,IF(Analysis!I17=0,"",Analysis!V17))</f>
        <v>3.0984849641400487</v>
      </c>
      <c r="H58" s="254">
        <f>Analysis!AB43</f>
        <v>4.3828840846686887</v>
      </c>
      <c r="I58" s="255">
        <f>IF(Analysis!$F17&gt;0,Analysis!AB17,IF(Analysis!$I17=0,"",Analysis!AB17))</f>
        <v>8.9584652049752786E-2</v>
      </c>
      <c r="J58" s="256">
        <f>Analysis!AF43</f>
        <v>488.44902552171089</v>
      </c>
      <c r="K58" s="257">
        <f>Analysis!AF17</f>
        <v>496.13136738413533</v>
      </c>
      <c r="L58" s="256">
        <f>Analysis!AJ43</f>
        <v>97.545872810615791</v>
      </c>
      <c r="M58" s="257">
        <f>Analysis!AJ17</f>
        <v>-22.542266960119395</v>
      </c>
      <c r="N58" s="254">
        <f>Analysis!AN43</f>
        <v>0.89811443487276132</v>
      </c>
      <c r="O58" s="253">
        <f>Analysis!AN17</f>
        <v>6.0369052327975126E-3</v>
      </c>
      <c r="P58" s="258">
        <f>'Data_world regions'!Z12</f>
        <v>250.39169325157403</v>
      </c>
      <c r="Q58" s="259">
        <f>Analysis!Y43</f>
        <v>250.4905043375995</v>
      </c>
      <c r="R58" s="260">
        <f>IF(Analysis!$F17&gt;0,Analysis!Y17,IF(Analysis!$L17=0,"",Analysis!Y17))</f>
        <v>57.072072173764575</v>
      </c>
      <c r="S58" s="261">
        <f>Analysis!AD43</f>
        <v>25.471020428278731</v>
      </c>
      <c r="T58" s="262">
        <f>IF(Analysis!$F17&gt;0,Analysis!AD17,IF(Analysis!$L17=0,"",Analysis!AD17))</f>
        <v>3.2478952624986257</v>
      </c>
      <c r="U58" s="263">
        <f>Analysis!AH43</f>
        <v>466.68437589422336</v>
      </c>
      <c r="V58" s="264">
        <f>Analysis!AH17</f>
        <v>474.56648301762863</v>
      </c>
      <c r="W58" s="263">
        <f>Analysis!AL43</f>
        <v>216.29268264264934</v>
      </c>
      <c r="X58" s="264">
        <f>Analysis!AL17</f>
        <v>66.397269227888472</v>
      </c>
      <c r="Y58" s="261">
        <f>Analysis!AP43</f>
        <v>3.7274748339045587</v>
      </c>
      <c r="Z58" s="265">
        <f>Analysis!AP17</f>
        <v>1.1298716340415975</v>
      </c>
    </row>
    <row r="59" spans="1:26" x14ac:dyDescent="0.35">
      <c r="A59" s="182" t="str">
        <f>Analysis!A18</f>
        <v>EU29</v>
      </c>
      <c r="B59" s="248" t="str">
        <f>Analysis!B18</f>
        <v>EU</v>
      </c>
      <c r="C59" s="249">
        <f>Analysis!R44</f>
        <v>18112.942012749303</v>
      </c>
      <c r="D59" s="250">
        <f>Analysis!T44</f>
        <v>2853.4543326874773</v>
      </c>
      <c r="E59" s="251">
        <f>'Data_world regions'!Y13</f>
        <v>1742.4565014934249</v>
      </c>
      <c r="F59" s="252">
        <f>Analysis!V44</f>
        <v>101.50658940737212</v>
      </c>
      <c r="G59" s="253">
        <f>IF(Analysis!$F18&gt;0,Analysis!V18,IF(Analysis!I18=0,"",Analysis!V18))</f>
        <v>51.226664343575784</v>
      </c>
      <c r="H59" s="254">
        <f>Analysis!AB44</f>
        <v>40.74179773166059</v>
      </c>
      <c r="I59" s="255">
        <f>IF(Analysis!$F18&gt;0,Analysis!AB18,IF(Analysis!$I18=0,"",Analysis!AB18))</f>
        <v>15.829870100976294</v>
      </c>
      <c r="J59" s="256">
        <f>Analysis!AF44</f>
        <v>2560.5804092261151</v>
      </c>
      <c r="K59" s="257">
        <f>Analysis!AF18</f>
        <v>2606.8662160242829</v>
      </c>
      <c r="L59" s="256">
        <f>Analysis!AJ44</f>
        <v>818.12390773269044</v>
      </c>
      <c r="M59" s="257">
        <f>Analysis!AJ18</f>
        <v>531.30971453085806</v>
      </c>
      <c r="N59" s="254">
        <f>Analysis!AN44</f>
        <v>7.3438757498106888</v>
      </c>
      <c r="O59" s="253">
        <f>Analysis!AN18</f>
        <v>3.8447655137861037</v>
      </c>
      <c r="P59" s="258">
        <f>'Data_world regions'!Z13</f>
        <v>1742.4565014934249</v>
      </c>
      <c r="Q59" s="259">
        <f>Analysis!Y44</f>
        <v>101.50658940737212</v>
      </c>
      <c r="R59" s="260">
        <f>IF(Analysis!$F18&gt;0,Analysis!Y18,IF(Analysis!$L18=0,"",Analysis!Y18))</f>
        <v>51.226664343575784</v>
      </c>
      <c r="S59" s="261">
        <f>Analysis!AD44</f>
        <v>40.74179773166059</v>
      </c>
      <c r="T59" s="262">
        <f>IF(Analysis!$F18&gt;0,Analysis!AD18,IF(Analysis!$L18=0,"",Analysis!AD18))</f>
        <v>15.829870100976294</v>
      </c>
      <c r="U59" s="263">
        <f>Analysis!AH44</f>
        <v>2426.5686220280022</v>
      </c>
      <c r="V59" s="264">
        <f>Analysis!AH18</f>
        <v>2474.3969991472145</v>
      </c>
      <c r="W59" s="263">
        <f>Analysis!AL44</f>
        <v>684.11212053457746</v>
      </c>
      <c r="X59" s="264">
        <f>Analysis!AL18</f>
        <v>398.84049765378973</v>
      </c>
      <c r="Y59" s="261">
        <f>Analysis!AP44</f>
        <v>13.635139673658202</v>
      </c>
      <c r="Z59" s="265">
        <f>Analysis!AP18</f>
        <v>7.3481361385412356</v>
      </c>
    </row>
    <row r="60" spans="1:26" x14ac:dyDescent="0.35">
      <c r="A60" s="182" t="str">
        <f>Analysis!A19</f>
        <v>Middle East</v>
      </c>
      <c r="B60" s="248" t="str">
        <f>Analysis!B19</f>
        <v>MEA</v>
      </c>
      <c r="C60" s="249">
        <f>Analysis!R45</f>
        <v>4438.0359006893295</v>
      </c>
      <c r="D60" s="250">
        <f>Analysis!T45</f>
        <v>3224.0376349127778</v>
      </c>
      <c r="E60" s="251">
        <f>'Data_world regions'!Y14</f>
        <v>3411.9461147757734</v>
      </c>
      <c r="F60" s="252">
        <f>Analysis!V45</f>
        <v>0</v>
      </c>
      <c r="G60" s="253" t="str">
        <f>IF(Analysis!$F19&gt;0,Analysis!V19,IF(Analysis!I19=0,"",Analysis!V19))</f>
        <v/>
      </c>
      <c r="H60" s="254">
        <f>Analysis!AB45</f>
        <v>0</v>
      </c>
      <c r="I60" s="255" t="str">
        <f>IF(Analysis!$F19&gt;0,Analysis!AB19,IF(Analysis!$I19=0,"",Analysis!AB19))</f>
        <v/>
      </c>
      <c r="J60" s="256">
        <f>Analysis!AF45</f>
        <v>2887.5881409189083</v>
      </c>
      <c r="K60" s="257">
        <f>Analysis!AF19</f>
        <v>2941.9272964384122</v>
      </c>
      <c r="L60" s="256">
        <f>Analysis!AJ45</f>
        <v>-336.44949399386951</v>
      </c>
      <c r="M60" s="257">
        <f>Analysis!AJ19</f>
        <v>-282.11033847436579</v>
      </c>
      <c r="N60" s="254">
        <f>Analysis!AN45</f>
        <v>-1.8659975112244152</v>
      </c>
      <c r="O60" s="253">
        <f>Analysis!AN19</f>
        <v>-1.196463080663031</v>
      </c>
      <c r="P60" s="258">
        <f>'Data_world regions'!Z14</f>
        <v>2957.0597729853939</v>
      </c>
      <c r="Q60" s="259">
        <f>Analysis!Y45</f>
        <v>5.7108529424680938</v>
      </c>
      <c r="R60" s="260" t="str">
        <f>IF(Analysis!$F19&gt;0,Analysis!Y19,IF(Analysis!$L19=0,"",Analysis!Y19))</f>
        <v/>
      </c>
      <c r="S60" s="261">
        <f>Analysis!AD45</f>
        <v>0.74076467886233488</v>
      </c>
      <c r="T60" s="262" t="str">
        <f>IF(Analysis!$F19&gt;0,Analysis!AD19,IF(Analysis!$L19=0,"",Analysis!AD19))</f>
        <v/>
      </c>
      <c r="U60" s="263">
        <f>Analysis!AH45</f>
        <v>2732.1491275514418</v>
      </c>
      <c r="V60" s="264">
        <f>Analysis!AH19</f>
        <v>2788.1746118878095</v>
      </c>
      <c r="W60" s="263">
        <f>Analysis!AL45</f>
        <v>-224.91064543395206</v>
      </c>
      <c r="X60" s="264">
        <f>Analysis!AL19</f>
        <v>-168.88516109758461</v>
      </c>
      <c r="Y60" s="261">
        <f>Analysis!AP45</f>
        <v>-0.82856751142348994</v>
      </c>
      <c r="Z60" s="265">
        <f>Analysis!AP19</f>
        <v>-0.2152605863680713</v>
      </c>
    </row>
    <row r="61" spans="1:26" x14ac:dyDescent="0.35">
      <c r="A61" s="182" t="str">
        <f>Analysis!A20</f>
        <v>Other Asia</v>
      </c>
      <c r="B61" s="248" t="str">
        <f>Analysis!B20</f>
        <v>OAS</v>
      </c>
      <c r="C61" s="249">
        <f>Analysis!R46</f>
        <v>6977.8519308757068</v>
      </c>
      <c r="D61" s="250">
        <f>Analysis!T46</f>
        <v>3272.3586671235257</v>
      </c>
      <c r="E61" s="251">
        <f>'Data_world regions'!Y15</f>
        <v>3595.871812837343</v>
      </c>
      <c r="F61" s="252">
        <f>Analysis!V46</f>
        <v>1.0608134053972859E-2</v>
      </c>
      <c r="G61" s="253" t="str">
        <f>IF(Analysis!$F20&gt;0,Analysis!V20,IF(Analysis!I20=0,"",Analysis!V20))</f>
        <v/>
      </c>
      <c r="H61" s="254">
        <f>Analysis!AB46</f>
        <v>1.8517799731076925E-4</v>
      </c>
      <c r="I61" s="255" t="str">
        <f>IF(Analysis!$F20&gt;0,Analysis!AB20,IF(Analysis!$I20=0,"",Analysis!AB20))</f>
        <v/>
      </c>
      <c r="J61" s="256">
        <f>Analysis!AF46</f>
        <v>2809.8383416961574</v>
      </c>
      <c r="K61" s="257">
        <f>Analysis!AF20</f>
        <v>2883.6439061690344</v>
      </c>
      <c r="L61" s="256">
        <f>Analysis!AJ46</f>
        <v>-453.79221186995079</v>
      </c>
      <c r="M61" s="257">
        <f>Analysis!AJ20</f>
        <v>-379.98664739707402</v>
      </c>
      <c r="N61" s="254">
        <f>Analysis!AN46</f>
        <v>-2.5040248023958069</v>
      </c>
      <c r="O61" s="253">
        <f>Analysis!AN20</f>
        <v>-1.601770087209309</v>
      </c>
      <c r="P61" s="258">
        <f>'Data_world regions'!Z15</f>
        <v>2569.9514771653135</v>
      </c>
      <c r="Q61" s="259">
        <f>Analysis!Y46</f>
        <v>16.211592312027665</v>
      </c>
      <c r="R61" s="260" t="str">
        <f>IF(Analysis!$F20&gt;0,Analysis!Y20,IF(Analysis!$L20=0,"",Analysis!Y20))</f>
        <v/>
      </c>
      <c r="S61" s="261">
        <f>Analysis!AD46</f>
        <v>4.2986654127019035</v>
      </c>
      <c r="T61" s="262" t="str">
        <f>IF(Analysis!$F20&gt;0,Analysis!AD20,IF(Analysis!$L20=0,"",Analysis!AD20))</f>
        <v/>
      </c>
      <c r="U61" s="263">
        <f>Analysis!AH46</f>
        <v>2596.6652174774449</v>
      </c>
      <c r="V61" s="264">
        <f>Analysis!AH20</f>
        <v>2673.025494081714</v>
      </c>
      <c r="W61" s="263">
        <f>Analysis!AL46</f>
        <v>26.713740312131602</v>
      </c>
      <c r="X61" s="264">
        <f>Analysis!AL20</f>
        <v>103.07401691640075</v>
      </c>
      <c r="Y61" s="261">
        <f>Analysis!AP46</f>
        <v>4.0953901127534023</v>
      </c>
      <c r="Z61" s="265">
        <f>Analysis!AP20</f>
        <v>3.9140448627749103</v>
      </c>
    </row>
    <row r="62" spans="1:26" x14ac:dyDescent="0.35">
      <c r="A62" s="182" t="str">
        <f>Analysis!A21</f>
        <v>Aust/NZ</v>
      </c>
      <c r="B62" s="248" t="str">
        <f>Analysis!B21</f>
        <v>ANZ</v>
      </c>
      <c r="C62" s="249">
        <f>Analysis!R47</f>
        <v>2048.1316839837959</v>
      </c>
      <c r="D62" s="250">
        <f>Analysis!T47</f>
        <v>474.1651872439345</v>
      </c>
      <c r="E62" s="251">
        <f>'Data_world regions'!Y16</f>
        <v>281.29752422676165</v>
      </c>
      <c r="F62" s="252">
        <f>Analysis!V47</f>
        <v>51.719039391234077</v>
      </c>
      <c r="G62" s="253">
        <f>IF(Analysis!$F21&gt;0,Analysis!V21,IF(Analysis!I21=0,"",Analysis!V21))</f>
        <v>43.971456176910102</v>
      </c>
      <c r="H62" s="254">
        <f>Analysis!AB47</f>
        <v>3.6218990268877462</v>
      </c>
      <c r="I62" s="255">
        <f>IF(Analysis!$F21&gt;0,Analysis!AB21,IF(Analysis!$I21=0,"",Analysis!AB21))</f>
        <v>2.887871365037137</v>
      </c>
      <c r="J62" s="256">
        <f>Analysis!AF47</f>
        <v>402.97906117174745</v>
      </c>
      <c r="K62" s="257">
        <f>Analysis!AF21</f>
        <v>414.21892830513497</v>
      </c>
      <c r="L62" s="256">
        <f>Analysis!AJ47</f>
        <v>121.68153694498574</v>
      </c>
      <c r="M62" s="257">
        <f>Analysis!AJ21</f>
        <v>117.5614040783733</v>
      </c>
      <c r="N62" s="254">
        <f>Analysis!AN47</f>
        <v>1.1551965719512176</v>
      </c>
      <c r="O62" s="253">
        <f>Analysis!AN21</f>
        <v>0.81364772290702325</v>
      </c>
      <c r="P62" s="258">
        <f>'Data_world regions'!Z16</f>
        <v>281.29752422676165</v>
      </c>
      <c r="Q62" s="259">
        <f>Analysis!Y47</f>
        <v>51.719039391234077</v>
      </c>
      <c r="R62" s="260">
        <f>IF(Analysis!$F21&gt;0,Analysis!Y21,IF(Analysis!$L21=0,"",Analysis!Y21))</f>
        <v>43.971456176910102</v>
      </c>
      <c r="S62" s="261">
        <f>Analysis!AD47</f>
        <v>3.6218990268877462</v>
      </c>
      <c r="T62" s="262">
        <f>IF(Analysis!$F21&gt;0,Analysis!AD21,IF(Analysis!$L21=0,"",Analysis!AD21))</f>
        <v>2.887871365037137</v>
      </c>
      <c r="U62" s="263">
        <f>Analysis!AH47</f>
        <v>370.39181067152873</v>
      </c>
      <c r="V62" s="264">
        <f>Analysis!AH21</f>
        <v>382.0120818861414</v>
      </c>
      <c r="W62" s="263">
        <f>Analysis!AL47</f>
        <v>89.094286444767093</v>
      </c>
      <c r="X62" s="264">
        <f>Analysis!AL21</f>
        <v>85.35455765937968</v>
      </c>
      <c r="Y62" s="261">
        <f>Analysis!AP47</f>
        <v>2.0266555603531029</v>
      </c>
      <c r="Z62" s="265">
        <f>Analysis!AP21</f>
        <v>1.5403053351807259</v>
      </c>
    </row>
    <row r="63" spans="1:26" x14ac:dyDescent="0.35">
      <c r="A63" s="182" t="str">
        <f>Analysis!A22</f>
        <v>Other Americans</v>
      </c>
      <c r="B63" s="248" t="str">
        <f>Analysis!B22</f>
        <v>OAM</v>
      </c>
      <c r="C63" s="249">
        <f>Analysis!R48</f>
        <v>4596.5309395895538</v>
      </c>
      <c r="D63" s="250">
        <f>Analysis!T48</f>
        <v>1315.5934765972511</v>
      </c>
      <c r="E63" s="251">
        <f>'Data_world regions'!Y17</f>
        <v>1353.2699326303937</v>
      </c>
      <c r="F63" s="252">
        <f>Analysis!V48</f>
        <v>1.1521058182559381</v>
      </c>
      <c r="G63" s="253" t="str">
        <f>IF(Analysis!$F22&gt;0,Analysis!V22,IF(Analysis!I22=0,"",Analysis!V22))</f>
        <v/>
      </c>
      <c r="H63" s="254">
        <f>Analysis!AB48</f>
        <v>6.5281730382200531E-2</v>
      </c>
      <c r="I63" s="255" t="str">
        <f>IF(Analysis!$F22&gt;0,Analysis!AB22,IF(Analysis!$I22=0,"",Analysis!AB22))</f>
        <v/>
      </c>
      <c r="J63" s="256">
        <f>Analysis!AF48</f>
        <v>1163.0977971087239</v>
      </c>
      <c r="K63" s="257">
        <f>Analysis!AF22</f>
        <v>1187.6140048363538</v>
      </c>
      <c r="L63" s="256">
        <f>Analysis!AJ48</f>
        <v>-124.16419754139839</v>
      </c>
      <c r="M63" s="257">
        <f>Analysis!AJ22</f>
        <v>-99.647989813768618</v>
      </c>
      <c r="N63" s="254">
        <f>Analysis!AN48</f>
        <v>-0.45051564453652276</v>
      </c>
      <c r="O63" s="253">
        <f>Analysis!AN22</f>
        <v>-0.22996978752485242</v>
      </c>
      <c r="P63" s="258">
        <f>'Data_world regions'!Z17</f>
        <v>1182.9174344625901</v>
      </c>
      <c r="Q63" s="259">
        <f>Analysis!Y48</f>
        <v>7.6931370592968191</v>
      </c>
      <c r="R63" s="260" t="str">
        <f>IF(Analysis!$F22&gt;0,Analysis!Y22,IF(Analysis!$L22=0,"",Analysis!Y22))</f>
        <v/>
      </c>
      <c r="S63" s="261">
        <f>Analysis!AD48</f>
        <v>0.66735102908090038</v>
      </c>
      <c r="T63" s="262" t="str">
        <f>IF(Analysis!$F22&gt;0,Analysis!AD22,IF(Analysis!$L22=0,"",Analysis!AD22))</f>
        <v/>
      </c>
      <c r="U63" s="263">
        <f>Analysis!AH48</f>
        <v>1093.0792388210211</v>
      </c>
      <c r="V63" s="264">
        <f>Analysis!AH22</f>
        <v>1118.3137602843665</v>
      </c>
      <c r="W63" s="263">
        <f>Analysis!AL48</f>
        <v>-88.954063309372103</v>
      </c>
      <c r="X63" s="264">
        <f>Analysis!AL22</f>
        <v>-63.719541846026651</v>
      </c>
      <c r="Y63" s="261">
        <f>Analysis!AP48</f>
        <v>1.4480856517887627E-2</v>
      </c>
      <c r="Z63" s="265">
        <f>Analysis!AP22</f>
        <v>0.23416354138838422</v>
      </c>
    </row>
    <row r="64" spans="1:26" x14ac:dyDescent="0.35">
      <c r="A64" s="182" t="str">
        <f>Analysis!A23</f>
        <v>Africa</v>
      </c>
      <c r="B64" s="248" t="str">
        <f>Analysis!B23</f>
        <v>AFR</v>
      </c>
      <c r="C64" s="249">
        <f>Analysis!R49</f>
        <v>3960.1041585148027</v>
      </c>
      <c r="D64" s="250">
        <f>Analysis!T49</f>
        <v>1763.011079561654</v>
      </c>
      <c r="E64" s="251">
        <f>'Data_world regions'!Y18</f>
        <v>1998.0284985238136</v>
      </c>
      <c r="F64" s="252">
        <f>Analysis!V49</f>
        <v>0</v>
      </c>
      <c r="G64" s="253" t="str">
        <f>IF(Analysis!$F23&gt;0,Analysis!V23,IF(Analysis!I23=0,"",Analysis!V23))</f>
        <v/>
      </c>
      <c r="H64" s="254">
        <f>Analysis!AB49</f>
        <v>0</v>
      </c>
      <c r="I64" s="255" t="str">
        <f>IF(Analysis!$F23&gt;0,Analysis!AB23,IF(Analysis!$I23=0,"",Analysis!AB23))</f>
        <v/>
      </c>
      <c r="J64" s="256">
        <f>Analysis!AF49</f>
        <v>1531.0173040176724</v>
      </c>
      <c r="K64" s="257">
        <f>Analysis!AF23</f>
        <v>1568.3479165656784</v>
      </c>
      <c r="L64" s="256">
        <f>Analysis!AJ49</f>
        <v>-231.99377554398177</v>
      </c>
      <c r="M64" s="257">
        <f>Analysis!AJ23</f>
        <v>-194.66316299597577</v>
      </c>
      <c r="N64" s="254">
        <f>Analysis!AN49</f>
        <v>-1.2806040986910139</v>
      </c>
      <c r="O64" s="253">
        <f>Analysis!AN23</f>
        <v>-0.82133990031342208</v>
      </c>
      <c r="P64" s="258">
        <f>'Data_world regions'!Z18</f>
        <v>1475.6872893765128</v>
      </c>
      <c r="Q64" s="259">
        <f>Analysis!Y49</f>
        <v>10.800702208763218</v>
      </c>
      <c r="R64" s="260" t="str">
        <f>IF(Analysis!$F23&gt;0,Analysis!Y23,IF(Analysis!$L23=0,"",Analysis!Y23))</f>
        <v/>
      </c>
      <c r="S64" s="261">
        <f>Analysis!AD49</f>
        <v>1.102115279002706</v>
      </c>
      <c r="T64" s="262" t="str">
        <f>IF(Analysis!$F23&gt;0,Analysis!AD23,IF(Analysis!$L23=0,"",Analysis!AD23))</f>
        <v/>
      </c>
      <c r="U64" s="263">
        <f>Analysis!AH49</f>
        <v>1423.7495013479554</v>
      </c>
      <c r="V64" s="264">
        <f>Analysis!AH23</f>
        <v>1462.3092655161145</v>
      </c>
      <c r="W64" s="263">
        <f>Analysis!AL49</f>
        <v>-51.937788028557669</v>
      </c>
      <c r="X64" s="264">
        <f>Analysis!AL23</f>
        <v>-13.378023860398267</v>
      </c>
      <c r="Y64" s="261">
        <f>Analysis!AP49</f>
        <v>0.88994553130962872</v>
      </c>
      <c r="Z64" s="265">
        <f>Analysis!AP23</f>
        <v>1.0083224362577938</v>
      </c>
    </row>
    <row r="65" spans="1:26" x14ac:dyDescent="0.35">
      <c r="A65" s="189" t="str">
        <f>Analysis!A24</f>
        <v>Rest Europe (nonETS)</v>
      </c>
      <c r="B65" s="192" t="str">
        <f>Analysis!B24</f>
        <v>REU</v>
      </c>
      <c r="C65" s="266">
        <f>Analysis!R50</f>
        <v>451.03516051256878</v>
      </c>
      <c r="D65" s="267">
        <f>Analysis!T50</f>
        <v>390.08647335707047</v>
      </c>
      <c r="E65" s="268">
        <f>'Data_world regions'!Y19</f>
        <v>340.86631315176754</v>
      </c>
      <c r="F65" s="269">
        <f>Analysis!V50</f>
        <v>5.3987993166235233</v>
      </c>
      <c r="G65" s="270" t="str">
        <f>IF(Analysis!$F24&gt;0,Analysis!V24,IF(Analysis!I24=0,"",Analysis!V24))</f>
        <v/>
      </c>
      <c r="H65" s="271">
        <f>Analysis!AB50</f>
        <v>0.11941922773296049</v>
      </c>
      <c r="I65" s="272" t="str">
        <f>IF(Analysis!$F24&gt;0,Analysis!AB24,IF(Analysis!$I24=0,"",Analysis!AB24))</f>
        <v/>
      </c>
      <c r="J65" s="135">
        <f>Analysis!AF50</f>
        <v>332.23675102383049</v>
      </c>
      <c r="K65" s="273">
        <f>Analysis!AF24</f>
        <v>341.50730426656872</v>
      </c>
      <c r="L65" s="135">
        <f>Analysis!AJ50</f>
        <v>-8.6295621279370689</v>
      </c>
      <c r="M65" s="273">
        <f>Analysis!AJ24</f>
        <v>0.64099111480119098</v>
      </c>
      <c r="N65" s="271">
        <f>Analysis!AN50</f>
        <v>8.6580556106521309E-2</v>
      </c>
      <c r="O65" s="270">
        <f>Analysis!AN24</f>
        <v>9.8838762855413875E-2</v>
      </c>
      <c r="P65" s="274">
        <f>'Data_world regions'!Z19</f>
        <v>331.34283267414207</v>
      </c>
      <c r="Q65" s="275">
        <f>Analysis!Y50</f>
        <v>7.426440380565265</v>
      </c>
      <c r="R65" s="276" t="str">
        <f>IF(Analysis!$F24&gt;0,Analysis!Y24,IF(Analysis!$L24=0,"",Analysis!Y24))</f>
        <v/>
      </c>
      <c r="S65" s="277">
        <f>Analysis!AD50</f>
        <v>0.18018705359088086</v>
      </c>
      <c r="T65" s="278" t="str">
        <f>IF(Analysis!$F24&gt;0,Analysis!AD24,IF(Analysis!$L24=0,"",Analysis!AD24))</f>
        <v/>
      </c>
      <c r="U65" s="279">
        <f>Analysis!AH50</f>
        <v>305.52430580521815</v>
      </c>
      <c r="V65" s="280">
        <f>Analysis!AH24</f>
        <v>315.11627948892334</v>
      </c>
      <c r="W65" s="279">
        <f>Analysis!AL50</f>
        <v>-25.818526868923936</v>
      </c>
      <c r="X65" s="280">
        <f>Analysis!AL24</f>
        <v>-16.226553185218705</v>
      </c>
      <c r="Y65" s="277">
        <f>Analysis!AP50</f>
        <v>4.0655556410141618E-2</v>
      </c>
      <c r="Z65" s="281">
        <f>Analysis!AP24</f>
        <v>0.11111648524573385</v>
      </c>
    </row>
    <row r="66" spans="1:26" x14ac:dyDescent="0.35">
      <c r="F66" s="282" t="s">
        <v>54</v>
      </c>
      <c r="G66" s="283"/>
      <c r="H66" s="283"/>
      <c r="I66" s="284"/>
      <c r="J66" s="90"/>
      <c r="O66" s="13"/>
      <c r="Q66" s="282" t="s">
        <v>54</v>
      </c>
      <c r="R66" s="16"/>
      <c r="S66" s="16"/>
      <c r="T66" s="18"/>
      <c r="U66" s="90"/>
      <c r="Z66" s="13"/>
    </row>
    <row r="67" spans="1:26" x14ac:dyDescent="0.35">
      <c r="G67" s="88"/>
      <c r="H67" s="88"/>
    </row>
    <row r="68" spans="1:26" x14ac:dyDescent="0.35">
      <c r="C68" s="103">
        <f>SUM(C50:C65)</f>
        <v>116930.39622579284</v>
      </c>
      <c r="D68" s="103">
        <f>SUM(D50:D65)</f>
        <v>40312.515772646213</v>
      </c>
      <c r="E68" s="103">
        <f>SUM(E50:E65)</f>
        <v>36724.191569557537</v>
      </c>
      <c r="G68" s="103"/>
      <c r="H68" s="103">
        <f>SUM(H50:H65)</f>
        <v>130.52006475704462</v>
      </c>
      <c r="J68" s="103">
        <f>SUM(J50:J65)</f>
        <v>34593.689374041744</v>
      </c>
      <c r="P68" s="103">
        <f>SUM(P50:P65)</f>
        <v>32199.382596877636</v>
      </c>
      <c r="S68" s="103">
        <f>SUM(P50:P65)</f>
        <v>32199.382596877636</v>
      </c>
      <c r="U68" s="103">
        <f>SUM(U50:U65)</f>
        <v>31961.255663759421</v>
      </c>
    </row>
    <row r="69" spans="1:26" x14ac:dyDescent="0.35">
      <c r="E69" s="145">
        <f>1-E68/D68</f>
        <v>8.9012658582908633E-2</v>
      </c>
      <c r="J69" s="145">
        <f>1-J68/D68</f>
        <v>0.14186230477049366</v>
      </c>
      <c r="M69" s="88"/>
      <c r="P69" s="145">
        <f>1-P68/D68</f>
        <v>0.20125593801996566</v>
      </c>
      <c r="U69" s="145">
        <f>1-U68/D68</f>
        <v>0.20716296040629356</v>
      </c>
    </row>
    <row r="70" spans="1:26" x14ac:dyDescent="0.35">
      <c r="P70" s="103"/>
    </row>
  </sheetData>
  <sheetProtection algorithmName="SHA-512" hashValue="W0UoQiXGx7fNHLwp6OWsavyTxkw386ds7Uar51zWteZOYC+Pes2uv7BKH4UdAZoSRusew7lJ8EyQUTOj05j1GA==" saltValue="rXK92WWTHRzhKv+1sUpHKQ==" spinCount="100000" sheet="1" objects="1" scenarios="1"/>
  <mergeCells count="14">
    <mergeCell ref="L20:N20"/>
    <mergeCell ref="I20:K20"/>
    <mergeCell ref="F39:H39"/>
    <mergeCell ref="W47:X47"/>
    <mergeCell ref="Y47:Z47"/>
    <mergeCell ref="H47:I47"/>
    <mergeCell ref="F47:G47"/>
    <mergeCell ref="Q47:R47"/>
    <mergeCell ref="S47:T47"/>
    <mergeCell ref="U47:V47"/>
    <mergeCell ref="I39:K39"/>
    <mergeCell ref="I40:K40"/>
    <mergeCell ref="L39:N39"/>
    <mergeCell ref="L40:N40"/>
  </mergeCells>
  <dataValidations count="1">
    <dataValidation type="list" showInputMessage="1" showErrorMessage="1" sqref="J22 M22" xr:uid="{B725CDA5-2B9B-4762-8A86-33DA899F8081}">
      <formula1>$J$18:$J$19</formula1>
    </dataValidation>
  </dataValidations>
  <pageMargins left="0.7" right="0.7" top="0.78740157499999996" bottom="0.78740157499999996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F0E47F-3653-4CF9-B6D0-4BF4F843763D}">
  <dimension ref="A2:AW61"/>
  <sheetViews>
    <sheetView topLeftCell="J1" workbookViewId="0">
      <selection activeCell="O30" sqref="O30"/>
    </sheetView>
  </sheetViews>
  <sheetFormatPr baseColWidth="10" defaultColWidth="11.453125" defaultRowHeight="14.5" x14ac:dyDescent="0.35"/>
  <cols>
    <col min="1" max="1" width="19.453125" bestFit="1" customWidth="1"/>
    <col min="2" max="2" width="10.81640625" customWidth="1"/>
    <col min="3" max="3" width="15.54296875" customWidth="1"/>
    <col min="4" max="4" width="16.81640625" customWidth="1"/>
    <col min="5" max="5" width="11.1796875" customWidth="1"/>
    <col min="6" max="12" width="10.81640625" customWidth="1"/>
    <col min="13" max="13" width="11.81640625" customWidth="1"/>
    <col min="14" max="16" width="10.81640625" customWidth="1"/>
    <col min="19" max="19" width="10.81640625" customWidth="1"/>
    <col min="21" max="21" width="10.81640625" customWidth="1"/>
    <col min="23" max="27" width="10.81640625" customWidth="1"/>
    <col min="29" max="31" width="10.81640625" customWidth="1"/>
    <col min="33" max="35" width="10.81640625" customWidth="1"/>
    <col min="36" max="36" width="11.81640625" bestFit="1" customWidth="1"/>
    <col min="37" max="37" width="10.81640625" customWidth="1"/>
    <col min="38" max="38" width="11.81640625" customWidth="1"/>
    <col min="39" max="49" width="10.81640625" customWidth="1"/>
  </cols>
  <sheetData>
    <row r="2" spans="1:48" x14ac:dyDescent="0.35">
      <c r="V2" s="27" t="s">
        <v>55</v>
      </c>
      <c r="W2" s="27"/>
      <c r="X2" s="27"/>
      <c r="Y2" s="27" t="s">
        <v>56</v>
      </c>
      <c r="Z2" s="27"/>
      <c r="AF2" t="s">
        <v>57</v>
      </c>
      <c r="AS2" s="37" t="s">
        <v>58</v>
      </c>
      <c r="AT2" s="37" t="s">
        <v>59</v>
      </c>
      <c r="AU2" s="37" t="s">
        <v>58</v>
      </c>
      <c r="AV2" s="37" t="s">
        <v>59</v>
      </c>
    </row>
    <row r="3" spans="1:48" x14ac:dyDescent="0.35">
      <c r="V3" s="59">
        <f>AVERAGE('Model_world regions'!$AI1,'Model_world regions'!$BE1,'Model_world regions'!$BW1,'Model_world regions'!$CO1,'Model_world regions'!$DG1,'Model_world regions'!$DY1)</f>
        <v>5.2662939632762056</v>
      </c>
      <c r="W3" s="27">
        <f>_xlfn.STDEV.S('Model_world regions'!$AI1,'Model_world regions'!$BE1,'Model_world regions'!$BW1,'Model_world regions'!$CO1,'Model_world regions'!$DG1,'Model_world regions'!$DY1)</f>
        <v>3.5751850303130714</v>
      </c>
      <c r="X3" s="27"/>
      <c r="Y3" s="59">
        <f>AVERAGE('Model_world regions'!$AJ1,'Model_world regions'!$BF1,'Model_world regions'!$BX1,'Model_world regions'!$CP1,'Model_world regions'!$DH1,'Model_world regions'!$DZ1)</f>
        <v>12.068138067186036</v>
      </c>
      <c r="Z3" s="27">
        <f>_xlfn.STDEV.S('Model_world regions'!$AJ1,'Model_world regions'!$BF1,'Model_world regions'!$BX1,'Model_world regions'!$CP1,'Model_world regions'!$DH1,'Model_world regions'!$DZ1)</f>
        <v>6.2215009378789361</v>
      </c>
      <c r="AF3" s="91">
        <f>(T25-AF25)/T25</f>
        <v>0.11919861176790797</v>
      </c>
      <c r="AH3" s="91">
        <f>(T25-AH25)/T25</f>
        <v>0.18375490703993766</v>
      </c>
      <c r="AS3" s="39">
        <f>SUM(AS9:AS24)/T25</f>
        <v>15.391635365439109</v>
      </c>
      <c r="AT3" s="37">
        <f>SUM(AT9:AT24)/T25</f>
        <v>211.76928561926024</v>
      </c>
      <c r="AU3" s="39">
        <f>SUM(AU9:AU24)/T25</f>
        <v>21.425654536826581</v>
      </c>
      <c r="AV3" s="37">
        <f>SUM(AV9:AV24)/T25</f>
        <v>261.30467852710098</v>
      </c>
    </row>
    <row r="4" spans="1:48" x14ac:dyDescent="0.35">
      <c r="AF4" s="91">
        <f>AF25/T25</f>
        <v>0.88080138823209198</v>
      </c>
      <c r="AH4" s="91">
        <f>AH25/T25</f>
        <v>0.81624509296006231</v>
      </c>
    </row>
    <row r="5" spans="1:48" x14ac:dyDescent="0.35">
      <c r="R5" s="61" t="str">
        <f>'Model_world regions'!A6</f>
        <v xml:space="preserve">Model with CDR </v>
      </c>
      <c r="S5" s="61"/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101"/>
    </row>
    <row r="6" spans="1:48" x14ac:dyDescent="0.35">
      <c r="A6" t="s">
        <v>60</v>
      </c>
      <c r="C6" s="424" t="s">
        <v>61</v>
      </c>
      <c r="D6" s="424"/>
      <c r="E6" s="424"/>
      <c r="G6" s="425" t="s">
        <v>11</v>
      </c>
      <c r="H6" s="426"/>
      <c r="I6" s="427"/>
      <c r="J6" s="425" t="s">
        <v>12</v>
      </c>
      <c r="K6" s="426"/>
      <c r="L6" s="427"/>
      <c r="R6" s="48" t="s">
        <v>62</v>
      </c>
      <c r="S6" s="44"/>
      <c r="T6" s="48" t="s">
        <v>63</v>
      </c>
      <c r="U6" s="44"/>
      <c r="V6" s="48" t="s">
        <v>64</v>
      </c>
      <c r="W6" s="44"/>
      <c r="X6" s="44"/>
      <c r="Y6" s="48" t="s">
        <v>64</v>
      </c>
      <c r="Z6" s="44"/>
      <c r="AA6" s="44"/>
      <c r="AB6" s="48" t="s">
        <v>65</v>
      </c>
      <c r="AC6" s="44"/>
      <c r="AD6" s="48" t="s">
        <v>65</v>
      </c>
      <c r="AE6" s="44"/>
      <c r="AF6" s="48" t="s">
        <v>66</v>
      </c>
      <c r="AG6" s="45"/>
      <c r="AH6" s="48" t="s">
        <v>66</v>
      </c>
      <c r="AI6" s="44"/>
      <c r="AJ6" s="48" t="s">
        <v>50</v>
      </c>
      <c r="AK6" s="44"/>
      <c r="AL6" s="48" t="s">
        <v>50</v>
      </c>
      <c r="AM6" s="54"/>
      <c r="AN6" s="48" t="s">
        <v>67</v>
      </c>
      <c r="AO6" s="45"/>
      <c r="AP6" s="49"/>
      <c r="AQ6" s="45"/>
      <c r="AS6" s="2"/>
      <c r="AT6" s="2"/>
    </row>
    <row r="7" spans="1:48" ht="42.65" customHeight="1" x14ac:dyDescent="0.35">
      <c r="C7" s="102" t="s">
        <v>68</v>
      </c>
      <c r="D7" s="102" t="s">
        <v>69</v>
      </c>
      <c r="E7" s="102" t="s">
        <v>70</v>
      </c>
      <c r="G7" s="110" t="s">
        <v>71</v>
      </c>
      <c r="H7" s="111" t="s">
        <v>72</v>
      </c>
      <c r="I7" s="13" t="s">
        <v>73</v>
      </c>
      <c r="J7" s="110" t="s">
        <v>71</v>
      </c>
      <c r="K7" s="111" t="s">
        <v>72</v>
      </c>
      <c r="L7" s="13" t="s">
        <v>73</v>
      </c>
      <c r="R7" s="50" t="s">
        <v>74</v>
      </c>
      <c r="S7" s="51" t="s">
        <v>59</v>
      </c>
      <c r="T7" s="50" t="s">
        <v>74</v>
      </c>
      <c r="U7" s="51" t="s">
        <v>59</v>
      </c>
      <c r="V7" s="50" t="s">
        <v>75</v>
      </c>
      <c r="W7" s="51" t="s">
        <v>76</v>
      </c>
      <c r="X7" s="51" t="s">
        <v>77</v>
      </c>
      <c r="Y7" s="50" t="s">
        <v>78</v>
      </c>
      <c r="Z7" s="51" t="s">
        <v>79</v>
      </c>
      <c r="AA7" s="51" t="s">
        <v>77</v>
      </c>
      <c r="AB7" s="50" t="s">
        <v>75</v>
      </c>
      <c r="AC7" s="51" t="s">
        <v>76</v>
      </c>
      <c r="AD7" s="50" t="s">
        <v>78</v>
      </c>
      <c r="AE7" s="51" t="s">
        <v>79</v>
      </c>
      <c r="AF7" s="50" t="s">
        <v>75</v>
      </c>
      <c r="AG7" s="51" t="s">
        <v>76</v>
      </c>
      <c r="AH7" s="50" t="s">
        <v>78</v>
      </c>
      <c r="AI7" s="51" t="s">
        <v>79</v>
      </c>
      <c r="AJ7" s="50" t="s">
        <v>75</v>
      </c>
      <c r="AK7" s="51" t="s">
        <v>76</v>
      </c>
      <c r="AL7" s="50" t="s">
        <v>78</v>
      </c>
      <c r="AM7" s="55" t="s">
        <v>79</v>
      </c>
      <c r="AN7" s="50" t="s">
        <v>75</v>
      </c>
      <c r="AO7" s="51" t="s">
        <v>76</v>
      </c>
      <c r="AP7" s="50" t="s">
        <v>78</v>
      </c>
      <c r="AQ7" s="51" t="s">
        <v>79</v>
      </c>
      <c r="AR7" s="7"/>
      <c r="AS7" s="62" t="s">
        <v>80</v>
      </c>
      <c r="AT7" s="51" t="s">
        <v>81</v>
      </c>
      <c r="AU7" s="50" t="s">
        <v>82</v>
      </c>
      <c r="AV7" s="51" t="s">
        <v>83</v>
      </c>
    </row>
    <row r="8" spans="1:48" s="16" customFormat="1" x14ac:dyDescent="0.35">
      <c r="C8" s="16" t="s">
        <v>84</v>
      </c>
      <c r="D8" s="16" t="s">
        <v>85</v>
      </c>
      <c r="E8" s="16" t="s">
        <v>86</v>
      </c>
      <c r="F8" s="7" t="s">
        <v>29</v>
      </c>
      <c r="G8" s="112"/>
      <c r="H8" s="7"/>
      <c r="I8" s="9"/>
      <c r="J8" s="115"/>
      <c r="K8" s="2"/>
      <c r="L8" s="4"/>
      <c r="M8" s="7"/>
      <c r="N8" s="7"/>
      <c r="R8" s="52"/>
      <c r="S8" s="53"/>
      <c r="T8" s="52"/>
      <c r="U8" s="53"/>
      <c r="V8" s="52"/>
      <c r="W8" s="53"/>
      <c r="X8" s="53"/>
      <c r="Y8" s="52"/>
      <c r="Z8" s="53"/>
      <c r="AA8" s="53"/>
      <c r="AB8" s="52"/>
      <c r="AC8" s="53"/>
      <c r="AD8" s="52"/>
      <c r="AE8" s="53"/>
      <c r="AF8" s="52"/>
      <c r="AG8" s="53"/>
      <c r="AH8" s="50"/>
      <c r="AI8" s="51"/>
      <c r="AJ8" s="50"/>
      <c r="AK8" s="51"/>
      <c r="AL8" s="57"/>
      <c r="AM8" s="56"/>
      <c r="AN8" s="49"/>
      <c r="AO8" s="45"/>
      <c r="AP8" s="49"/>
      <c r="AQ8" s="45"/>
      <c r="AR8"/>
      <c r="AS8" s="58" t="s">
        <v>87</v>
      </c>
      <c r="AT8" s="53"/>
      <c r="AU8" s="52"/>
      <c r="AV8" s="53"/>
    </row>
    <row r="9" spans="1:48" x14ac:dyDescent="0.35">
      <c r="A9" t="str">
        <f>'Data_world regions'!C4</f>
        <v>United States</v>
      </c>
      <c r="B9" s="13" t="str">
        <f>'Data_world regions'!D4</f>
        <v>USA</v>
      </c>
      <c r="C9" s="87">
        <f>Template!F23</f>
        <v>0</v>
      </c>
      <c r="D9" s="88">
        <f>Template!G23</f>
        <v>0</v>
      </c>
      <c r="E9" s="15">
        <f>Template!H23</f>
        <v>180.24</v>
      </c>
      <c r="F9">
        <f>SUM(C9:E9)</f>
        <v>180.24</v>
      </c>
      <c r="G9" s="104">
        <f>Template!I23</f>
        <v>3447.4642970438149</v>
      </c>
      <c r="H9" s="88">
        <f>IF(Template!$J$22="no",G9,IF(Template!$J23&gt;0,Template!$J23,G9))</f>
        <v>3447.4642970438149</v>
      </c>
      <c r="I9" s="113">
        <f>H9-G9</f>
        <v>0</v>
      </c>
      <c r="J9" s="104">
        <f>Template!L23</f>
        <v>3336.8406797896337</v>
      </c>
      <c r="K9" s="88">
        <f>IF(Template!$M$22="no",J9,IF(Template!$M23&gt;0,Template!$M23,J9))</f>
        <v>3336.8406797896337</v>
      </c>
      <c r="L9" s="105">
        <f>K9-J9</f>
        <v>0</v>
      </c>
      <c r="Q9" t="str">
        <f>B9</f>
        <v>USA</v>
      </c>
      <c r="R9" s="49">
        <f>AVERAGE('Model_world regions'!$Z7,'Model_world regions'!$AV7,'Model_world regions'!$BN7,'Model_world regions'!$CF7,'Model_world regions'!$CX7,'Model_world regions'!$DP7)</f>
        <v>26423.640666646581</v>
      </c>
      <c r="S9" s="45">
        <f>_xlfn.STDEV.S('Model_world regions'!$Z7,'Model_world regions'!$AV7,'Model_world regions'!$BN7,'Model_world regions'!$CF7,'Model_world regions'!$CX7,'Model_world regions'!$DP7)</f>
        <v>1303.2765513337847</v>
      </c>
      <c r="T9" s="49">
        <f>AVERAGE('Model_world regions'!$AA7,'Model_world regions'!$AW7,'Model_world regions'!$BO7,'Model_world regions'!$CG7,'Model_world regions'!$CY7,'Model_world regions'!$DQ7)</f>
        <v>5084.8592078077991</v>
      </c>
      <c r="U9" s="45">
        <f>_xlfn.STDEV.S('Model_world regions'!$AA7,'Model_world regions'!$AW7,'Model_world regions'!$BO7,'Model_world regions'!$CG7,'Model_world regions'!$CY7,'Model_world regions'!$DQ7)</f>
        <v>530.09082091475489</v>
      </c>
      <c r="V9" s="49">
        <f>AVERAGE('Model_world regions'!$AE7,'Model_world regions'!$BA7,'Model_world regions'!$BS7,'Model_world regions'!$CK7,'Model_world regions'!$DC7,'Model_world regions'!$DU7)</f>
        <v>39.360483142151793</v>
      </c>
      <c r="W9" s="45">
        <f>_xlfn.STDEV.S('Model_world regions'!$AE7,'Model_world regions'!$BA7,'Model_world regions'!$BS7,'Model_world regions'!$CK7,'Model_world regions'!$DC7,'Model_world regions'!$DU7)</f>
        <v>20.104819487540798</v>
      </c>
      <c r="X9" s="45">
        <f>W9^2</f>
        <v>404.20376662660021</v>
      </c>
      <c r="Y9" s="49">
        <f>AVERAGE('Model_world regions'!$AG7,'Model_world regions'!$BC7,'Model_world regions'!$BU7,'Model_world regions'!$CM7,'Model_world regions'!$DE7,'Model_world regions'!$DW7)</f>
        <v>45.243094902911487</v>
      </c>
      <c r="Z9" s="45">
        <f>_xlfn.STDEV.S('Model_world regions'!$AG7,'Model_world regions'!$BC7,'Model_world regions'!$BU7,'Model_world regions'!$CM7,'Model_world regions'!$DE7,'Model_world regions'!$DW7)</f>
        <v>21.135233598750261</v>
      </c>
      <c r="AA9" s="45">
        <f>Z9^2</f>
        <v>446.69809927374195</v>
      </c>
      <c r="AB9" s="49">
        <f>AVERAGE('Model_world regions'!$AD7,'Model_world regions'!$AZ7,'Model_world regions'!$BR7,'Model_world regions'!$CJ7,'Model_world regions'!$DB7,'Model_world regions'!$DT7)</f>
        <v>22.04825479691387</v>
      </c>
      <c r="AC9" s="45">
        <f>_xlfn.STDEV.S('Model_world regions'!$AD7,'Model_world regions'!$AZ7,'Model_world regions'!$BR7,'Model_world regions'!$CJ7,'Model_world regions'!$DB7,'Model_world regions'!$DT7)</f>
        <v>16.853313517163837</v>
      </c>
      <c r="AD9" s="49">
        <f>AVERAGE('Model_world regions'!$AF7,'Model_world regions'!$BB7,'Model_world regions'!$BT7,'Model_world regions'!$CL7,'Model_world regions'!$DD7,'Model_world regions'!$DV7)</f>
        <v>26.723593700948765</v>
      </c>
      <c r="AE9" s="45">
        <f>_xlfn.STDEV.S('Model_world regions'!$AF7,'Model_world regions'!$BB7,'Model_world regions'!$BT7,'Model_world regions'!$CL7,'Model_world regions'!$DD7,'Model_world regions'!$DV7)</f>
        <v>19.110858420072361</v>
      </c>
      <c r="AF9" s="49">
        <f>AVERAGE('Model_world regions'!$AK7,'Model_world regions'!$BG7,'Model_world regions'!$BY7,'Model_world regions'!$CQ7,'Model_world regions'!$DI7,'Model_world regions'!$EA7)</f>
        <v>4560.2458943250331</v>
      </c>
      <c r="AG9" s="45">
        <f>_xlfn.STDEV.S('Model_world regions'!$AK7,'Model_world regions'!$BG7,'Model_world regions'!$BY7,'Model_world regions'!$CQ7,'Model_world regions'!$DI7,'Model_world regions'!$EA7)</f>
        <v>309.613311340358</v>
      </c>
      <c r="AH9" s="49">
        <f>AVERAGE('Model_world regions'!$AL7,'Model_world regions'!$BH7,'Model_world regions'!$BZ7,'Model_world regions'!$CR7,'Model_world regions'!$DJ7,'Model_world regions'!$EB7)</f>
        <v>4278.2330708925665</v>
      </c>
      <c r="AI9" s="45">
        <f>_xlfn.STDEV.S('Model_world regions'!$AL7,'Model_world regions'!$BH7,'Model_world regions'!$BZ7,'Model_world regions'!$CR7,'Model_world regions'!$DJ7,'Model_world regions'!$EB7)</f>
        <v>256.43156030806102</v>
      </c>
      <c r="AJ9" s="49">
        <f>AVERAGE('Model_world regions'!$AM7,'Model_world regions'!$BI7,'Model_world regions'!$CA7,'Model_world regions'!$CS7,'Model_world regions'!$DK7,'Model_world regions'!$EC7)</f>
        <v>932.5415972812184</v>
      </c>
      <c r="AK9" s="45">
        <f>_xlfn.STDEV.S('Model_world regions'!$AM7,'Model_world regions'!$BI7,'Model_world regions'!$CA7,'Model_world regions'!$CS7,'Model_world regions'!$DK7,'Model_world regions'!$EC7)</f>
        <v>309.613311340358</v>
      </c>
      <c r="AL9" s="49">
        <f>AVERAGE('Model_world regions'!$AN7,'Model_world regions'!$BJ7,'Model_world regions'!$CB7,'Model_world regions'!$CT7,'Model_world regions'!$DL7,'Model_world regions'!$ED7)</f>
        <v>761.15239110293203</v>
      </c>
      <c r="AM9" s="45">
        <f>_xlfn.STDEV.S('Model_world regions'!$AN7,'Model_world regions'!$BJ7,'Model_world regions'!$CB7,'Model_world regions'!$CT7,'Model_world regions'!$DL7,'Model_world regions'!$ED7)</f>
        <v>256.43156030806102</v>
      </c>
      <c r="AN9" s="96">
        <f>AVERAGE('Model_world regions'!AS7,'Model_world regions'!BK7,'Model_world regions'!CC7,'Model_world regions'!CU7,'Model_world regions'!DM7,'Model_world regions'!EE7)</f>
        <v>6.8300172542490403</v>
      </c>
      <c r="AO9" s="85">
        <f>_xlfn.STDEV.S('Model_world regions'!AS7,'Model_world regions'!BK7,'Model_world regions'!CC7,'Model_world regions'!CU7,'Model_world regions'!DM7,'Model_world regions'!EE7)</f>
        <v>6.0852193470507769</v>
      </c>
      <c r="AP9" s="97">
        <f>AVERAGE('Model_world regions'!AT7,'Model_world regions'!BL7,'Model_world regions'!CD7,'Model_world regions'!CV7,'Model_world regions'!DN7,'Model_world regions'!EF7)</f>
        <v>14.032314392554625</v>
      </c>
      <c r="AQ9" s="86">
        <f>_xlfn.STDEV.S('Model_world regions'!AT7,'Model_world regions'!BL7,'Model_world regions'!CD7,'Model_world regions'!CV7,'Model_world regions'!DN7,'Model_world regions'!EF7)</f>
        <v>10.482750395882078</v>
      </c>
      <c r="AS9" s="49">
        <f>V9*T9</f>
        <v>200142.5151291342</v>
      </c>
      <c r="AT9" s="45">
        <f>T9*X9</f>
        <v>2055319.2445618629</v>
      </c>
      <c r="AU9" s="49">
        <f>Y9*T9</f>
        <v>230054.76770679158</v>
      </c>
      <c r="AV9" s="45">
        <f>T9*AA9</f>
        <v>2271396.9432023289</v>
      </c>
    </row>
    <row r="10" spans="1:48" x14ac:dyDescent="0.35">
      <c r="A10" t="str">
        <f>'Data_world regions'!C5</f>
        <v>Canada</v>
      </c>
      <c r="B10" s="13" t="str">
        <f>'Data_world regions'!D5</f>
        <v>CAN</v>
      </c>
      <c r="C10" s="90">
        <f>Template!F24</f>
        <v>0</v>
      </c>
      <c r="D10">
        <f>Template!G24</f>
        <v>0</v>
      </c>
      <c r="E10" s="13">
        <f>Template!H24</f>
        <v>0</v>
      </c>
      <c r="F10">
        <f t="shared" ref="F10:F24" si="0">SUM(C10:E10)</f>
        <v>0</v>
      </c>
      <c r="G10" s="106">
        <f>Template!I24</f>
        <v>334.79551107466779</v>
      </c>
      <c r="H10">
        <f>IF(Template!$J$22="no",G10,IF(Template!$J24&gt;0,Template!$J24,G10))</f>
        <v>334.79551107466779</v>
      </c>
      <c r="I10" s="103">
        <f t="shared" ref="I10:I24" si="1">H10-G10</f>
        <v>0</v>
      </c>
      <c r="J10" s="106">
        <f>Template!L24</f>
        <v>307.80883102621891</v>
      </c>
      <c r="K10">
        <f>IF(Template!$M$22="no",J10,IF(Template!$M24&gt;0,Template!$M24,J10))</f>
        <v>307.80883102621891</v>
      </c>
      <c r="L10" s="107">
        <f t="shared" ref="L10:L24" si="2">K10-J10</f>
        <v>0</v>
      </c>
      <c r="Q10" t="str">
        <f t="shared" ref="Q10:Q24" si="3">B10</f>
        <v>CAN</v>
      </c>
      <c r="R10" s="49">
        <f>AVERAGE('Model_world regions'!$Z8,'Model_world regions'!$AV8,'Model_world regions'!$BN8,'Model_world regions'!$CF8,'Model_world regions'!$CX8,'Model_world regions'!$DP8)</f>
        <v>2042.0458165165253</v>
      </c>
      <c r="S10" s="45">
        <f>_xlfn.STDEV.S('Model_world regions'!$Z8,'Model_world regions'!$AV8,'Model_world regions'!$BN8,'Model_world regions'!$CF8,'Model_world regions'!$CX8,'Model_world regions'!$DP8)</f>
        <v>80.546227788881808</v>
      </c>
      <c r="T10" s="49">
        <f>AVERAGE('Model_world regions'!$AA8,'Model_world regions'!$AW8,'Model_world regions'!$BO8,'Model_world regions'!$CG8,'Model_world regions'!$CY8,'Model_world regions'!$DQ8)</f>
        <v>576.66426175716788</v>
      </c>
      <c r="U10" s="45">
        <f>_xlfn.STDEV.S('Model_world regions'!$AA8,'Model_world regions'!$AW8,'Model_world regions'!$BO8,'Model_world regions'!$CG8,'Model_world regions'!$CY8,'Model_world regions'!$DQ8)</f>
        <v>60.039606871408928</v>
      </c>
      <c r="V10" s="49">
        <f>AVERAGE('Model_world regions'!$AE8,'Model_world regions'!$BA8,'Model_world regions'!$BS8,'Model_world regions'!$CK8,'Model_world regions'!$DC8,'Model_world regions'!$DU8)</f>
        <v>131.43911960884108</v>
      </c>
      <c r="W10" s="45">
        <f>_xlfn.STDEV.S('Model_world regions'!$AE8,'Model_world regions'!$BA8,'Model_world regions'!$BS8,'Model_world regions'!$CK8,'Model_world regions'!$DC8,'Model_world regions'!$DU8)</f>
        <v>40.768999611265905</v>
      </c>
      <c r="X10" s="45">
        <f t="shared" ref="X10:X24" si="4">W10^2</f>
        <v>1662.1113293033995</v>
      </c>
      <c r="Y10" s="49">
        <f>AVERAGE('Model_world regions'!$AG8,'Model_world regions'!$BC8,'Model_world regions'!$BU8,'Model_world regions'!$CM8,'Model_world regions'!$DE8,'Model_world regions'!$DW8)</f>
        <v>162.06096103554424</v>
      </c>
      <c r="Z10" s="45">
        <f>_xlfn.STDEV.S('Model_world regions'!$AG8,'Model_world regions'!$BC8,'Model_world regions'!$BU8,'Model_world regions'!$CM8,'Model_world regions'!$DE8,'Model_world regions'!$DW8)</f>
        <v>42.44234721825849</v>
      </c>
      <c r="AA10" s="45">
        <f t="shared" ref="AA10:AA24" si="5">Z10^2</f>
        <v>1801.3528373952142</v>
      </c>
      <c r="AB10" s="49">
        <f>AVERAGE('Model_world regions'!$AD8,'Model_world regions'!$AZ8,'Model_world regions'!$BR8,'Model_world regions'!$CJ8,'Model_world regions'!$DB8,'Model_world regions'!$DT8)</f>
        <v>11.271292571674019</v>
      </c>
      <c r="AC10" s="45">
        <f>_xlfn.STDEV.S('Model_world regions'!$AD8,'Model_world regions'!$AZ8,'Model_world regions'!$BR8,'Model_world regions'!$CJ8,'Model_world regions'!$DB8,'Model_world regions'!$DT8)</f>
        <v>5.8865933295691883</v>
      </c>
      <c r="AD10" s="49">
        <f>AVERAGE('Model_world regions'!$AF8,'Model_world regions'!$BB8,'Model_world regions'!$BT8,'Model_world regions'!$CL8,'Model_world regions'!$DD8,'Model_world regions'!$DV8)</f>
        <v>15.224007212336124</v>
      </c>
      <c r="AE10" s="45">
        <f>_xlfn.STDEV.S('Model_world regions'!$AF8,'Model_world regions'!$BB8,'Model_world regions'!$BT8,'Model_world regions'!$CL8,'Model_world regions'!$DD8,'Model_world regions'!$DV8)</f>
        <v>7.0052385115268532</v>
      </c>
      <c r="AF10" s="49">
        <f>AVERAGE('Model_world regions'!$AK8,'Model_world regions'!$BG8,'Model_world regions'!$BY8,'Model_world regions'!$CQ8,'Model_world regions'!$DI8,'Model_world regions'!$EA8)</f>
        <v>529.57092986622456</v>
      </c>
      <c r="AG10" s="45">
        <f>_xlfn.STDEV.S('Model_world regions'!$AK8,'Model_world regions'!$BG8,'Model_world regions'!$BY8,'Model_world regions'!$CQ8,'Model_world regions'!$DI8,'Model_world regions'!$EA8)</f>
        <v>40.346169154004862</v>
      </c>
      <c r="AH10" s="49">
        <f>AVERAGE('Model_world regions'!$AL8,'Model_world regions'!$BH8,'Model_world regions'!$BZ8,'Model_world regions'!$CR8,'Model_world regions'!$DJ8,'Model_world regions'!$EB8)</f>
        <v>504.23056436885014</v>
      </c>
      <c r="AI10" s="45">
        <f>_xlfn.STDEV.S('Model_world regions'!$AL8,'Model_world regions'!$BH8,'Model_world regions'!$BZ8,'Model_world regions'!$CR8,'Model_world regions'!$DJ8,'Model_world regions'!$EB8)</f>
        <v>35.67033706889881</v>
      </c>
      <c r="AJ10" s="49">
        <f>AVERAGE('Model_world regions'!$AM8,'Model_world regions'!$BI8,'Model_world regions'!$CA8,'Model_world regions'!$CS8,'Model_world regions'!$DK8,'Model_world regions'!$EC8)</f>
        <v>194.77541879155675</v>
      </c>
      <c r="AK10" s="45">
        <f>_xlfn.STDEV.S('Model_world regions'!$AM8,'Model_world regions'!$BI8,'Model_world regions'!$CA8,'Model_world regions'!$CS8,'Model_world regions'!$DK8,'Model_world regions'!$EC8)</f>
        <v>40.346169154004656</v>
      </c>
      <c r="AL10" s="49">
        <f>AVERAGE('Model_world regions'!$AN8,'Model_world regions'!$BJ8,'Model_world regions'!$CB8,'Model_world regions'!$CT8,'Model_world regions'!$DL8,'Model_world regions'!$ED8)</f>
        <v>196.42173334263131</v>
      </c>
      <c r="AM10" s="45">
        <f>_xlfn.STDEV.S('Model_world regions'!$AN8,'Model_world regions'!$BJ8,'Model_world regions'!$CB8,'Model_world regions'!$CT8,'Model_world regions'!$DL8,'Model_world regions'!$ED8)</f>
        <v>35.670337068898753</v>
      </c>
      <c r="AN10" s="98">
        <f>AVERAGE('Model_world regions'!AS8,'Model_world regions'!BK8,'Model_world regions'!CC8,'Model_world regions'!CU8,'Model_world regions'!DM8,'Model_world regions'!EE8)</f>
        <v>1.2321722780417936</v>
      </c>
      <c r="AO10" s="45">
        <f>_xlfn.STDEV.S('Model_world regions'!AS8,'Model_world regions'!BK8,'Model_world regions'!CC8,'Model_world regions'!CU8,'Model_world regions'!DM8,'Model_world regions'!EE8)</f>
        <v>1.0165037429135271</v>
      </c>
      <c r="AP10" s="49">
        <f>AVERAGE('Model_world regions'!AT8,'Model_world regions'!BL8,'Model_world regions'!CD8,'Model_world regions'!CV8,'Model_world regions'!DN8,'Model_world regions'!EF8)</f>
        <v>2.8665248278657836</v>
      </c>
      <c r="AQ10" s="54">
        <f>_xlfn.STDEV.S('Model_world regions'!AT8,'Model_world regions'!BL8,'Model_world regions'!CD8,'Model_world regions'!CV8,'Model_world regions'!DN8,'Model_world regions'!EF8)</f>
        <v>1.8892451709203579</v>
      </c>
      <c r="AS10" s="49">
        <f t="shared" ref="AS10:AS24" si="6">V10*T10</f>
        <v>75796.242875244425</v>
      </c>
      <c r="AT10" s="45">
        <f t="shared" ref="AT10:AT24" si="7">T10*X10</f>
        <v>958480.20267096988</v>
      </c>
      <c r="AU10" s="49">
        <f t="shared" ref="AU10:AU24" si="8">Y10*T10</f>
        <v>93454.764455219265</v>
      </c>
      <c r="AV10" s="45">
        <f t="shared" ref="AV10:AV24" si="9">T10*AA10</f>
        <v>1038775.8041406909</v>
      </c>
    </row>
    <row r="11" spans="1:48" x14ac:dyDescent="0.35">
      <c r="A11" t="str">
        <f>'Data_world regions'!C6</f>
        <v>Japan</v>
      </c>
      <c r="B11" s="13" t="str">
        <f>'Data_world regions'!D6</f>
        <v>JPN</v>
      </c>
      <c r="C11" s="90">
        <f>Template!F25</f>
        <v>0</v>
      </c>
      <c r="D11">
        <f>Template!G25</f>
        <v>0</v>
      </c>
      <c r="E11" s="13">
        <f>Template!H25</f>
        <v>238.14</v>
      </c>
      <c r="F11">
        <f t="shared" si="0"/>
        <v>238.14</v>
      </c>
      <c r="G11" s="106">
        <f>Template!I25</f>
        <v>644.6952085692418</v>
      </c>
      <c r="H11">
        <f>IF(Template!$J$22="no",G11,IF(Template!$J25&gt;0,Template!$J25,G11))</f>
        <v>644.6952085692418</v>
      </c>
      <c r="I11" s="103">
        <f t="shared" si="1"/>
        <v>0</v>
      </c>
      <c r="J11" s="106">
        <f>Template!L25</f>
        <v>599.3538312254135</v>
      </c>
      <c r="K11">
        <f>IF(Template!$M$22="no",J11,IF(Template!$M25&gt;0,Template!$M25,J11))</f>
        <v>599.3538312254135</v>
      </c>
      <c r="L11" s="107">
        <f t="shared" si="2"/>
        <v>0</v>
      </c>
      <c r="Q11" t="str">
        <f t="shared" si="3"/>
        <v>JPN</v>
      </c>
      <c r="R11" s="49">
        <f>AVERAGE('Model_world regions'!$Z9,'Model_world regions'!$AV9,'Model_world regions'!$BN9,'Model_world regions'!$CF9,'Model_world regions'!$CX9,'Model_world regions'!$DP9)</f>
        <v>5603.6516926257291</v>
      </c>
      <c r="S11" s="45">
        <f>_xlfn.STDEV.S('Model_world regions'!$Z9,'Model_world regions'!$AV9,'Model_world regions'!$BN9,'Model_world regions'!$CF9,'Model_world regions'!$CX9,'Model_world regions'!$DP9)</f>
        <v>221.33851975337336</v>
      </c>
      <c r="T11" s="49">
        <f>AVERAGE('Model_world regions'!$AA9,'Model_world regions'!$AW9,'Model_world regions'!$BO9,'Model_world regions'!$CG9,'Model_world regions'!$CY9,'Model_world regions'!$DQ9)</f>
        <v>1152.7978676783359</v>
      </c>
      <c r="U11" s="45">
        <f>_xlfn.STDEV.S('Model_world regions'!$AA9,'Model_world regions'!$AW9,'Model_world regions'!$BO9,'Model_world regions'!$CG9,'Model_world regions'!$CY9,'Model_world regions'!$DQ9)</f>
        <v>163.75285874367026</v>
      </c>
      <c r="V11" s="49">
        <f>AVERAGE('Model_world regions'!$AE9,'Model_world regions'!$BA9,'Model_world regions'!$BS9,'Model_world regions'!$CK9,'Model_world regions'!$DC9,'Model_world regions'!$DU9)</f>
        <v>39.187105722606098</v>
      </c>
      <c r="W11" s="45">
        <f>_xlfn.STDEV.S('Model_world regions'!$AE9,'Model_world regions'!$BA9,'Model_world regions'!$BS9,'Model_world regions'!$CK9,'Model_world regions'!$DC9,'Model_world regions'!$DU9)</f>
        <v>32.819435615412665</v>
      </c>
      <c r="X11" s="45">
        <f t="shared" si="4"/>
        <v>1077.1153541142173</v>
      </c>
      <c r="Y11" s="49">
        <f>AVERAGE('Model_world regions'!$AG9,'Model_world regions'!$BC9,'Model_world regions'!$BU9,'Model_world regions'!$CM9,'Model_world regions'!$DE9,'Model_world regions'!$DW9)</f>
        <v>51.46993937780752</v>
      </c>
      <c r="Z11" s="45">
        <f>_xlfn.STDEV.S('Model_world regions'!$AG9,'Model_world regions'!$BC9,'Model_world regions'!$BU9,'Model_world regions'!$CM9,'Model_world regions'!$DE9,'Model_world regions'!$DW9)</f>
        <v>36.373016094516352</v>
      </c>
      <c r="AA11" s="45">
        <f t="shared" si="5"/>
        <v>1322.9962998119456</v>
      </c>
      <c r="AB11" s="49">
        <f>AVERAGE('Model_world regions'!$AD9,'Model_world regions'!$AZ9,'Model_world regions'!$BR9,'Model_world regions'!$CJ9,'Model_world regions'!$DB9,'Model_world regions'!$DT9)</f>
        <v>5.0106552998122398</v>
      </c>
      <c r="AC11" s="45">
        <f>_xlfn.STDEV.S('Model_world regions'!$AD9,'Model_world regions'!$AZ9,'Model_world regions'!$BR9,'Model_world regions'!$CJ9,'Model_world regions'!$DB9,'Model_world regions'!$DT9)</f>
        <v>6.2043491221503748</v>
      </c>
      <c r="AD11" s="49">
        <f>AVERAGE('Model_world regions'!$AF9,'Model_world regions'!$BB9,'Model_world regions'!$BT9,'Model_world regions'!$CL9,'Model_world regions'!$DD9,'Model_world regions'!$DV9)</f>
        <v>7.0576991632221935</v>
      </c>
      <c r="AE11" s="45">
        <f>_xlfn.STDEV.S('Model_world regions'!$AF9,'Model_world regions'!$BB9,'Model_world regions'!$BT9,'Model_world regions'!$CL9,'Model_world regions'!$DD9,'Model_world regions'!$DV9)</f>
        <v>7.7396425729780489</v>
      </c>
      <c r="AF11" s="49">
        <f>AVERAGE('Model_world regions'!$AK9,'Model_world regions'!$BG9,'Model_world regions'!$BY9,'Model_world regions'!$CQ9,'Model_world regions'!$DI9,'Model_world regions'!$EA9)</f>
        <v>1052.5863890267094</v>
      </c>
      <c r="AG11" s="45">
        <f>_xlfn.STDEV.S('Model_world regions'!$AK9,'Model_world regions'!$BG9,'Model_world regions'!$BY9,'Model_world regions'!$CQ9,'Model_world regions'!$DI9,'Model_world regions'!$EA9)</f>
        <v>124.59183548247621</v>
      </c>
      <c r="AH11" s="49">
        <f>AVERAGE('Model_world regions'!$AL9,'Model_world regions'!$BH9,'Model_world regions'!$BZ9,'Model_world regions'!$CR9,'Model_world regions'!$DJ9,'Model_world regions'!$EB9)</f>
        <v>998.865319983674</v>
      </c>
      <c r="AI11" s="45">
        <f>_xlfn.STDEV.S('Model_world regions'!$AL9,'Model_world regions'!$BH9,'Model_world regions'!$BZ9,'Model_world regions'!$CR9,'Model_world regions'!$DJ9,'Model_world regions'!$EB9)</f>
        <v>113.75003705711453</v>
      </c>
      <c r="AJ11" s="49">
        <f>AVERAGE('Model_world regions'!$AM9,'Model_world regions'!$BI9,'Model_world regions'!$CA9,'Model_world regions'!$CS9,'Model_world regions'!$DK9,'Model_world regions'!$EC9)</f>
        <v>169.75118045746754</v>
      </c>
      <c r="AK11" s="45">
        <f>_xlfn.STDEV.S('Model_world regions'!$AM9,'Model_world regions'!$BI9,'Model_world regions'!$CA9,'Model_world regions'!$CS9,'Model_world regions'!$DK9,'Model_world regions'!$EC9)</f>
        <v>124.59183548247596</v>
      </c>
      <c r="AL11" s="49">
        <f>AVERAGE('Model_world regions'!$AN9,'Model_world regions'!$BJ9,'Model_world regions'!$CB9,'Model_world regions'!$CT9,'Model_world regions'!$DL9,'Model_world regions'!$ED9)</f>
        <v>161.37148875826037</v>
      </c>
      <c r="AM11" s="45">
        <f>_xlfn.STDEV.S('Model_world regions'!$AN9,'Model_world regions'!$BJ9,'Model_world regions'!$CB9,'Model_world regions'!$CT9,'Model_world regions'!$DL9,'Model_world regions'!$ED9)</f>
        <v>113.75003705711595</v>
      </c>
      <c r="AN11" s="98">
        <f>AVERAGE('Model_world regions'!AS9,'Model_world regions'!BK9,'Model_world regions'!CC9,'Model_world regions'!CU9,'Model_world regions'!DM9,'Model_world regions'!EE9)</f>
        <v>1.3376438369911521</v>
      </c>
      <c r="AO11" s="45">
        <f>_xlfn.STDEV.S('Model_world regions'!AS9,'Model_world regions'!BK9,'Model_world regions'!CC9,'Model_world regions'!CU9,'Model_world regions'!DM9,'Model_world regions'!EE9)</f>
        <v>1.3158583748288872</v>
      </c>
      <c r="AP11" s="49">
        <f>AVERAGE('Model_world regions'!AT9,'Model_world regions'!BL9,'Model_world regions'!CD9,'Model_world regions'!CV9,'Model_world regions'!DN9,'Model_world regions'!EF9)</f>
        <v>3.0105042440189664</v>
      </c>
      <c r="AQ11" s="54">
        <f>_xlfn.STDEV.S('Model_world regions'!AT9,'Model_world regions'!BL9,'Model_world regions'!CD9,'Model_world regions'!CV9,'Model_world regions'!DN9,'Model_world regions'!EF9)</f>
        <v>2.5827537110874772</v>
      </c>
      <c r="AS11" s="49">
        <f t="shared" si="6"/>
        <v>45174.811917505824</v>
      </c>
      <c r="AT11" s="45">
        <f t="shared" si="7"/>
        <v>1241696.2834664655</v>
      </c>
      <c r="AU11" s="49">
        <f t="shared" si="8"/>
        <v>59334.436364269728</v>
      </c>
      <c r="AV11" s="45">
        <f t="shared" si="9"/>
        <v>1525147.3133695393</v>
      </c>
    </row>
    <row r="12" spans="1:48" x14ac:dyDescent="0.35">
      <c r="A12" t="str">
        <f>'Data_world regions'!C7</f>
        <v>South Korea</v>
      </c>
      <c r="B12" s="13" t="str">
        <f>'Data_world regions'!D7</f>
        <v>KOR</v>
      </c>
      <c r="C12" s="90">
        <f>Template!F26</f>
        <v>0</v>
      </c>
      <c r="D12">
        <f>Template!G26</f>
        <v>0</v>
      </c>
      <c r="E12" s="13">
        <f>Template!H26</f>
        <v>19.02</v>
      </c>
      <c r="F12">
        <f t="shared" si="0"/>
        <v>19.02</v>
      </c>
      <c r="G12" s="106">
        <f>Template!I26</f>
        <v>388.13560685544007</v>
      </c>
      <c r="H12">
        <f>IF(Template!$J$22="no",G12,IF(Template!$J26&gt;0,Template!$J26,G12))</f>
        <v>388.13560685544007</v>
      </c>
      <c r="I12" s="103">
        <f t="shared" si="1"/>
        <v>0</v>
      </c>
      <c r="J12" s="106">
        <f>Template!L26</f>
        <v>388.13560685544007</v>
      </c>
      <c r="K12">
        <f>IF(Template!$M$22="no",J12,IF(Template!$M26&gt;0,Template!$M26,J12))</f>
        <v>388.13560685544007</v>
      </c>
      <c r="L12" s="107">
        <f t="shared" si="2"/>
        <v>0</v>
      </c>
      <c r="Q12" t="str">
        <f t="shared" si="3"/>
        <v>KOR</v>
      </c>
      <c r="R12" s="49">
        <f>AVERAGE('Model_world regions'!$Z10,'Model_world regions'!$AV10,'Model_world regions'!$BN10,'Model_world regions'!$CF10,'Model_world regions'!$CX10,'Model_world regions'!$DP10)</f>
        <v>2262.2153781468805</v>
      </c>
      <c r="S12" s="45">
        <f>_xlfn.STDEV.S('Model_world regions'!$Z10,'Model_world regions'!$AV10,'Model_world regions'!$BN10,'Model_world regions'!$CF10,'Model_world regions'!$CX10,'Model_world regions'!$DP10)</f>
        <v>105.26624847649745</v>
      </c>
      <c r="T12" s="49">
        <f>AVERAGE('Model_world regions'!$AA10,'Model_world regions'!$AW10,'Model_world regions'!$BO10,'Model_world regions'!$CG10,'Model_world regions'!$CY10,'Model_world regions'!$DQ10)</f>
        <v>685.86689632030618</v>
      </c>
      <c r="U12" s="45">
        <f>_xlfn.STDEV.S('Model_world regions'!$AA10,'Model_world regions'!$AW10,'Model_world regions'!$BO10,'Model_world regions'!$CG10,'Model_world regions'!$CY10,'Model_world regions'!$DQ10)</f>
        <v>146.35776562710595</v>
      </c>
      <c r="V12" s="49">
        <f>AVERAGE('Model_world regions'!$AE10,'Model_world regions'!$BA10,'Model_world regions'!$BS10,'Model_world regions'!$CK10,'Model_world regions'!$DC10,'Model_world regions'!$DU10)</f>
        <v>58.601600017746371</v>
      </c>
      <c r="W12" s="45">
        <f>_xlfn.STDEV.S('Model_world regions'!$AE10,'Model_world regions'!$BA10,'Model_world regions'!$BS10,'Model_world regions'!$CK10,'Model_world regions'!$DC10,'Model_world regions'!$DU10)</f>
        <v>34.115957125624782</v>
      </c>
      <c r="X12" s="45">
        <f t="shared" si="4"/>
        <v>1163.8985305974684</v>
      </c>
      <c r="Y12" s="49">
        <f>AVERAGE('Model_world regions'!$AG10,'Model_world regions'!$BC10,'Model_world regions'!$BU10,'Model_world regions'!$CM10,'Model_world regions'!$DE10,'Model_world regions'!$DW10)</f>
        <v>58.601600017746371</v>
      </c>
      <c r="Z12" s="45">
        <f>_xlfn.STDEV.S('Model_world regions'!$AG10,'Model_world regions'!$BC10,'Model_world regions'!$BU10,'Model_world regions'!$CM10,'Model_world regions'!$DE10,'Model_world regions'!$DW10)</f>
        <v>34.115957125624782</v>
      </c>
      <c r="AA12" s="45">
        <f t="shared" si="5"/>
        <v>1163.8985305974684</v>
      </c>
      <c r="AB12" s="49">
        <f>AVERAGE('Model_world regions'!$AD10,'Model_world regions'!$AZ10,'Model_world regions'!$BR10,'Model_world regions'!$CJ10,'Model_world regions'!$DB10,'Model_world regions'!$DT10)</f>
        <v>6.8229901888123825</v>
      </c>
      <c r="AC12" s="45">
        <f>_xlfn.STDEV.S('Model_world regions'!$AD10,'Model_world regions'!$AZ10,'Model_world regions'!$BR10,'Model_world regions'!$CJ10,'Model_world regions'!$DB10,'Model_world regions'!$DT10)</f>
        <v>7.7758705738013498</v>
      </c>
      <c r="AD12" s="49">
        <f>AVERAGE('Model_world regions'!$AF10,'Model_world regions'!$BB10,'Model_world regions'!$BT10,'Model_world regions'!$CL10,'Model_world regions'!$DD10,'Model_world regions'!$DV10)</f>
        <v>6.8229901888123825</v>
      </c>
      <c r="AE12" s="45">
        <f>_xlfn.STDEV.S('Model_world regions'!$AF10,'Model_world regions'!$BB10,'Model_world regions'!$BT10,'Model_world regions'!$CL10,'Model_world regions'!$DD10,'Model_world regions'!$DV10)</f>
        <v>7.7758705738013498</v>
      </c>
      <c r="AF12" s="49">
        <f>AVERAGE('Model_world regions'!$AK10,'Model_world regions'!$BG10,'Model_world regions'!$BY10,'Model_world regions'!$CQ10,'Model_world regions'!$DI10,'Model_world regions'!$EA10)</f>
        <v>604.92507180739642</v>
      </c>
      <c r="AG12" s="45">
        <f>_xlfn.STDEV.S('Model_world regions'!$AK10,'Model_world regions'!$BG10,'Model_world regions'!$BY10,'Model_world regions'!$CQ10,'Model_world regions'!$DI10,'Model_world regions'!$EA10)</f>
        <v>114.24434750306591</v>
      </c>
      <c r="AH12" s="49">
        <f>AVERAGE('Model_world regions'!$AL10,'Model_world regions'!$BH10,'Model_world regions'!$BZ10,'Model_world regions'!$CR10,'Model_world regions'!$DJ10,'Model_world regions'!$EB10)</f>
        <v>561.70637808943184</v>
      </c>
      <c r="AI12" s="45">
        <f>_xlfn.STDEV.S('Model_world regions'!$AL10,'Model_world regions'!$BH10,'Model_world regions'!$BZ10,'Model_world regions'!$CR10,'Model_world regions'!$DJ10,'Model_world regions'!$EB10)</f>
        <v>103.47115757673819</v>
      </c>
      <c r="AJ12" s="49">
        <f>AVERAGE('Model_world regions'!$AM10,'Model_world regions'!$BI10,'Model_world regions'!$CA10,'Model_world regions'!$CS10,'Model_world regions'!$DK10,'Model_world regions'!$EC10)</f>
        <v>197.76946495195634</v>
      </c>
      <c r="AK12" s="45">
        <f>_xlfn.STDEV.S('Model_world regions'!$AM10,'Model_world regions'!$BI10,'Model_world regions'!$CA10,'Model_world regions'!$CS10,'Model_world regions'!$DK10,'Model_world regions'!$EC10)</f>
        <v>114.24434750306604</v>
      </c>
      <c r="AL12" s="49">
        <f>AVERAGE('Model_world regions'!$AN10,'Model_world regions'!$BJ10,'Model_world regions'!$CB10,'Model_world regions'!$CT10,'Model_world regions'!$DL10,'Model_world regions'!$ED10)</f>
        <v>154.55077123399175</v>
      </c>
      <c r="AM12" s="45">
        <f>_xlfn.STDEV.S('Model_world regions'!$AN10,'Model_world regions'!$BJ10,'Model_world regions'!$CB10,'Model_world regions'!$CT10,'Model_world regions'!$DL10,'Model_world regions'!$ED10)</f>
        <v>103.47115757673828</v>
      </c>
      <c r="AN12" s="98">
        <f>AVERAGE('Model_world regions'!AS10,'Model_world regions'!BK10,'Model_world regions'!CC10,'Model_world regions'!CU10,'Model_world regions'!DM10,'Model_world regions'!EE10)</f>
        <v>1.3465719717660285</v>
      </c>
      <c r="AO12" s="45">
        <f>_xlfn.STDEV.S('Model_world regions'!AS10,'Model_world regions'!BK10,'Model_world regions'!CC10,'Model_world regions'!CU10,'Model_world regions'!DM10,'Model_world regions'!EE10)</f>
        <v>1.2065167016057476</v>
      </c>
      <c r="AP12" s="49">
        <f>AVERAGE('Model_world regions'!AT10,'Model_world regions'!BL10,'Model_world regions'!CD10,'Model_world regions'!CV10,'Model_world regions'!DN10,'Model_world regions'!EF10)</f>
        <v>2.6284516224951786</v>
      </c>
      <c r="AQ12" s="54">
        <f>_xlfn.STDEV.S('Model_world regions'!AT10,'Model_world regions'!BL10,'Model_world regions'!CD10,'Model_world regions'!CV10,'Model_world regions'!DN10,'Model_world regions'!EF10)</f>
        <v>2.1848365664108274</v>
      </c>
      <c r="AS12" s="49">
        <f t="shared" si="6"/>
        <v>40192.897523575703</v>
      </c>
      <c r="AT12" s="45">
        <f t="shared" si="7"/>
        <v>798279.47281265061</v>
      </c>
      <c r="AU12" s="49">
        <f t="shared" si="8"/>
        <v>40192.897523575703</v>
      </c>
      <c r="AV12" s="45">
        <f t="shared" si="9"/>
        <v>798279.47281265061</v>
      </c>
    </row>
    <row r="13" spans="1:48" x14ac:dyDescent="0.35">
      <c r="A13" t="str">
        <f>'Data_world regions'!C8</f>
        <v>Russia</v>
      </c>
      <c r="B13" s="13" t="str">
        <f>'Data_world regions'!D8</f>
        <v>RUS</v>
      </c>
      <c r="C13" s="90">
        <f>Template!F27</f>
        <v>0</v>
      </c>
      <c r="D13">
        <f>Template!G27</f>
        <v>0</v>
      </c>
      <c r="E13" s="13">
        <f>Template!H27</f>
        <v>0</v>
      </c>
      <c r="F13">
        <f t="shared" si="0"/>
        <v>0</v>
      </c>
      <c r="G13" s="106">
        <f>Template!I27</f>
        <v>1750.4189734568383</v>
      </c>
      <c r="H13">
        <f>IF(Template!$J$22="no",G13,IF(Template!$J27&gt;0,Template!$J27,G13))</f>
        <v>1750.4189734568383</v>
      </c>
      <c r="I13" s="103">
        <f t="shared" si="1"/>
        <v>0</v>
      </c>
      <c r="J13" s="106">
        <f>Template!L27</f>
        <v>1750.4189734568383</v>
      </c>
      <c r="K13">
        <f>IF(Template!$M$22="no",J13,IF(Template!$M27&gt;0,Template!$M27,J13))</f>
        <v>1750.4189734568383</v>
      </c>
      <c r="L13" s="107">
        <f t="shared" si="2"/>
        <v>0</v>
      </c>
      <c r="Q13" t="str">
        <f t="shared" si="3"/>
        <v>RUS</v>
      </c>
      <c r="R13" s="49">
        <f>AVERAGE('Model_world regions'!$Z11,'Model_world regions'!$AV11,'Model_world regions'!$BN11,'Model_world regions'!$CF11,'Model_world regions'!$CX11,'Model_world regions'!$DP11)</f>
        <v>2039.7575971447261</v>
      </c>
      <c r="S13" s="45">
        <f>_xlfn.STDEV.S('Model_world regions'!$Z11,'Model_world regions'!$AV11,'Model_world regions'!$BN11,'Model_world regions'!$CF11,'Model_world regions'!$CX11,'Model_world regions'!$DP11)</f>
        <v>216.15512615944633</v>
      </c>
      <c r="T13" s="49">
        <f>AVERAGE('Model_world regions'!$AA11,'Model_world regions'!$AW11,'Model_world regions'!$BO11,'Model_world regions'!$CG11,'Model_world regions'!$CY11,'Model_world regions'!$DQ11)</f>
        <v>1807.2083266003137</v>
      </c>
      <c r="U13" s="45">
        <f>_xlfn.STDEV.S('Model_world regions'!$AA11,'Model_world regions'!$AW11,'Model_world regions'!$BO11,'Model_world regions'!$CG11,'Model_world regions'!$CY11,'Model_world regions'!$DQ11)</f>
        <v>87.883888042923687</v>
      </c>
      <c r="V13" s="49">
        <f>AVERAGE('Model_world regions'!$AE11,'Model_world regions'!$BA11,'Model_world regions'!$BS11,'Model_world regions'!$CK11,'Model_world regions'!$DC11,'Model_world regions'!$DU11)</f>
        <v>1.1162835699883733</v>
      </c>
      <c r="W13" s="45">
        <f>_xlfn.STDEV.S('Model_world regions'!$AE11,'Model_world regions'!$BA11,'Model_world regions'!$BS11,'Model_world regions'!$CK11,'Model_world regions'!$DC11,'Model_world regions'!$DU11)</f>
        <v>1.6759071678491384</v>
      </c>
      <c r="X13" s="45">
        <f t="shared" si="4"/>
        <v>2.8086648352481203</v>
      </c>
      <c r="Y13" s="49">
        <f>AVERAGE('Model_world regions'!$AG11,'Model_world regions'!$BC11,'Model_world regions'!$BU11,'Model_world regions'!$CM11,'Model_world regions'!$DE11,'Model_world regions'!$DW11)</f>
        <v>1.1162835699883733</v>
      </c>
      <c r="Z13" s="45">
        <f>_xlfn.STDEV.S('Model_world regions'!$AG11,'Model_world regions'!$BC11,'Model_world regions'!$BU11,'Model_world regions'!$CM11,'Model_world regions'!$DE11,'Model_world regions'!$DW11)</f>
        <v>1.6759071678491384</v>
      </c>
      <c r="AA13" s="45">
        <f t="shared" si="5"/>
        <v>2.8086648352481203</v>
      </c>
      <c r="AB13" s="49">
        <f>AVERAGE('Model_world regions'!$AD11,'Model_world regions'!$AZ11,'Model_world regions'!$BR11,'Model_world regions'!$CJ11,'Model_world regions'!$DB11,'Model_world regions'!$DT11)</f>
        <v>5.9981480050157264E-2</v>
      </c>
      <c r="AC13" s="45">
        <f>_xlfn.STDEV.S('Model_world regions'!$AD11,'Model_world regions'!$AZ11,'Model_world regions'!$BR11,'Model_world regions'!$CJ11,'Model_world regions'!$DB11,'Model_world regions'!$DT11)</f>
        <v>0.11505471080031769</v>
      </c>
      <c r="AD13" s="49">
        <f>AVERAGE('Model_world regions'!$AF11,'Model_world regions'!$BB11,'Model_world regions'!$BT11,'Model_world regions'!$CL11,'Model_world regions'!$DD11,'Model_world regions'!$DV11)</f>
        <v>5.9981480050157264E-2</v>
      </c>
      <c r="AE13" s="45">
        <f>_xlfn.STDEV.S('Model_world regions'!$AF11,'Model_world regions'!$BB11,'Model_world regions'!$BT11,'Model_world regions'!$CL11,'Model_world regions'!$DD11,'Model_world regions'!$DV11)</f>
        <v>0.11505471080031769</v>
      </c>
      <c r="AF13" s="49">
        <f>AVERAGE('Model_world regions'!$AK11,'Model_world regions'!$BG11,'Model_world regions'!$BY11,'Model_world regions'!$CQ11,'Model_world regions'!$DI11,'Model_world regions'!$EA11)</f>
        <v>1628.5125253561582</v>
      </c>
      <c r="AG13" s="45">
        <f>_xlfn.STDEV.S('Model_world regions'!$AK11,'Model_world regions'!$BG11,'Model_world regions'!$BY11,'Model_world regions'!$CQ11,'Model_world regions'!$DI11,'Model_world regions'!$EA11)</f>
        <v>65.194870547517965</v>
      </c>
      <c r="AH13" s="49">
        <f>AVERAGE('Model_world regions'!$AL11,'Model_world regions'!$BH11,'Model_world regions'!$BZ11,'Model_world regions'!$CR11,'Model_world regions'!$DJ11,'Model_world regions'!$EB11)</f>
        <v>1531.1274712886182</v>
      </c>
      <c r="AI13" s="45">
        <f>_xlfn.STDEV.S('Model_world regions'!$AL11,'Model_world regions'!$BH11,'Model_world regions'!$BZ11,'Model_world regions'!$CR11,'Model_world regions'!$DJ11,'Model_world regions'!$EB11)</f>
        <v>65.800018319160216</v>
      </c>
      <c r="AJ13" s="49">
        <f>AVERAGE('Model_world regions'!$AM11,'Model_world regions'!$BI11,'Model_world regions'!$CA11,'Model_world regions'!$CS11,'Model_world regions'!$DK11,'Model_world regions'!$EC11)</f>
        <v>-112.73115362629926</v>
      </c>
      <c r="AK13" s="45">
        <f>_xlfn.STDEV.S('Model_world regions'!$AM11,'Model_world regions'!$BI11,'Model_world regions'!$CA11,'Model_world regions'!$CS11,'Model_world regions'!$DK11,'Model_world regions'!$EC11)</f>
        <v>57.259827020741092</v>
      </c>
      <c r="AL13" s="49">
        <f>AVERAGE('Model_world regions'!$AN11,'Model_world regions'!$BJ11,'Model_world regions'!$CB11,'Model_world regions'!$CT11,'Model_world regions'!$DL11,'Model_world regions'!$ED11)</f>
        <v>-210.1162076938393</v>
      </c>
      <c r="AM13" s="45">
        <f>_xlfn.STDEV.S('Model_world regions'!$AN11,'Model_world regions'!$BJ11,'Model_world regions'!$CB11,'Model_world regions'!$CT11,'Model_world regions'!$DL11,'Model_world regions'!$ED11)</f>
        <v>58.95895649351062</v>
      </c>
      <c r="AN13" s="98">
        <f>AVERAGE('Model_world regions'!AS11,'Model_world regions'!BK11,'Model_world regions'!CC11,'Model_world regions'!CU11,'Model_world regions'!DM11,'Model_world regions'!EE11)</f>
        <v>-0.30549535964690555</v>
      </c>
      <c r="AO13" s="45">
        <f>_xlfn.STDEV.S('Model_world regions'!AS11,'Model_world regions'!BK11,'Model_world regions'!CC11,'Model_world regions'!CU11,'Model_world regions'!DM11,'Model_world regions'!EE11)</f>
        <v>0.47277881881304551</v>
      </c>
      <c r="AP13" s="49">
        <f>AVERAGE('Model_world regions'!AT11,'Model_world regions'!BL11,'Model_world regions'!CD11,'Model_world regions'!CV11,'Model_world regions'!DN11,'Model_world regions'!EF11)</f>
        <v>-1.5117709250833651</v>
      </c>
      <c r="AQ13" s="54">
        <f>_xlfn.STDEV.S('Model_world regions'!AT11,'Model_world regions'!BL11,'Model_world regions'!CD11,'Model_world regions'!CV11,'Model_world regions'!DN11,'Model_world regions'!EF11)</f>
        <v>1.2469746607341374</v>
      </c>
      <c r="AS13" s="49">
        <f t="shared" si="6"/>
        <v>2017.3569625301122</v>
      </c>
      <c r="AT13" s="45">
        <f t="shared" si="7"/>
        <v>5075.8424768899013</v>
      </c>
      <c r="AU13" s="49">
        <f t="shared" si="8"/>
        <v>2017.3569625301122</v>
      </c>
      <c r="AV13" s="45">
        <f t="shared" si="9"/>
        <v>5075.8424768899013</v>
      </c>
    </row>
    <row r="14" spans="1:48" x14ac:dyDescent="0.35">
      <c r="A14" t="str">
        <f>'Data_world regions'!C9</f>
        <v>China</v>
      </c>
      <c r="B14" s="13" t="str">
        <f>'Data_world regions'!D9</f>
        <v>CHN</v>
      </c>
      <c r="C14" s="90">
        <f>Template!F28</f>
        <v>0</v>
      </c>
      <c r="D14">
        <f>Template!G28</f>
        <v>0</v>
      </c>
      <c r="E14" s="13">
        <f>Template!H28</f>
        <v>0</v>
      </c>
      <c r="F14">
        <f t="shared" si="0"/>
        <v>0</v>
      </c>
      <c r="G14" s="106">
        <f>Template!I28</f>
        <v>12309.368962204981</v>
      </c>
      <c r="H14">
        <f>IF(Template!$J$22="no",G14,IF(Template!$J28&gt;0,Template!$J28,G14))</f>
        <v>12309.368962204981</v>
      </c>
      <c r="I14" s="103">
        <f t="shared" si="1"/>
        <v>0</v>
      </c>
      <c r="J14" s="106">
        <f>Template!L28</f>
        <v>11457.539072913709</v>
      </c>
      <c r="K14">
        <f>IF(Template!$M$22="no",J14,IF(Template!$M28&gt;0,Template!$M28,J14))</f>
        <v>11457.539072913709</v>
      </c>
      <c r="L14" s="107">
        <f t="shared" si="2"/>
        <v>0</v>
      </c>
      <c r="Q14" t="str">
        <f t="shared" si="3"/>
        <v>CHN</v>
      </c>
      <c r="R14" s="49">
        <f>AVERAGE('Model_world regions'!$Z12,'Model_world regions'!$AV12,'Model_world regions'!$BN12,'Model_world regions'!$CF12,'Model_world regions'!$CX12,'Model_world regions'!$DP12)</f>
        <v>27350.395345251094</v>
      </c>
      <c r="S14" s="45">
        <f>_xlfn.STDEV.S('Model_world regions'!$Z12,'Model_world regions'!$AV12,'Model_world regions'!$BN12,'Model_world regions'!$CF12,'Model_world regions'!$CX12,'Model_world regions'!$DP12)</f>
        <v>3667.2266403226095</v>
      </c>
      <c r="T14" s="49">
        <f>AVERAGE('Model_world regions'!$AA12,'Model_world regions'!$AW12,'Model_world regions'!$BO12,'Model_world regions'!$CG12,'Model_world regions'!$CY12,'Model_world regions'!$DQ12)</f>
        <v>13590.564467446529</v>
      </c>
      <c r="U14" s="45">
        <f>_xlfn.STDEV.S('Model_world regions'!$AA12,'Model_world regions'!$AW12,'Model_world regions'!$BO12,'Model_world regions'!$CG12,'Model_world regions'!$CY12,'Model_world regions'!$DQ12)</f>
        <v>757.58500973669015</v>
      </c>
      <c r="V14" s="49">
        <f>AVERAGE('Model_world regions'!$AE12,'Model_world regions'!$BA12,'Model_world regions'!$BS12,'Model_world regions'!$CK12,'Model_world regions'!$DC12,'Model_world regions'!$DU12)</f>
        <v>2.6383863518722177</v>
      </c>
      <c r="W14" s="45">
        <f>_xlfn.STDEV.S('Model_world regions'!$AE12,'Model_world regions'!$BA12,'Model_world regions'!$BS12,'Model_world regions'!$CK12,'Model_world regions'!$DC12,'Model_world regions'!$DU12)</f>
        <v>2.7536335342434701</v>
      </c>
      <c r="X14" s="45">
        <f t="shared" si="4"/>
        <v>7.5824976409101845</v>
      </c>
      <c r="Y14" s="49">
        <f>AVERAGE('Model_world regions'!$AG12,'Model_world regions'!$BC12,'Model_world regions'!$BU12,'Model_world regions'!$CM12,'Model_world regions'!$DE12,'Model_world regions'!$DW12)</f>
        <v>6.3786906950370295</v>
      </c>
      <c r="Z14" s="45">
        <f>_xlfn.STDEV.S('Model_world regions'!$AG12,'Model_world regions'!$BC12,'Model_world regions'!$BU12,'Model_world regions'!$CM12,'Model_world regions'!$DE12,'Model_world regions'!$DW12)</f>
        <v>4.2149796032540383</v>
      </c>
      <c r="AA14" s="45">
        <f t="shared" si="5"/>
        <v>17.766053055847571</v>
      </c>
      <c r="AB14" s="49">
        <f>AVERAGE('Model_world regions'!$AD12,'Model_world regions'!$AZ12,'Model_world regions'!$BR12,'Model_world regions'!$CJ12,'Model_world regions'!$DB12,'Model_world regions'!$DT12)</f>
        <v>1.6799511467336448</v>
      </c>
      <c r="AC14" s="45">
        <f>_xlfn.STDEV.S('Model_world regions'!$AD12,'Model_world regions'!$AZ12,'Model_world regions'!$BR12,'Model_world regions'!$CJ12,'Model_world regions'!$DB12,'Model_world regions'!$DT12)</f>
        <v>2.3718417269496244</v>
      </c>
      <c r="AD14" s="49">
        <f>AVERAGE('Model_world regions'!$AF12,'Model_world regions'!$BB12,'Model_world regions'!$BT12,'Model_world regions'!$CL12,'Model_world regions'!$DD12,'Model_world regions'!$DV12)</f>
        <v>5.3828821021158477</v>
      </c>
      <c r="AE14" s="45">
        <f>_xlfn.STDEV.S('Model_world regions'!$AF12,'Model_world regions'!$BB12,'Model_world regions'!$BT12,'Model_world regions'!$CL12,'Model_world regions'!$DD12,'Model_world regions'!$DV12)</f>
        <v>5.3282642458292973</v>
      </c>
      <c r="AF14" s="49">
        <f>AVERAGE('Model_world regions'!$AK12,'Model_world regions'!$BG12,'Model_world regions'!$BY12,'Model_world regions'!$CQ12,'Model_world regions'!$DI12,'Model_world regions'!$EA12)</f>
        <v>11663.316495933819</v>
      </c>
      <c r="AG14" s="45">
        <f>_xlfn.STDEV.S('Model_world regions'!$AK12,'Model_world regions'!$BG12,'Model_world regions'!$BY12,'Model_world regions'!$CQ12,'Model_world regions'!$DI12,'Model_world regions'!$EA12)</f>
        <v>436.70082370424893</v>
      </c>
      <c r="AH14" s="49">
        <f>AVERAGE('Model_world regions'!$AL12,'Model_world regions'!$BH12,'Model_world regions'!$BZ12,'Model_world regions'!$CR12,'Model_world regions'!$DJ12,'Model_world regions'!$EB12)</f>
        <v>10616.321381489017</v>
      </c>
      <c r="AI14" s="45">
        <f>_xlfn.STDEV.S('Model_world regions'!$AL12,'Model_world regions'!$BH12,'Model_world regions'!$BZ12,'Model_world regions'!$CR12,'Model_world regions'!$DJ12,'Model_world regions'!$EB12)</f>
        <v>504.31093746027364</v>
      </c>
      <c r="AJ14" s="49">
        <f>AVERAGE('Model_world regions'!$AM12,'Model_world regions'!$BI12,'Model_world regions'!$CA12,'Model_world regions'!$CS12,'Model_world regions'!$DK12,'Model_world regions'!$EC12)</f>
        <v>-646.05246627116105</v>
      </c>
      <c r="AK14" s="45">
        <f>_xlfn.STDEV.S('Model_world regions'!$AM12,'Model_world regions'!$BI12,'Model_world regions'!$CA12,'Model_world regions'!$CS12,'Model_world regions'!$DK12,'Model_world regions'!$EC12)</f>
        <v>436.70082370424893</v>
      </c>
      <c r="AL14" s="49">
        <f>AVERAGE('Model_world regions'!$AN12,'Model_world regions'!$BJ12,'Model_world regions'!$CB12,'Model_world regions'!$CT12,'Model_world regions'!$DL12,'Model_world regions'!$ED12)</f>
        <v>-841.21769142469259</v>
      </c>
      <c r="AM14" s="45">
        <f>_xlfn.STDEV.S('Model_world regions'!$AN12,'Model_world regions'!$BJ12,'Model_world regions'!$CB12,'Model_world regions'!$CT12,'Model_world regions'!$DL12,'Model_world regions'!$ED12)</f>
        <v>504.31093746027381</v>
      </c>
      <c r="AN14" s="98">
        <f>AVERAGE('Model_world regions'!AS12,'Model_world regions'!BK12,'Model_world regions'!CC12,'Model_world regions'!CU12,'Model_world regions'!DM12,'Model_world regions'!EE12)</f>
        <v>0.40219859280579889</v>
      </c>
      <c r="AO14" s="45">
        <f>_xlfn.STDEV.S('Model_world regions'!AS12,'Model_world regions'!BK12,'Model_world regions'!CC12,'Model_world regions'!CU12,'Model_world regions'!DM12,'Model_world regions'!EE12)</f>
        <v>3.2560012869485706</v>
      </c>
      <c r="AP14" s="49">
        <f>AVERAGE('Model_world regions'!AT12,'Model_world regions'!BL12,'Model_world regions'!CD12,'Model_world regions'!CV12,'Model_world regions'!DN12,'Model_world regions'!EF12)</f>
        <v>2.0671975638561753</v>
      </c>
      <c r="AQ14" s="54">
        <f>_xlfn.STDEV.S('Model_world regions'!AT12,'Model_world regions'!BL12,'Model_world regions'!CD12,'Model_world regions'!CV12,'Model_world regions'!DN12,'Model_world regions'!EF12)</f>
        <v>6.8036773246593354</v>
      </c>
      <c r="AS14" s="49">
        <f t="shared" si="6"/>
        <v>35857.159805150441</v>
      </c>
      <c r="AT14" s="45">
        <f t="shared" si="7"/>
        <v>103050.42301305108</v>
      </c>
      <c r="AU14" s="49">
        <f t="shared" si="8"/>
        <v>86690.007108802063</v>
      </c>
      <c r="AV14" s="45">
        <f t="shared" si="9"/>
        <v>241450.68938757182</v>
      </c>
    </row>
    <row r="15" spans="1:48" x14ac:dyDescent="0.35">
      <c r="A15" t="str">
        <f>'Data_world regions'!C10</f>
        <v>Great Britain + Ireland</v>
      </c>
      <c r="B15" s="13" t="str">
        <f>'Data_world regions'!D10</f>
        <v>GBR</v>
      </c>
      <c r="C15" s="90">
        <f>Template!F29</f>
        <v>0</v>
      </c>
      <c r="D15">
        <f>Template!G29</f>
        <v>0</v>
      </c>
      <c r="E15" s="13">
        <f>Template!H29</f>
        <v>0</v>
      </c>
      <c r="F15">
        <f t="shared" si="0"/>
        <v>0</v>
      </c>
      <c r="G15" s="106">
        <f>Template!I29</f>
        <v>240.38013421489839</v>
      </c>
      <c r="H15">
        <f>IF(Template!$J$22="no",G15,IF(Template!$J29&gt;0,Template!$J29,G15))</f>
        <v>240.38013421489839</v>
      </c>
      <c r="I15" s="103">
        <f t="shared" si="1"/>
        <v>0</v>
      </c>
      <c r="J15" s="106">
        <f>Template!L29</f>
        <v>240.38013421489839</v>
      </c>
      <c r="K15">
        <f>IF(Template!$M$22="no",J15,IF(Template!$M29&gt;0,Template!$M29,J15))</f>
        <v>240.38013421489839</v>
      </c>
      <c r="L15" s="107">
        <f t="shared" si="2"/>
        <v>0</v>
      </c>
      <c r="Q15" t="str">
        <f t="shared" si="3"/>
        <v>GBR</v>
      </c>
      <c r="R15" s="49">
        <f>AVERAGE('Model_world regions'!$Z13,'Model_world regions'!$AV13,'Model_world regions'!$BN13,'Model_world regions'!$CF13,'Model_world regions'!$CX13,'Model_world regions'!$DP13)</f>
        <v>3865.3360868313407</v>
      </c>
      <c r="S15" s="45">
        <f>_xlfn.STDEV.S('Model_world regions'!$Z13,'Model_world regions'!$AV13,'Model_world regions'!$BN13,'Model_world regions'!$CF13,'Model_world regions'!$CX13,'Model_world regions'!$DP13)</f>
        <v>191.79056298235591</v>
      </c>
      <c r="T15" s="49">
        <f>AVERAGE('Model_world regions'!$AA13,'Model_world regions'!$AW13,'Model_world regions'!$BO13,'Model_world regions'!$CG13,'Model_world regions'!$CY13,'Model_world regions'!$DQ13)</f>
        <v>391.89827514319268</v>
      </c>
      <c r="U15" s="45">
        <f>_xlfn.STDEV.S('Model_world regions'!$AA13,'Model_world regions'!$AW13,'Model_world regions'!$BO13,'Model_world regions'!$CG13,'Model_world regions'!$CY13,'Model_world regions'!$DQ13)</f>
        <v>43.47441255664959</v>
      </c>
      <c r="V15" s="49">
        <f>AVERAGE('Model_world regions'!$AE13,'Model_world regions'!$BA13,'Model_world regions'!$BS13,'Model_world regions'!$CK13,'Model_world regions'!$DC13,'Model_world regions'!$DU13)</f>
        <v>124.91830632735618</v>
      </c>
      <c r="W15" s="45">
        <f>_xlfn.STDEV.S('Model_world regions'!$AE13,'Model_world regions'!$BA13,'Model_world regions'!$BS13,'Model_world regions'!$CK13,'Model_world regions'!$DC13,'Model_world regions'!$DU13)</f>
        <v>43.878415813279197</v>
      </c>
      <c r="X15" s="45">
        <f t="shared" si="4"/>
        <v>1925.31537428303</v>
      </c>
      <c r="Y15" s="49">
        <f>AVERAGE('Model_world regions'!$AG13,'Model_world regions'!$BC13,'Model_world regions'!$BU13,'Model_world regions'!$CM13,'Model_world regions'!$DE13,'Model_world regions'!$DW13)</f>
        <v>124.91830632735618</v>
      </c>
      <c r="Z15" s="45">
        <f>_xlfn.STDEV.S('Model_world regions'!$AG13,'Model_world regions'!$BC13,'Model_world regions'!$BU13,'Model_world regions'!$CM13,'Model_world regions'!$DE13,'Model_world regions'!$DW13)</f>
        <v>43.878415813279197</v>
      </c>
      <c r="AA15" s="45">
        <f t="shared" si="5"/>
        <v>1925.31537428303</v>
      </c>
      <c r="AB15" s="49">
        <f>AVERAGE('Model_world regions'!$AD13,'Model_world regions'!$AZ13,'Model_world regions'!$BR13,'Model_world regions'!$CJ13,'Model_world regions'!$DB13,'Model_world regions'!$DT13)</f>
        <v>6.8301918621308078</v>
      </c>
      <c r="AC15" s="45">
        <f>_xlfn.STDEV.S('Model_world regions'!$AD13,'Model_world regions'!$AZ13,'Model_world regions'!$BR13,'Model_world regions'!$CJ13,'Model_world regions'!$DB13,'Model_world regions'!$DT13)</f>
        <v>4.0064527621058703</v>
      </c>
      <c r="AD15" s="49">
        <f>AVERAGE('Model_world regions'!$AF13,'Model_world regions'!$BB13,'Model_world regions'!$BT13,'Model_world regions'!$CL13,'Model_world regions'!$DD13,'Model_world regions'!$DV13)</f>
        <v>6.8301918621308078</v>
      </c>
      <c r="AE15" s="45">
        <f>_xlfn.STDEV.S('Model_world regions'!$AF13,'Model_world regions'!$BB13,'Model_world regions'!$BT13,'Model_world regions'!$CL13,'Model_world regions'!$DD13,'Model_world regions'!$DV13)</f>
        <v>4.0064527621058703</v>
      </c>
      <c r="AF15" s="49">
        <f>AVERAGE('Model_world regions'!$AK13,'Model_world regions'!$BG13,'Model_world regions'!$BY13,'Model_world regions'!$CQ13,'Model_world regions'!$DI13,'Model_world regions'!$EA13)</f>
        <v>361.58414081739807</v>
      </c>
      <c r="AG15" s="45">
        <f>_xlfn.STDEV.S('Model_world regions'!$AK13,'Model_world regions'!$BG13,'Model_world regions'!$BY13,'Model_world regions'!$CQ13,'Model_world regions'!$DI13,'Model_world regions'!$EA13)</f>
        <v>30.731682763816053</v>
      </c>
      <c r="AH15" s="49">
        <f>AVERAGE('Model_world regions'!$AL13,'Model_world regions'!$BH13,'Model_world regions'!$BZ13,'Model_world regions'!$CR13,'Model_world regions'!$DJ13,'Model_world regions'!$EB13)</f>
        <v>345.30458545238162</v>
      </c>
      <c r="AI15" s="45">
        <f>_xlfn.STDEV.S('Model_world regions'!$AL13,'Model_world regions'!$BH13,'Model_world regions'!$BZ13,'Model_world regions'!$CR13,'Model_world regions'!$DJ13,'Model_world regions'!$EB13)</f>
        <v>27.506671023863493</v>
      </c>
      <c r="AJ15" s="49">
        <f>AVERAGE('Model_world regions'!$AM13,'Model_world regions'!$BI13,'Model_world regions'!$CA13,'Model_world regions'!$CS13,'Model_world regions'!$DK13,'Model_world regions'!$EC13)</f>
        <v>121.20400660249965</v>
      </c>
      <c r="AK15" s="45">
        <f>_xlfn.STDEV.S('Model_world regions'!$AM13,'Model_world regions'!$BI13,'Model_world regions'!$CA13,'Model_world regions'!$CS13,'Model_world regions'!$DK13,'Model_world regions'!$EC13)</f>
        <v>30.731682763815979</v>
      </c>
      <c r="AL15" s="49">
        <f>AVERAGE('Model_world regions'!$AN13,'Model_world regions'!$BJ13,'Model_world regions'!$CB13,'Model_world regions'!$CT13,'Model_world regions'!$DL13,'Model_world regions'!$ED13)</f>
        <v>104.9244512374832</v>
      </c>
      <c r="AM15" s="45">
        <f>_xlfn.STDEV.S('Model_world regions'!$AN13,'Model_world regions'!$BJ13,'Model_world regions'!$CB13,'Model_world regions'!$CT13,'Model_world regions'!$DL13,'Model_world regions'!$ED13)</f>
        <v>27.506671023863497</v>
      </c>
      <c r="AN15" s="98">
        <f>AVERAGE('Model_world regions'!AS13,'Model_world regions'!BK13,'Model_world regions'!CC13,'Model_world regions'!CU13,'Model_world regions'!DM13,'Model_world regions'!EE13)</f>
        <v>0.77890066662660107</v>
      </c>
      <c r="AO15" s="45">
        <f>_xlfn.STDEV.S('Model_world regions'!AS13,'Model_world regions'!BK13,'Model_world regions'!CC13,'Model_world regions'!CU13,'Model_world regions'!DM13,'Model_world regions'!EE13)</f>
        <v>0.65204950352011737</v>
      </c>
      <c r="AP15" s="49">
        <f>AVERAGE('Model_world regions'!AT13,'Model_world regions'!BL13,'Model_world regions'!CD13,'Model_world regions'!CV13,'Model_world regions'!DN13,'Model_world regions'!EF13)</f>
        <v>1.5989996148811783</v>
      </c>
      <c r="AQ15" s="54">
        <f>_xlfn.STDEV.S('Model_world regions'!AT13,'Model_world regions'!BL13,'Model_world regions'!CD13,'Model_world regions'!CV13,'Model_world regions'!DN13,'Model_world regions'!EF13)</f>
        <v>1.1155393165637413</v>
      </c>
      <c r="AS15" s="49">
        <f t="shared" si="6"/>
        <v>48955.268783499858</v>
      </c>
      <c r="AT15" s="45">
        <f t="shared" si="7"/>
        <v>754527.77428818983</v>
      </c>
      <c r="AU15" s="49">
        <f t="shared" si="8"/>
        <v>48955.268783499858</v>
      </c>
      <c r="AV15" s="45">
        <f t="shared" si="9"/>
        <v>754527.77428818983</v>
      </c>
    </row>
    <row r="16" spans="1:48" x14ac:dyDescent="0.35">
      <c r="A16" t="str">
        <f>'Data_world regions'!C11</f>
        <v>India</v>
      </c>
      <c r="B16" s="13" t="str">
        <f>'Data_world regions'!D11</f>
        <v>IND</v>
      </c>
      <c r="C16" s="90">
        <f>Template!F30</f>
        <v>0</v>
      </c>
      <c r="D16">
        <f>Template!G30</f>
        <v>0</v>
      </c>
      <c r="E16" s="13">
        <f>Template!H30</f>
        <v>0</v>
      </c>
      <c r="F16">
        <f t="shared" si="0"/>
        <v>0</v>
      </c>
      <c r="G16" s="106">
        <f>Template!I30</f>
        <v>4494.2930257872886</v>
      </c>
      <c r="H16">
        <f>IF(Template!$J$22="no",G16,IF(Template!$J30&gt;0,Template!$J30,G16))</f>
        <v>4494.2930257872886</v>
      </c>
      <c r="I16" s="103">
        <f t="shared" si="1"/>
        <v>0</v>
      </c>
      <c r="J16" s="106">
        <f>Template!L30</f>
        <v>3327.8009417597737</v>
      </c>
      <c r="K16">
        <f>IF(Template!$M$22="no",J16,IF(Template!$M30&gt;0,Template!$M30,J16))</f>
        <v>3327.8009417597737</v>
      </c>
      <c r="L16" s="107">
        <f t="shared" si="2"/>
        <v>0</v>
      </c>
      <c r="Q16" t="str">
        <f t="shared" si="3"/>
        <v>IND</v>
      </c>
      <c r="R16" s="49">
        <f>AVERAGE('Model_world regions'!$Z14,'Model_world regions'!$AV14,'Model_world regions'!$BN14,'Model_world regions'!$CF14,'Model_world regions'!$CX14,'Model_world regions'!$DP14)</f>
        <v>4798.9397521920828</v>
      </c>
      <c r="S16" s="45">
        <f>_xlfn.STDEV.S('Model_world regions'!$Z14,'Model_world regions'!$AV14,'Model_world regions'!$BN14,'Model_world regions'!$CF14,'Model_world regions'!$CX14,'Model_world regions'!$DP14)</f>
        <v>373.47136582828745</v>
      </c>
      <c r="T16" s="49">
        <f>AVERAGE('Model_world regions'!$AA14,'Model_world regions'!$AW14,'Model_world regions'!$BO14,'Model_world regions'!$CG14,'Model_world regions'!$CY14,'Model_world regions'!$DQ14)</f>
        <v>3194.1412208225265</v>
      </c>
      <c r="U16" s="45">
        <f>_xlfn.STDEV.S('Model_world regions'!$AA14,'Model_world regions'!$AW14,'Model_world regions'!$BO14,'Model_world regions'!$CG14,'Model_world regions'!$CY14,'Model_world regions'!$DQ14)</f>
        <v>378.83587287616245</v>
      </c>
      <c r="V16" s="49">
        <f>AVERAGE('Model_world regions'!$AE14,'Model_world regions'!$BA14,'Model_world regions'!$BS14,'Model_world regions'!$CK14,'Model_world regions'!$DC14,'Model_world regions'!$DU14)</f>
        <v>0</v>
      </c>
      <c r="W16" s="45">
        <f>_xlfn.STDEV.S('Model_world regions'!$AE14,'Model_world regions'!$BA14,'Model_world regions'!$BS14,'Model_world regions'!$CK14,'Model_world regions'!$DC14,'Model_world regions'!$DU14)</f>
        <v>0</v>
      </c>
      <c r="X16" s="45">
        <f t="shared" si="4"/>
        <v>0</v>
      </c>
      <c r="Y16" s="49">
        <f>AVERAGE('Model_world regions'!$AG14,'Model_world regions'!$BC14,'Model_world regions'!$BU14,'Model_world regions'!$CM14,'Model_world regions'!$DE14,'Model_world regions'!$DW14)</f>
        <v>0.59429400779796182</v>
      </c>
      <c r="Z16" s="45">
        <f>_xlfn.STDEV.S('Model_world regions'!$AG14,'Model_world regions'!$BC14,'Model_world regions'!$BU14,'Model_world regions'!$CM14,'Model_world regions'!$DE14,'Model_world regions'!$DW14)</f>
        <v>1.4557170762986138</v>
      </c>
      <c r="AA16" s="45">
        <f t="shared" si="5"/>
        <v>2.1191122062273844</v>
      </c>
      <c r="AB16" s="49">
        <f>AVERAGE('Model_world regions'!$AD14,'Model_world regions'!$AZ14,'Model_world regions'!$BR14,'Model_world regions'!$CJ14,'Model_world regions'!$DB14,'Model_world regions'!$DT14)</f>
        <v>0</v>
      </c>
      <c r="AC16" s="45">
        <f>_xlfn.STDEV.S('Model_world regions'!$AD14,'Model_world regions'!$AZ14,'Model_world regions'!$BR14,'Model_world regions'!$CJ14,'Model_world regions'!$DB14,'Model_world regions'!$DT14)</f>
        <v>0</v>
      </c>
      <c r="AD16" s="49">
        <f>AVERAGE('Model_world regions'!$AF14,'Model_world regions'!$BB14,'Model_world regions'!$BT14,'Model_world regions'!$CL14,'Model_world regions'!$DD14,'Model_world regions'!$DV14)</f>
        <v>0.11221196227495682</v>
      </c>
      <c r="AE16" s="45">
        <f>_xlfn.STDEV.S('Model_world regions'!$AF14,'Model_world regions'!$BB14,'Model_world regions'!$BT14,'Model_world regions'!$CL14,'Model_world regions'!$DD14,'Model_world regions'!$DV14)</f>
        <v>0.27486205061007962</v>
      </c>
      <c r="AF16" s="49">
        <f>AVERAGE('Model_world regions'!$AK14,'Model_world regions'!$BG14,'Model_world regions'!$BY14,'Model_world regions'!$CQ14,'Model_world regions'!$DI14,'Model_world regions'!$EA14)</f>
        <v>2666.32146855256</v>
      </c>
      <c r="AG16" s="45">
        <f>_xlfn.STDEV.S('Model_world regions'!$AK14,'Model_world regions'!$BG14,'Model_world regions'!$BY14,'Model_world regions'!$CQ14,'Model_world regions'!$DI14,'Model_world regions'!$EA14)</f>
        <v>232.73504150268181</v>
      </c>
      <c r="AH16" s="49">
        <f>AVERAGE('Model_world regions'!$AL14,'Model_world regions'!$BH14,'Model_world regions'!$BZ14,'Model_world regions'!$CR14,'Model_world regions'!$DJ14,'Model_world regions'!$EB14)</f>
        <v>2381.189437423136</v>
      </c>
      <c r="AI16" s="45">
        <f>_xlfn.STDEV.S('Model_world regions'!$AL14,'Model_world regions'!$BH14,'Model_world regions'!$BZ14,'Model_world regions'!$CR14,'Model_world regions'!$DJ14,'Model_world regions'!$EB14)</f>
        <v>201.93628001710806</v>
      </c>
      <c r="AJ16" s="49">
        <f>AVERAGE('Model_world regions'!$AM14,'Model_world regions'!$BI14,'Model_world regions'!$CA14,'Model_world regions'!$CS14,'Model_world regions'!$DK14,'Model_world regions'!$EC14)</f>
        <v>-527.81975226996656</v>
      </c>
      <c r="AK16" s="45">
        <f>_xlfn.STDEV.S('Model_world regions'!$AM14,'Model_world regions'!$BI14,'Model_world regions'!$CA14,'Model_world regions'!$CS14,'Model_world regions'!$DK14,'Model_world regions'!$EC14)</f>
        <v>223.48990443065054</v>
      </c>
      <c r="AL16" s="49">
        <f>AVERAGE('Model_world regions'!$AN14,'Model_world regions'!$BJ14,'Model_world regions'!$CB14,'Model_world regions'!$CT14,'Model_world regions'!$DL14,'Model_world regions'!$ED14)</f>
        <v>-718.54399802499665</v>
      </c>
      <c r="AM16" s="45">
        <f>_xlfn.STDEV.S('Model_world regions'!$AN14,'Model_world regions'!$BJ14,'Model_world regions'!$CB14,'Model_world regions'!$CT14,'Model_world regions'!$DL14,'Model_world regions'!$ED14)</f>
        <v>243.01668837129992</v>
      </c>
      <c r="AN16" s="98">
        <f>AVERAGE('Model_world regions'!AS14,'Model_world regions'!BK14,'Model_world regions'!CC14,'Model_world regions'!CU14,'Model_world regions'!DM14,'Model_world regions'!EE14)</f>
        <v>-2.2541165205452378</v>
      </c>
      <c r="AO16" s="45">
        <f>_xlfn.STDEV.S('Model_world regions'!AS14,'Model_world regions'!BK14,'Model_world regions'!CC14,'Model_world regions'!CU14,'Model_world regions'!DM14,'Model_world regions'!EE14)</f>
        <v>2.1395736363621336</v>
      </c>
      <c r="AP16" s="49">
        <f>AVERAGE('Model_world regions'!AT14,'Model_world regions'!BL14,'Model_world regions'!CD14,'Model_world regions'!CV14,'Model_world regions'!DN14,'Model_world regions'!EF14)</f>
        <v>-6.0522146743499627</v>
      </c>
      <c r="AQ16" s="54">
        <f>_xlfn.STDEV.S('Model_world regions'!AT14,'Model_world regions'!BL14,'Model_world regions'!CD14,'Model_world regions'!CV14,'Model_world regions'!DN14,'Model_world regions'!EF14)</f>
        <v>5.5189285114384656</v>
      </c>
      <c r="AS16" s="49">
        <f t="shared" si="6"/>
        <v>0</v>
      </c>
      <c r="AT16" s="45">
        <f t="shared" si="7"/>
        <v>0</v>
      </c>
      <c r="AU16" s="49">
        <f t="shared" si="8"/>
        <v>1898.2589875952938</v>
      </c>
      <c r="AV16" s="45">
        <f t="shared" si="9"/>
        <v>6768.7436494590547</v>
      </c>
    </row>
    <row r="17" spans="1:48" x14ac:dyDescent="0.35">
      <c r="A17" t="str">
        <f>'Data_world regions'!C12</f>
        <v>Brazil</v>
      </c>
      <c r="B17" s="13" t="str">
        <f>'Data_world regions'!D12</f>
        <v>BRA</v>
      </c>
      <c r="C17" s="90">
        <f>Template!F31</f>
        <v>0</v>
      </c>
      <c r="D17">
        <f>Template!G31</f>
        <v>0</v>
      </c>
      <c r="E17" s="13">
        <f>Template!H31</f>
        <v>158.31</v>
      </c>
      <c r="F17">
        <f t="shared" si="0"/>
        <v>158.31</v>
      </c>
      <c r="G17" s="106">
        <f>Template!I31</f>
        <v>390.90315271109517</v>
      </c>
      <c r="H17">
        <f>IF(Template!$J$22="no",G17,IF(Template!$J31&gt;0,Template!$J31,G17))</f>
        <v>390.90315271109517</v>
      </c>
      <c r="I17" s="103">
        <f t="shared" si="1"/>
        <v>0</v>
      </c>
      <c r="J17" s="106">
        <f>Template!L31</f>
        <v>250.39169325157403</v>
      </c>
      <c r="K17">
        <f>IF(Template!$M$22="no",J17,IF(Template!$M31&gt;0,Template!$M31,J17))</f>
        <v>250.39169325157403</v>
      </c>
      <c r="L17" s="107">
        <f t="shared" si="2"/>
        <v>0</v>
      </c>
      <c r="Q17" t="str">
        <f t="shared" si="3"/>
        <v>BRA</v>
      </c>
      <c r="R17" s="49">
        <f>AVERAGE('Model_world regions'!$Z15,'Model_world regions'!$AV15,'Model_world regions'!$BN15,'Model_world regions'!$CF15,'Model_world regions'!$CX15,'Model_world regions'!$DP15)</f>
        <v>1959.7821035228105</v>
      </c>
      <c r="S17" s="45">
        <f>_xlfn.STDEV.S('Model_world regions'!$Z15,'Model_world regions'!$AV15,'Model_world regions'!$BN15,'Model_world regions'!$CF15,'Model_world regions'!$CX15,'Model_world regions'!$DP15)</f>
        <v>150.08063524326315</v>
      </c>
      <c r="T17" s="49">
        <f>AVERAGE('Model_world regions'!$AA15,'Model_world regions'!$AW15,'Model_world regions'!$BO15,'Model_world regions'!$CG15,'Model_world regions'!$CY15,'Model_world regions'!$DQ15)</f>
        <v>535.80839758635693</v>
      </c>
      <c r="U17" s="45">
        <f>_xlfn.STDEV.S('Model_world regions'!$AA15,'Model_world regions'!$AW15,'Model_world regions'!$BO15,'Model_world regions'!$CG15,'Model_world regions'!$CY15,'Model_world regions'!$DQ15)</f>
        <v>76.125756642808255</v>
      </c>
      <c r="V17" s="49">
        <f>AVERAGE('Model_world regions'!$AE15,'Model_world regions'!$BA15,'Model_world regions'!$BS15,'Model_world regions'!$CK15,'Model_world regions'!$DC15,'Model_world regions'!$DU15)</f>
        <v>3.0984849641400487</v>
      </c>
      <c r="W17" s="45">
        <f>_xlfn.STDEV.S('Model_world regions'!$AE15,'Model_world regions'!$BA15,'Model_world regions'!$BS15,'Model_world regions'!$CK15,'Model_world regions'!$DC15,'Model_world regions'!$DU15)</f>
        <v>7.4490511343538071</v>
      </c>
      <c r="X17" s="45">
        <f t="shared" si="4"/>
        <v>55.488362802217736</v>
      </c>
      <c r="Y17" s="49">
        <f>AVERAGE('Model_world regions'!$AG15,'Model_world regions'!$BC15,'Model_world regions'!$BU15,'Model_world regions'!$CM15,'Model_world regions'!$DE15,'Model_world regions'!$DW15)</f>
        <v>57.072072173764575</v>
      </c>
      <c r="Z17" s="45">
        <f>_xlfn.STDEV.S('Model_world regions'!$AG15,'Model_world regions'!$BC15,'Model_world regions'!$BU15,'Model_world regions'!$CM15,'Model_world regions'!$DE15,'Model_world regions'!$DW15)</f>
        <v>40.404242786250613</v>
      </c>
      <c r="AA17" s="45">
        <f t="shared" si="5"/>
        <v>1632.5028351302847</v>
      </c>
      <c r="AB17" s="49">
        <f>AVERAGE('Model_world regions'!$AD15,'Model_world regions'!$AZ15,'Model_world regions'!$BR15,'Model_world regions'!$CJ15,'Model_world regions'!$DB15,'Model_world regions'!$DT15)</f>
        <v>8.9584652049752786E-2</v>
      </c>
      <c r="AC17" s="45">
        <f>_xlfn.STDEV.S('Model_world regions'!$AD15,'Model_world regions'!$AZ15,'Model_world regions'!$BR15,'Model_world regions'!$CJ15,'Model_world regions'!$DB15,'Model_world regions'!$DT15)</f>
        <v>0.21907045610234196</v>
      </c>
      <c r="AD17" s="49">
        <f>AVERAGE('Model_world regions'!$AF15,'Model_world regions'!$BB15,'Model_world regions'!$BT15,'Model_world regions'!$CL15,'Model_world regions'!$DD15,'Model_world regions'!$DV15)</f>
        <v>3.2478952624986257</v>
      </c>
      <c r="AE17" s="45">
        <f>_xlfn.STDEV.S('Model_world regions'!$AF15,'Model_world regions'!$BB15,'Model_world regions'!$BT15,'Model_world regions'!$CL15,'Model_world regions'!$DD15,'Model_world regions'!$DV15)</f>
        <v>3.2531771143104544</v>
      </c>
      <c r="AF17" s="49">
        <f>AVERAGE('Model_world regions'!$AK15,'Model_world regions'!$BG15,'Model_world regions'!$BY15,'Model_world regions'!$CQ15,'Model_world regions'!$DI15,'Model_world regions'!$EA15)</f>
        <v>496.13136738413533</v>
      </c>
      <c r="AG17" s="45">
        <f>_xlfn.STDEV.S('Model_world regions'!$AK15,'Model_world regions'!$BG15,'Model_world regions'!$BY15,'Model_world regions'!$CQ15,'Model_world regions'!$DI15,'Model_world regions'!$EA15)</f>
        <v>67.395990737963416</v>
      </c>
      <c r="AH17" s="49">
        <f>AVERAGE('Model_world regions'!$AL15,'Model_world regions'!$BH15,'Model_world regions'!$BZ15,'Model_world regions'!$CR15,'Model_world regions'!$DJ15,'Model_world regions'!$EB15)</f>
        <v>474.56648301762863</v>
      </c>
      <c r="AI17" s="45">
        <f>_xlfn.STDEV.S('Model_world regions'!$AL15,'Model_world regions'!$BH15,'Model_world regions'!$BZ15,'Model_world regions'!$CR15,'Model_world regions'!$DJ15,'Model_world regions'!$EB15)</f>
        <v>64.608466291656853</v>
      </c>
      <c r="AJ17" s="49">
        <f>AVERAGE('Model_world regions'!$AM15,'Model_world regions'!$BI15,'Model_world regions'!$CA15,'Model_world regions'!$CS15,'Model_world regions'!$DK15,'Model_world regions'!$EC15)</f>
        <v>-22.542266960119395</v>
      </c>
      <c r="AK17" s="45">
        <f>_xlfn.STDEV.S('Model_world regions'!$AM15,'Model_world regions'!$BI15,'Model_world regions'!$CA15,'Model_world regions'!$CS15,'Model_world regions'!$DK15,'Model_world regions'!$EC15)</f>
        <v>21.814608233184995</v>
      </c>
      <c r="AL17" s="49">
        <f>AVERAGE('Model_world regions'!$AN15,'Model_world regions'!$BJ15,'Model_world regions'!$CB15,'Model_world regions'!$CT15,'Model_world regions'!$DL15,'Model_world regions'!$ED15)</f>
        <v>66.397269227888472</v>
      </c>
      <c r="AM17" s="45">
        <f>_xlfn.STDEV.S('Model_world regions'!$AN15,'Model_world regions'!$BJ15,'Model_world regions'!$CB15,'Model_world regions'!$CT15,'Model_world regions'!$DL15,'Model_world regions'!$ED15)</f>
        <v>63.382333372578771</v>
      </c>
      <c r="AN17" s="98">
        <f>AVERAGE('Model_world regions'!AS15,'Model_world regions'!BK15,'Model_world regions'!CC15,'Model_world regions'!CU15,'Model_world regions'!DM15,'Model_world regions'!EE15)</f>
        <v>6.0369052327975126E-3</v>
      </c>
      <c r="AO17" s="45">
        <f>_xlfn.STDEV.S('Model_world regions'!AS15,'Model_world regions'!BK15,'Model_world regions'!CC15,'Model_world regions'!CU15,'Model_world regions'!DM15,'Model_world regions'!EE15)</f>
        <v>0.23751674097690928</v>
      </c>
      <c r="AP17" s="49">
        <f>AVERAGE('Model_world regions'!AT15,'Model_world regions'!BL15,'Model_world regions'!CD15,'Model_world regions'!CV15,'Model_world regions'!DN15,'Model_world regions'!EF15)</f>
        <v>1.1298716340415975</v>
      </c>
      <c r="AQ17" s="54">
        <f>_xlfn.STDEV.S('Model_world regions'!AT15,'Model_world regions'!BL15,'Model_world regions'!CD15,'Model_world regions'!CV15,'Model_world regions'!DN15,'Model_world regions'!EF15)</f>
        <v>1.4106858446335249</v>
      </c>
      <c r="AS17" s="49">
        <f t="shared" si="6"/>
        <v>1660.1942635813002</v>
      </c>
      <c r="AT17" s="45">
        <f t="shared" si="7"/>
        <v>29731.130757746698</v>
      </c>
      <c r="AU17" s="49">
        <f t="shared" si="8"/>
        <v>30579.695538357708</v>
      </c>
      <c r="AV17" s="45">
        <f t="shared" si="9"/>
        <v>874708.72814634244</v>
      </c>
    </row>
    <row r="18" spans="1:48" x14ac:dyDescent="0.35">
      <c r="A18" t="str">
        <f>'Data_world regions'!C13</f>
        <v>EU29</v>
      </c>
      <c r="B18" s="13" t="str">
        <f>'Data_world regions'!D13</f>
        <v>EU</v>
      </c>
      <c r="C18" s="90">
        <f>Template!F32</f>
        <v>0</v>
      </c>
      <c r="D18">
        <f>Template!G32</f>
        <v>0</v>
      </c>
      <c r="E18" s="13">
        <f>Template!H32</f>
        <v>333.1</v>
      </c>
      <c r="F18">
        <f t="shared" si="0"/>
        <v>333.1</v>
      </c>
      <c r="G18" s="106">
        <f>Template!I32</f>
        <v>1742.4565014934249</v>
      </c>
      <c r="H18">
        <f>IF(Template!$J$22="no",G18,IF(Template!$J32&gt;0,Template!$J32,G18))</f>
        <v>1742.4565014934249</v>
      </c>
      <c r="I18" s="103">
        <f t="shared" si="1"/>
        <v>0</v>
      </c>
      <c r="J18" s="106">
        <f>Template!L32</f>
        <v>1742.4565014934249</v>
      </c>
      <c r="K18">
        <f>IF(Template!$M$22="no",J18,IF(Template!$M32&gt;0,Template!$M32,J18))</f>
        <v>1742.4565014934249</v>
      </c>
      <c r="L18" s="107">
        <f t="shared" si="2"/>
        <v>0</v>
      </c>
      <c r="Q18" t="str">
        <f t="shared" si="3"/>
        <v>EU</v>
      </c>
      <c r="R18" s="49">
        <f>AVERAGE('Model_world regions'!$Z16,'Model_world regions'!$AV16,'Model_world regions'!$BN16,'Model_world regions'!$CF16,'Model_world regions'!$CX16,'Model_world regions'!$DP16)</f>
        <v>18112.942012749303</v>
      </c>
      <c r="S18" s="45">
        <f>_xlfn.STDEV.S('Model_world regions'!$Z16,'Model_world regions'!$AV16,'Model_world regions'!$BN16,'Model_world regions'!$CF16,'Model_world regions'!$CX16,'Model_world regions'!$DP16)</f>
        <v>650.05926966846016</v>
      </c>
      <c r="T18" s="49">
        <f>AVERAGE('Model_world regions'!$AA16,'Model_world regions'!$AW16,'Model_world regions'!$BO16,'Model_world regions'!$CG16,'Model_world regions'!$CY16,'Model_world regions'!$DQ16)</f>
        <v>2853.4543326874773</v>
      </c>
      <c r="U18" s="45">
        <f>_xlfn.STDEV.S('Model_world regions'!$AA16,'Model_world regions'!$AW16,'Model_world regions'!$BO16,'Model_world regions'!$CG16,'Model_world regions'!$CY16,'Model_world regions'!$DQ16)</f>
        <v>317.02800502372531</v>
      </c>
      <c r="V18" s="49">
        <f>AVERAGE('Model_world regions'!$AE16,'Model_world regions'!$BA16,'Model_world regions'!$BS16,'Model_world regions'!$CK16,'Model_world regions'!$DC16,'Model_world regions'!$DU16)</f>
        <v>51.226664343575784</v>
      </c>
      <c r="W18" s="45">
        <f>_xlfn.STDEV.S('Model_world regions'!$AE16,'Model_world regions'!$BA16,'Model_world regions'!$BS16,'Model_world regions'!$CK16,'Model_world regions'!$DC16,'Model_world regions'!$DU16)</f>
        <v>29.091936017045594</v>
      </c>
      <c r="X18" s="45">
        <f t="shared" si="4"/>
        <v>846.34074121987464</v>
      </c>
      <c r="Y18" s="49">
        <f>AVERAGE('Model_world regions'!$AG16,'Model_world regions'!$BC16,'Model_world regions'!$BU16,'Model_world regions'!$CM16,'Model_world regions'!$DE16,'Model_world regions'!$DW16)</f>
        <v>51.226664343575784</v>
      </c>
      <c r="Z18" s="45">
        <f>_xlfn.STDEV.S('Model_world regions'!$AG16,'Model_world regions'!$BC16,'Model_world regions'!$BU16,'Model_world regions'!$CM16,'Model_world regions'!$DE16,'Model_world regions'!$DW16)</f>
        <v>29.091936017045594</v>
      </c>
      <c r="AA18" s="45">
        <f t="shared" si="5"/>
        <v>846.34074121987464</v>
      </c>
      <c r="AB18" s="49">
        <f>AVERAGE('Model_world regions'!$AD16,'Model_world regions'!$AZ16,'Model_world regions'!$BR16,'Model_world regions'!$CJ16,'Model_world regions'!$DB16,'Model_world regions'!$DT16)</f>
        <v>15.829870100976294</v>
      </c>
      <c r="AC18" s="45">
        <f>_xlfn.STDEV.S('Model_world regions'!$AD16,'Model_world regions'!$AZ16,'Model_world regions'!$BR16,'Model_world regions'!$CJ16,'Model_world regions'!$DB16,'Model_world regions'!$DT16)</f>
        <v>13.228088275083834</v>
      </c>
      <c r="AD18" s="49">
        <f>AVERAGE('Model_world regions'!$AF16,'Model_world regions'!$BB16,'Model_world regions'!$BT16,'Model_world regions'!$CL16,'Model_world regions'!$DD16,'Model_world regions'!$DV16)</f>
        <v>15.829870100976294</v>
      </c>
      <c r="AE18" s="45">
        <f>_xlfn.STDEV.S('Model_world regions'!$AF16,'Model_world regions'!$BB16,'Model_world regions'!$BT16,'Model_world regions'!$CL16,'Model_world regions'!$DD16,'Model_world regions'!$DV16)</f>
        <v>13.228088275083834</v>
      </c>
      <c r="AF18" s="49">
        <f>AVERAGE('Model_world regions'!$AK16,'Model_world regions'!$BG16,'Model_world regions'!$BY16,'Model_world regions'!$CQ16,'Model_world regions'!$DI16,'Model_world regions'!$EA16)</f>
        <v>2606.8662160242829</v>
      </c>
      <c r="AG18" s="45">
        <f>_xlfn.STDEV.S('Model_world regions'!$AK16,'Model_world regions'!$BG16,'Model_world regions'!$BY16,'Model_world regions'!$CQ16,'Model_world regions'!$DI16,'Model_world regions'!$EA16)</f>
        <v>215.23759863374511</v>
      </c>
      <c r="AH18" s="49">
        <f>AVERAGE('Model_world regions'!$AL16,'Model_world regions'!$BH16,'Model_world regions'!$BZ16,'Model_world regions'!$CR16,'Model_world regions'!$DJ16,'Model_world regions'!$EB16)</f>
        <v>2474.3969991472145</v>
      </c>
      <c r="AI18" s="45">
        <f>_xlfn.STDEV.S('Model_world regions'!$AL16,'Model_world regions'!$BH16,'Model_world regions'!$BZ16,'Model_world regions'!$CR16,'Model_world regions'!$DJ16,'Model_world regions'!$EB16)</f>
        <v>190.15615220013751</v>
      </c>
      <c r="AJ18" s="49">
        <f>AVERAGE('Model_world regions'!$AM16,'Model_world regions'!$BI16,'Model_world regions'!$CA16,'Model_world regions'!$CS16,'Model_world regions'!$DK16,'Model_world regions'!$EC16)</f>
        <v>531.30971453085806</v>
      </c>
      <c r="AK18" s="45">
        <f>_xlfn.STDEV.S('Model_world regions'!$AM16,'Model_world regions'!$BI16,'Model_world regions'!$CA16,'Model_world regions'!$CS16,'Model_world regions'!$DK16,'Model_world regions'!$EC16)</f>
        <v>215.23759863374514</v>
      </c>
      <c r="AL18" s="49">
        <f>AVERAGE('Model_world regions'!$AN16,'Model_world regions'!$BJ16,'Model_world regions'!$CB16,'Model_world regions'!$CT16,'Model_world regions'!$DL16,'Model_world regions'!$ED16)</f>
        <v>398.84049765378973</v>
      </c>
      <c r="AM18" s="45">
        <f>_xlfn.STDEV.S('Model_world regions'!$AN16,'Model_world regions'!$BJ16,'Model_world regions'!$CB16,'Model_world regions'!$CT16,'Model_world regions'!$DL16,'Model_world regions'!$ED16)</f>
        <v>190.1561522001376</v>
      </c>
      <c r="AN18" s="98">
        <f>AVERAGE('Model_world regions'!AS16,'Model_world regions'!BK16,'Model_world regions'!CC16,'Model_world regions'!CU16,'Model_world regions'!DM16,'Model_world regions'!EE16)</f>
        <v>3.8447655137861037</v>
      </c>
      <c r="AO18" s="45">
        <f>_xlfn.STDEV.S('Model_world regions'!AS16,'Model_world regions'!BK16,'Model_world regions'!CC16,'Model_world regions'!CU16,'Model_world regions'!DM16,'Model_world regions'!EE16)</f>
        <v>3.4829721306106634</v>
      </c>
      <c r="AP18" s="49">
        <f>AVERAGE('Model_world regions'!AT16,'Model_world regions'!BL16,'Model_world regions'!CD16,'Model_world regions'!CV16,'Model_world regions'!DN16,'Model_world regions'!EF16)</f>
        <v>7.3481361385412356</v>
      </c>
      <c r="AQ18" s="54">
        <f>_xlfn.STDEV.S('Model_world regions'!AT16,'Model_world regions'!BL16,'Model_world regions'!CD16,'Model_world regions'!CV16,'Model_world regions'!DN16,'Model_world regions'!EF16)</f>
        <v>5.8519815194151601</v>
      </c>
      <c r="AS18" s="49">
        <f t="shared" si="6"/>
        <v>146172.94732030341</v>
      </c>
      <c r="AT18" s="45">
        <f t="shared" si="7"/>
        <v>2414994.6549637825</v>
      </c>
      <c r="AU18" s="49">
        <f t="shared" si="8"/>
        <v>146172.94732030341</v>
      </c>
      <c r="AV18" s="45">
        <f t="shared" si="9"/>
        <v>2414994.6549637825</v>
      </c>
    </row>
    <row r="19" spans="1:48" x14ac:dyDescent="0.35">
      <c r="A19" t="str">
        <f>'Data_world regions'!C14</f>
        <v>Middle East</v>
      </c>
      <c r="B19" s="13" t="str">
        <f>'Data_world regions'!D14</f>
        <v>MEA</v>
      </c>
      <c r="C19" s="90">
        <f>Template!F33</f>
        <v>0</v>
      </c>
      <c r="D19">
        <f>Template!G33</f>
        <v>0</v>
      </c>
      <c r="E19" s="13">
        <f>Template!H33</f>
        <v>0</v>
      </c>
      <c r="F19">
        <f t="shared" si="0"/>
        <v>0</v>
      </c>
      <c r="G19" s="106">
        <f>Template!I33</f>
        <v>3411.9461147757734</v>
      </c>
      <c r="H19">
        <f>IF(Template!$J$22="no",G19,IF(Template!$J33&gt;0,Template!$J33,G19))</f>
        <v>3411.9461147757734</v>
      </c>
      <c r="I19" s="103">
        <f t="shared" si="1"/>
        <v>0</v>
      </c>
      <c r="J19" s="106">
        <f>Template!L33</f>
        <v>2957.0597729853939</v>
      </c>
      <c r="K19">
        <f>IF(Template!$M$22="no",J19,IF(Template!$M33&gt;0,Template!$M33,J19))</f>
        <v>2957.0597729853939</v>
      </c>
      <c r="L19" s="107">
        <f t="shared" si="2"/>
        <v>0</v>
      </c>
      <c r="Q19" t="str">
        <f t="shared" si="3"/>
        <v>MEA</v>
      </c>
      <c r="R19" s="49">
        <f>AVERAGE('Model_world regions'!$Z17,'Model_world regions'!$AV17,'Model_world regions'!$BN17,'Model_world regions'!$CF17,'Model_world regions'!$CX17,'Model_world regions'!$DP17)</f>
        <v>4438.0359006893295</v>
      </c>
      <c r="S19" s="45">
        <f>_xlfn.STDEV.S('Model_world regions'!$Z17,'Model_world regions'!$AV17,'Model_world regions'!$BN17,'Model_world regions'!$CF17,'Model_world regions'!$CX17,'Model_world regions'!$DP17)</f>
        <v>441.46906232094773</v>
      </c>
      <c r="T19" s="49">
        <f>AVERAGE('Model_world regions'!$AA17,'Model_world regions'!$AW17,'Model_world regions'!$BO17,'Model_world regions'!$CG17,'Model_world regions'!$CY17,'Model_world regions'!$DQ17)</f>
        <v>3224.0376349127778</v>
      </c>
      <c r="U19" s="45">
        <f>_xlfn.STDEV.S('Model_world regions'!$AA17,'Model_world regions'!$AW17,'Model_world regions'!$BO17,'Model_world regions'!$CG17,'Model_world regions'!$CY17,'Model_world regions'!$DQ17)</f>
        <v>176.71799567984274</v>
      </c>
      <c r="V19" s="49">
        <f>AVERAGE('Model_world regions'!$AE17,'Model_world regions'!$BA17,'Model_world regions'!$BS17,'Model_world regions'!$CK17,'Model_world regions'!$DC17,'Model_world regions'!$DU17)</f>
        <v>0</v>
      </c>
      <c r="W19" s="45">
        <f>_xlfn.STDEV.S('Model_world regions'!$AE17,'Model_world regions'!$BA17,'Model_world regions'!$BS17,'Model_world regions'!$CK17,'Model_world regions'!$DC17,'Model_world regions'!$DU17)</f>
        <v>0</v>
      </c>
      <c r="X19" s="45">
        <f t="shared" si="4"/>
        <v>0</v>
      </c>
      <c r="Y19" s="49">
        <f>AVERAGE('Model_world regions'!$AG17,'Model_world regions'!$BC17,'Model_world regions'!$BU17,'Model_world regions'!$CM17,'Model_world regions'!$DE17,'Model_world regions'!$DW17)</f>
        <v>5.7108529424680938</v>
      </c>
      <c r="Z19" s="45">
        <f>_xlfn.STDEV.S('Model_world regions'!$AG17,'Model_world regions'!$BC17,'Model_world regions'!$BU17,'Model_world regions'!$CM17,'Model_world regions'!$DE17,'Model_world regions'!$DW17)</f>
        <v>4.8223389013197639</v>
      </c>
      <c r="AA19" s="45">
        <f t="shared" si="5"/>
        <v>23.25495247918191</v>
      </c>
      <c r="AB19" s="49">
        <f>AVERAGE('Model_world regions'!$AD17,'Model_world regions'!$AZ17,'Model_world regions'!$BR17,'Model_world regions'!$CJ17,'Model_world regions'!$DB17,'Model_world regions'!$DT17)</f>
        <v>0</v>
      </c>
      <c r="AC19" s="45">
        <f>_xlfn.STDEV.S('Model_world regions'!$AD17,'Model_world regions'!$AZ17,'Model_world regions'!$BR17,'Model_world regions'!$CJ17,'Model_world regions'!$DB17,'Model_world regions'!$DT17)</f>
        <v>0</v>
      </c>
      <c r="AD19" s="49">
        <f>AVERAGE('Model_world regions'!$AF17,'Model_world regions'!$BB17,'Model_world regions'!$BT17,'Model_world regions'!$CL17,'Model_world regions'!$DD17,'Model_world regions'!$DV17)</f>
        <v>0.74076467886233488</v>
      </c>
      <c r="AE19" s="45">
        <f>_xlfn.STDEV.S('Model_world regions'!$AF17,'Model_world regions'!$BB17,'Model_world regions'!$BT17,'Model_world regions'!$CL17,'Model_world regions'!$DD17,'Model_world regions'!$DV17)</f>
        <v>0.70184397769083606</v>
      </c>
      <c r="AF19" s="49">
        <f>AVERAGE('Model_world regions'!$AK17,'Model_world regions'!$BG17,'Model_world regions'!$BY17,'Model_world regions'!$CQ17,'Model_world regions'!$DI17,'Model_world regions'!$EA17)</f>
        <v>2941.9272964384122</v>
      </c>
      <c r="AG19" s="45">
        <f>_xlfn.STDEV.S('Model_world regions'!$AK17,'Model_world regions'!$BG17,'Model_world regions'!$BY17,'Model_world regions'!$CQ17,'Model_world regions'!$DI17,'Model_world regions'!$EA17)</f>
        <v>146.85139080829779</v>
      </c>
      <c r="AH19" s="49">
        <f>AVERAGE('Model_world regions'!$AL17,'Model_world regions'!$BH17,'Model_world regions'!$BZ17,'Model_world regions'!$CR17,'Model_world regions'!$DJ17,'Model_world regions'!$EB17)</f>
        <v>2788.1746118878095</v>
      </c>
      <c r="AI19" s="45">
        <f>_xlfn.STDEV.S('Model_world regions'!$AL17,'Model_world regions'!$BH17,'Model_world regions'!$BZ17,'Model_world regions'!$CR17,'Model_world regions'!$DJ17,'Model_world regions'!$EB17)</f>
        <v>145.97755647531679</v>
      </c>
      <c r="AJ19" s="49">
        <f>AVERAGE('Model_world regions'!$AM17,'Model_world regions'!$BI17,'Model_world regions'!$CA17,'Model_world regions'!$CS17,'Model_world regions'!$DK17,'Model_world regions'!$EC17)</f>
        <v>-282.11033847436579</v>
      </c>
      <c r="AK19" s="45">
        <f>_xlfn.STDEV.S('Model_world regions'!$AM17,'Model_world regions'!$BI17,'Model_world regions'!$CA17,'Model_world regions'!$CS17,'Model_world regions'!$DK17,'Model_world regions'!$EC17)</f>
        <v>107.43653522565464</v>
      </c>
      <c r="AL19" s="49">
        <f>AVERAGE('Model_world regions'!$AN17,'Model_world regions'!$BJ17,'Model_world regions'!$CB17,'Model_world regions'!$CT17,'Model_world regions'!$DL17,'Model_world regions'!$ED17)</f>
        <v>-168.88516109758461</v>
      </c>
      <c r="AM19" s="45">
        <f>_xlfn.STDEV.S('Model_world regions'!$AN17,'Model_world regions'!$BJ17,'Model_world regions'!$CB17,'Model_world regions'!$CT17,'Model_world regions'!$DL17,'Model_world regions'!$ED17)</f>
        <v>145.97755647531679</v>
      </c>
      <c r="AN19" s="98">
        <f>AVERAGE('Model_world regions'!AS17,'Model_world regions'!BK17,'Model_world regions'!CC17,'Model_world regions'!CU17,'Model_world regions'!DM17,'Model_world regions'!EE17)</f>
        <v>-1.196463080663031</v>
      </c>
      <c r="AO19" s="45">
        <f>_xlfn.STDEV.S('Model_world regions'!AS17,'Model_world regions'!BK17,'Model_world regions'!CC17,'Model_world regions'!CU17,'Model_world regions'!DM17,'Model_world regions'!EE17)</f>
        <v>1.1566168491684266</v>
      </c>
      <c r="AP19" s="49">
        <f>AVERAGE('Model_world regions'!AT17,'Model_world regions'!BL17,'Model_world regions'!CD17,'Model_world regions'!CV17,'Model_world regions'!DN17,'Model_world regions'!EF17)</f>
        <v>-0.2152605863680713</v>
      </c>
      <c r="AQ19" s="54">
        <f>_xlfn.STDEV.S('Model_world regions'!AT17,'Model_world regions'!BL17,'Model_world regions'!CD17,'Model_world regions'!CV17,'Model_world regions'!DN17,'Model_world regions'!EF17)</f>
        <v>1.938797538891305</v>
      </c>
      <c r="AS19" s="49">
        <f t="shared" si="6"/>
        <v>0</v>
      </c>
      <c r="AT19" s="45">
        <f t="shared" si="7"/>
        <v>0</v>
      </c>
      <c r="AU19" s="49">
        <f t="shared" si="8"/>
        <v>18412.00481396951</v>
      </c>
      <c r="AV19" s="45">
        <f t="shared" si="9"/>
        <v>74974.841990990681</v>
      </c>
    </row>
    <row r="20" spans="1:48" x14ac:dyDescent="0.35">
      <c r="A20" t="str">
        <f>'Data_world regions'!C15</f>
        <v>Other Asia</v>
      </c>
      <c r="B20" s="13" t="str">
        <f>'Data_world regions'!D15</f>
        <v>OAS</v>
      </c>
      <c r="C20" s="90">
        <f>Template!F34</f>
        <v>0</v>
      </c>
      <c r="D20">
        <f>Template!G34</f>
        <v>0</v>
      </c>
      <c r="E20" s="13">
        <f>Template!H34</f>
        <v>0</v>
      </c>
      <c r="F20">
        <f t="shared" si="0"/>
        <v>0</v>
      </c>
      <c r="G20" s="106">
        <f>Template!I34</f>
        <v>3595.871812837343</v>
      </c>
      <c r="H20">
        <f>IF(Template!$J$22="no",G20,IF(Template!$J34&gt;0,Template!$J34,G20))</f>
        <v>3595.871812837343</v>
      </c>
      <c r="I20" s="103">
        <f t="shared" si="1"/>
        <v>0</v>
      </c>
      <c r="J20" s="106">
        <f>Template!L34</f>
        <v>2569.9514771653135</v>
      </c>
      <c r="K20">
        <f>IF(Template!$M$22="no",J20,IF(Template!$M34&gt;0,Template!$M34,J20))</f>
        <v>2569.9514771653135</v>
      </c>
      <c r="L20" s="107">
        <f t="shared" si="2"/>
        <v>0</v>
      </c>
      <c r="Q20" t="str">
        <f t="shared" si="3"/>
        <v>OAS</v>
      </c>
      <c r="R20" s="49">
        <f>AVERAGE('Model_world regions'!$Z18,'Model_world regions'!$AV18,'Model_world regions'!$BN18,'Model_world regions'!$CF18,'Model_world regions'!$CX18,'Model_world regions'!$DP18)</f>
        <v>6977.8519308757068</v>
      </c>
      <c r="S20" s="45">
        <f>_xlfn.STDEV.S('Model_world regions'!$Z18,'Model_world regions'!$AV18,'Model_world regions'!$BN18,'Model_world regions'!$CF18,'Model_world regions'!$CX18,'Model_world regions'!$DP18)</f>
        <v>571.97996504354853</v>
      </c>
      <c r="T20" s="49">
        <f>AVERAGE('Model_world regions'!$AA18,'Model_world regions'!$AW18,'Model_world regions'!$BO18,'Model_world regions'!$CG18,'Model_world regions'!$CY18,'Model_world regions'!$DQ18)</f>
        <v>3272.3586671235257</v>
      </c>
      <c r="U20" s="45">
        <f>_xlfn.STDEV.S('Model_world regions'!$AA18,'Model_world regions'!$AW18,'Model_world regions'!$BO18,'Model_world regions'!$CG18,'Model_world regions'!$CY18,'Model_world regions'!$DQ18)</f>
        <v>238.54689998434722</v>
      </c>
      <c r="V20" s="49">
        <f>AVERAGE('Model_world regions'!$AE18,'Model_world regions'!$BA18,'Model_world regions'!$BS18,'Model_world regions'!$CK18,'Model_world regions'!$DC18,'Model_world regions'!$DU18)</f>
        <v>1.0608134053972859E-2</v>
      </c>
      <c r="W20" s="45">
        <f>_xlfn.STDEV.S('Model_world regions'!$AE18,'Model_world regions'!$BA18,'Model_world regions'!$BS18,'Model_world regions'!$CK18,'Model_world regions'!$DC18,'Model_world regions'!$DU18)</f>
        <v>2.598451555527545E-2</v>
      </c>
      <c r="X20" s="45">
        <f t="shared" si="4"/>
        <v>6.7519504864235183E-4</v>
      </c>
      <c r="Y20" s="49">
        <f>AVERAGE('Model_world regions'!$AG18,'Model_world regions'!$BC18,'Model_world regions'!$BU18,'Model_world regions'!$CM18,'Model_world regions'!$DE18,'Model_world regions'!$DW18)</f>
        <v>16.211592312027665</v>
      </c>
      <c r="Z20" s="45">
        <f>_xlfn.STDEV.S('Model_world regions'!$AG18,'Model_world regions'!$BC18,'Model_world regions'!$BU18,'Model_world regions'!$CM18,'Model_world regions'!$DE18,'Model_world regions'!$DW18)</f>
        <v>7.7403356305643056</v>
      </c>
      <c r="AA20" s="45">
        <f t="shared" si="5"/>
        <v>59.912795673783329</v>
      </c>
      <c r="AB20" s="49">
        <f>AVERAGE('Model_world regions'!$AD18,'Model_world regions'!$AZ18,'Model_world regions'!$BR18,'Model_world regions'!$CJ18,'Model_world regions'!$DB18,'Model_world regions'!$DT18)</f>
        <v>1.8517799731076925E-4</v>
      </c>
      <c r="AC20" s="45">
        <f>_xlfn.STDEV.S('Model_world regions'!$AD18,'Model_world regions'!$AZ18,'Model_world regions'!$BR18,'Model_world regions'!$CJ18,'Model_world regions'!$DB18,'Model_world regions'!$DT18)</f>
        <v>4.5359160500186023E-4</v>
      </c>
      <c r="AD20" s="49">
        <f>AVERAGE('Model_world regions'!$AF18,'Model_world regions'!$BB18,'Model_world regions'!$BT18,'Model_world regions'!$CL18,'Model_world regions'!$DD18,'Model_world regions'!$DV18)</f>
        <v>4.2986654127019035</v>
      </c>
      <c r="AE20" s="45">
        <f>_xlfn.STDEV.S('Model_world regions'!$AF18,'Model_world regions'!$BB18,'Model_world regions'!$BT18,'Model_world regions'!$CL18,'Model_world regions'!$DD18,'Model_world regions'!$DV18)</f>
        <v>3.3228281716331467</v>
      </c>
      <c r="AF20" s="49">
        <f>AVERAGE('Model_world regions'!$AK18,'Model_world regions'!$BG18,'Model_world regions'!$BY18,'Model_world regions'!$CQ18,'Model_world regions'!$DI18,'Model_world regions'!$EA18)</f>
        <v>2883.6439061690344</v>
      </c>
      <c r="AG20" s="45">
        <f>_xlfn.STDEV.S('Model_world regions'!$AK18,'Model_world regions'!$BG18,'Model_world regions'!$BY18,'Model_world regions'!$CQ18,'Model_world regions'!$DI18,'Model_world regions'!$EA18)</f>
        <v>122.29454217039306</v>
      </c>
      <c r="AH20" s="49">
        <f>AVERAGE('Model_world regions'!$AL18,'Model_world regions'!$BH18,'Model_world regions'!$BZ18,'Model_world regions'!$CR18,'Model_world regions'!$DJ18,'Model_world regions'!$EB18)</f>
        <v>2673.025494081714</v>
      </c>
      <c r="AI20" s="45">
        <f>_xlfn.STDEV.S('Model_world regions'!$AL18,'Model_world regions'!$BH18,'Model_world regions'!$BZ18,'Model_world regions'!$CR18,'Model_world regions'!$DJ18,'Model_world regions'!$EB18)</f>
        <v>103.57754425364969</v>
      </c>
      <c r="AJ20" s="49">
        <f>AVERAGE('Model_world regions'!$AM18,'Model_world regions'!$BI18,'Model_world regions'!$CA18,'Model_world regions'!$CS18,'Model_world regions'!$DK18,'Model_world regions'!$EC18)</f>
        <v>-379.98664739707402</v>
      </c>
      <c r="AK20" s="45">
        <f>_xlfn.STDEV.S('Model_world regions'!$AM18,'Model_world regions'!$BI18,'Model_world regions'!$CA18,'Model_world regions'!$CS18,'Model_world regions'!$DK18,'Model_world regions'!$EC18)</f>
        <v>150.0324827553469</v>
      </c>
      <c r="AL20" s="49">
        <f>AVERAGE('Model_world regions'!$AN18,'Model_world regions'!$BJ18,'Model_world regions'!$CB18,'Model_world regions'!$CT18,'Model_world regions'!$DL18,'Model_world regions'!$ED18)</f>
        <v>103.07401691640075</v>
      </c>
      <c r="AM20" s="45">
        <f>_xlfn.STDEV.S('Model_world regions'!$AN18,'Model_world regions'!$BJ18,'Model_world regions'!$CB18,'Model_world regions'!$CT18,'Model_world regions'!$DL18,'Model_world regions'!$ED18)</f>
        <v>103.57754425364968</v>
      </c>
      <c r="AN20" s="98">
        <f>AVERAGE('Model_world regions'!AS18,'Model_world regions'!BK18,'Model_world regions'!CC18,'Model_world regions'!CU18,'Model_world regions'!DM18,'Model_world regions'!EE18)</f>
        <v>-1.601770087209309</v>
      </c>
      <c r="AO20" s="45">
        <f>_xlfn.STDEV.S('Model_world regions'!AS18,'Model_world regions'!BK18,'Model_world regions'!CC18,'Model_world regions'!CU18,'Model_world regions'!DM18,'Model_world regions'!EE18)</f>
        <v>1.5678735259499927</v>
      </c>
      <c r="AP20" s="49">
        <f>AVERAGE('Model_world regions'!AT18,'Model_world regions'!BL18,'Model_world regions'!CD18,'Model_world regions'!CV18,'Model_world regions'!DN18,'Model_world regions'!EF18)</f>
        <v>3.9140448627749103</v>
      </c>
      <c r="AQ20" s="54">
        <f>_xlfn.STDEV.S('Model_world regions'!AT18,'Model_world regions'!BL18,'Model_world regions'!CD18,'Model_world regions'!CV18,'Model_world regions'!DN18,'Model_world regions'!EF18)</f>
        <v>2.826053857269855</v>
      </c>
      <c r="AS20" s="49">
        <f t="shared" si="6"/>
        <v>34.71361941352631</v>
      </c>
      <c r="AT20" s="45">
        <f t="shared" si="7"/>
        <v>2.2094803694236904</v>
      </c>
      <c r="AU20" s="49">
        <f t="shared" si="8"/>
        <v>53050.144610136849</v>
      </c>
      <c r="AV20" s="45">
        <f t="shared" si="9"/>
        <v>196056.15619470575</v>
      </c>
    </row>
    <row r="21" spans="1:48" x14ac:dyDescent="0.35">
      <c r="A21" t="str">
        <f>'Data_world regions'!C16</f>
        <v>Aust/NZ</v>
      </c>
      <c r="B21" s="13" t="str">
        <f>'Data_world regions'!D16</f>
        <v>ANZ</v>
      </c>
      <c r="C21" s="90">
        <f>Template!F35</f>
        <v>0</v>
      </c>
      <c r="D21">
        <f>Template!G35</f>
        <v>0</v>
      </c>
      <c r="E21" s="13">
        <f>Template!H35</f>
        <v>15.36</v>
      </c>
      <c r="F21">
        <f t="shared" si="0"/>
        <v>15.36</v>
      </c>
      <c r="G21" s="106">
        <f>Template!I35</f>
        <v>281.29752422676165</v>
      </c>
      <c r="H21">
        <f>IF(Template!$J$22="no",G21,IF(Template!$J35&gt;0,Template!$J35,G21))</f>
        <v>281.29752422676165</v>
      </c>
      <c r="I21" s="103">
        <f t="shared" si="1"/>
        <v>0</v>
      </c>
      <c r="J21" s="106">
        <f>Template!L35</f>
        <v>281.29752422676165</v>
      </c>
      <c r="K21">
        <f>IF(Template!$M$22="no",J21,IF(Template!$M35&gt;0,Template!$M35,J21))</f>
        <v>281.29752422676165</v>
      </c>
      <c r="L21" s="107">
        <f t="shared" si="2"/>
        <v>0</v>
      </c>
      <c r="Q21" t="str">
        <f t="shared" si="3"/>
        <v>ANZ</v>
      </c>
      <c r="R21" s="49">
        <f>AVERAGE('Model_world regions'!$Z19,'Model_world regions'!$AV19,'Model_world regions'!$BN19,'Model_world regions'!$CF19,'Model_world regions'!$CX19,'Model_world regions'!$DP19)</f>
        <v>2048.1316839837959</v>
      </c>
      <c r="S21" s="45">
        <f>_xlfn.STDEV.S('Model_world regions'!$Z19,'Model_world regions'!$AV19,'Model_world regions'!$BN19,'Model_world regions'!$CF19,'Model_world regions'!$CX19,'Model_world regions'!$DP19)</f>
        <v>110.38214010095481</v>
      </c>
      <c r="T21" s="49">
        <f>AVERAGE('Model_world regions'!$AA19,'Model_world regions'!$AW19,'Model_world regions'!$BO19,'Model_world regions'!$CG19,'Model_world regions'!$CY19,'Model_world regions'!$DQ19)</f>
        <v>474.1651872439345</v>
      </c>
      <c r="U21" s="45">
        <f>_xlfn.STDEV.S('Model_world regions'!$AA19,'Model_world regions'!$AW19,'Model_world regions'!$BO19,'Model_world regions'!$CG19,'Model_world regions'!$CY19,'Model_world regions'!$DQ19)</f>
        <v>57.042700740208048</v>
      </c>
      <c r="V21" s="49">
        <f>AVERAGE('Model_world regions'!$AE19,'Model_world regions'!$BA19,'Model_world regions'!$BS19,'Model_world regions'!$CK19,'Model_world regions'!$DC19,'Model_world regions'!$DU19)</f>
        <v>43.971456176910102</v>
      </c>
      <c r="W21" s="45">
        <f>_xlfn.STDEV.S('Model_world regions'!$AE19,'Model_world regions'!$BA19,'Model_world regions'!$BS19,'Model_world regions'!$CK19,'Model_world regions'!$DC19,'Model_world regions'!$DU19)</f>
        <v>18.243900045349083</v>
      </c>
      <c r="X21" s="45">
        <f t="shared" si="4"/>
        <v>332.83988886468825</v>
      </c>
      <c r="Y21" s="49">
        <f>AVERAGE('Model_world regions'!$AG19,'Model_world regions'!$BC19,'Model_world regions'!$BU19,'Model_world regions'!$CM19,'Model_world regions'!$DE19,'Model_world regions'!$DW19)</f>
        <v>43.971456176910102</v>
      </c>
      <c r="Z21" s="45">
        <f>_xlfn.STDEV.S('Model_world regions'!$AG19,'Model_world regions'!$BC19,'Model_world regions'!$BU19,'Model_world regions'!$CM19,'Model_world regions'!$DE19,'Model_world regions'!$DW19)</f>
        <v>18.243900045349083</v>
      </c>
      <c r="AA21" s="45">
        <f t="shared" si="5"/>
        <v>332.83988886468825</v>
      </c>
      <c r="AB21" s="49">
        <f>AVERAGE('Model_world regions'!$AD19,'Model_world regions'!$AZ19,'Model_world regions'!$BR19,'Model_world regions'!$CJ19,'Model_world regions'!$DB19,'Model_world regions'!$DT19)</f>
        <v>2.887871365037137</v>
      </c>
      <c r="AC21" s="45">
        <f>_xlfn.STDEV.S('Model_world regions'!$AD19,'Model_world regions'!$AZ19,'Model_world regions'!$BR19,'Model_world regions'!$CJ19,'Model_world regions'!$DB19,'Model_world regions'!$DT19)</f>
        <v>1.9684831958192222</v>
      </c>
      <c r="AD21" s="49">
        <f>AVERAGE('Model_world regions'!$AF19,'Model_world regions'!$BB19,'Model_world regions'!$BT19,'Model_world regions'!$CL19,'Model_world regions'!$DD19,'Model_world regions'!$DV19)</f>
        <v>2.887871365037137</v>
      </c>
      <c r="AE21" s="45">
        <f>_xlfn.STDEV.S('Model_world regions'!$AF19,'Model_world regions'!$BB19,'Model_world regions'!$BT19,'Model_world regions'!$CL19,'Model_world regions'!$DD19,'Model_world regions'!$DV19)</f>
        <v>1.9684831958192222</v>
      </c>
      <c r="AF21" s="49">
        <f>AVERAGE('Model_world regions'!$AK19,'Model_world regions'!$BG19,'Model_world regions'!$BY19,'Model_world regions'!$CQ19,'Model_world regions'!$DI19,'Model_world regions'!$EA19)</f>
        <v>414.21892830513497</v>
      </c>
      <c r="AG21" s="45">
        <f>_xlfn.STDEV.S('Model_world regions'!$AK19,'Model_world regions'!$BG19,'Model_world regions'!$BY19,'Model_world regions'!$CQ19,'Model_world regions'!$DI19,'Model_world regions'!$EA19)</f>
        <v>33.820508539062956</v>
      </c>
      <c r="AH21" s="49">
        <f>AVERAGE('Model_world regions'!$AL19,'Model_world regions'!$BH19,'Model_world regions'!$BZ19,'Model_world regions'!$CR19,'Model_world regions'!$DJ19,'Model_world regions'!$EB19)</f>
        <v>382.0120818861414</v>
      </c>
      <c r="AI21" s="45">
        <f>_xlfn.STDEV.S('Model_world regions'!$AL19,'Model_world regions'!$BH19,'Model_world regions'!$BZ19,'Model_world regions'!$CR19,'Model_world regions'!$DJ19,'Model_world regions'!$EB19)</f>
        <v>28.271650006516555</v>
      </c>
      <c r="AJ21" s="49">
        <f>AVERAGE('Model_world regions'!$AM19,'Model_world regions'!$BI19,'Model_world regions'!$CA19,'Model_world regions'!$CS19,'Model_world regions'!$DK19,'Model_world regions'!$EC19)</f>
        <v>117.5614040783733</v>
      </c>
      <c r="AK21" s="45">
        <f>_xlfn.STDEV.S('Model_world regions'!$AM19,'Model_world regions'!$BI19,'Model_world regions'!$CA19,'Model_world regions'!$CS19,'Model_world regions'!$DK19,'Model_world regions'!$EC19)</f>
        <v>33.820508539062978</v>
      </c>
      <c r="AL21" s="49">
        <f>AVERAGE('Model_world regions'!$AN19,'Model_world regions'!$BJ19,'Model_world regions'!$CB19,'Model_world regions'!$CT19,'Model_world regions'!$DL19,'Model_world regions'!$ED19)</f>
        <v>85.35455765937968</v>
      </c>
      <c r="AM21" s="45">
        <f>_xlfn.STDEV.S('Model_world regions'!$AN19,'Model_world regions'!$BJ19,'Model_world regions'!$CB19,'Model_world regions'!$CT19,'Model_world regions'!$DL19,'Model_world regions'!$ED19)</f>
        <v>28.271650006516602</v>
      </c>
      <c r="AN21" s="98">
        <f>AVERAGE('Model_world regions'!AS19,'Model_world regions'!BK19,'Model_world regions'!CC19,'Model_world regions'!CU19,'Model_world regions'!DM19,'Model_world regions'!EE19)</f>
        <v>0.81364772290702325</v>
      </c>
      <c r="AO21" s="45">
        <f>_xlfn.STDEV.S('Model_world regions'!AS19,'Model_world regions'!BK19,'Model_world regions'!CC19,'Model_world regions'!CU19,'Model_world regions'!DM19,'Model_world regions'!EE19)</f>
        <v>0.67180305386889694</v>
      </c>
      <c r="AP21" s="49">
        <f>AVERAGE('Model_world regions'!AT19,'Model_world regions'!BL19,'Model_world regions'!CD19,'Model_world regions'!CV19,'Model_world regions'!DN19,'Model_world regions'!EF19)</f>
        <v>1.5403053351807259</v>
      </c>
      <c r="AQ21" s="54">
        <f>_xlfn.STDEV.S('Model_world regions'!AT19,'Model_world regions'!BL19,'Model_world regions'!CD19,'Model_world regions'!CV19,'Model_world regions'!DN19,'Model_world regions'!EF19)</f>
        <v>1.0793981066752627</v>
      </c>
      <c r="AS21" s="49">
        <f t="shared" si="6"/>
        <v>20849.733751513038</v>
      </c>
      <c r="AT21" s="45">
        <f t="shared" si="7"/>
        <v>157821.08822577525</v>
      </c>
      <c r="AU21" s="49">
        <f t="shared" si="8"/>
        <v>20849.733751513038</v>
      </c>
      <c r="AV21" s="45">
        <f t="shared" si="9"/>
        <v>157821.08822577525</v>
      </c>
    </row>
    <row r="22" spans="1:48" x14ac:dyDescent="0.35">
      <c r="A22" t="str">
        <f>'Data_world regions'!C17</f>
        <v>Other Americans</v>
      </c>
      <c r="B22" s="13" t="str">
        <f>'Data_world regions'!D17</f>
        <v>OAM</v>
      </c>
      <c r="C22" s="90">
        <f>Template!F36</f>
        <v>0</v>
      </c>
      <c r="D22">
        <f>Template!G36</f>
        <v>0</v>
      </c>
      <c r="E22" s="13">
        <f>Template!H36</f>
        <v>0</v>
      </c>
      <c r="F22">
        <f t="shared" si="0"/>
        <v>0</v>
      </c>
      <c r="G22" s="106">
        <f>Template!I36</f>
        <v>1353.2699326303937</v>
      </c>
      <c r="H22">
        <f>IF(Template!$J$22="no",G22,IF(Template!$J36&gt;0,Template!$J36,G22))</f>
        <v>1353.2699326303937</v>
      </c>
      <c r="I22" s="103">
        <f t="shared" si="1"/>
        <v>0</v>
      </c>
      <c r="J22" s="106">
        <f>Template!L36</f>
        <v>1182.9174344625901</v>
      </c>
      <c r="K22">
        <f>IF(Template!$M$22="no",J22,IF(Template!$M36&gt;0,Template!$M36,J22))</f>
        <v>1182.9174344625901</v>
      </c>
      <c r="L22" s="107">
        <f t="shared" si="2"/>
        <v>0</v>
      </c>
      <c r="Q22" t="str">
        <f t="shared" si="3"/>
        <v>OAM</v>
      </c>
      <c r="R22" s="49">
        <f>AVERAGE('Model_world regions'!$Z20,'Model_world regions'!$AV20,'Model_world regions'!$BN20,'Model_world regions'!$CF20,'Model_world regions'!$CX20,'Model_world regions'!$DP20)</f>
        <v>4596.5309395895538</v>
      </c>
      <c r="S22" s="45">
        <f>_xlfn.STDEV.S('Model_world regions'!$Z20,'Model_world regions'!$AV20,'Model_world regions'!$BN20,'Model_world regions'!$CF20,'Model_world regions'!$CX20,'Model_world regions'!$DP20)</f>
        <v>317.0756168834659</v>
      </c>
      <c r="T22" s="49">
        <f>AVERAGE('Model_world regions'!$AA20,'Model_world regions'!$AW20,'Model_world regions'!$BO20,'Model_world regions'!$CG20,'Model_world regions'!$CY20,'Model_world regions'!$DQ20)</f>
        <v>1315.5934765972511</v>
      </c>
      <c r="U22" s="45">
        <f>_xlfn.STDEV.S('Model_world regions'!$AA20,'Model_world regions'!$AW20,'Model_world regions'!$BO20,'Model_world regions'!$CG20,'Model_world regions'!$CY20,'Model_world regions'!$DQ20)</f>
        <v>120.00206210346477</v>
      </c>
      <c r="V22" s="49">
        <f>AVERAGE('Model_world regions'!$AE20,'Model_world regions'!$BA20,'Model_world regions'!$BS20,'Model_world regions'!$CK20,'Model_world regions'!$DC20,'Model_world regions'!$DU20)</f>
        <v>1.1521058182559381</v>
      </c>
      <c r="W22" s="45">
        <f>_xlfn.STDEV.S('Model_world regions'!$AE20,'Model_world regions'!$BA20,'Model_world regions'!$BS20,'Model_world regions'!$CK20,'Model_world regions'!$DC20,'Model_world regions'!$DU20)</f>
        <v>2.8220713844187411</v>
      </c>
      <c r="X22" s="45">
        <f t="shared" si="4"/>
        <v>7.9640868987551094</v>
      </c>
      <c r="Y22" s="49">
        <f>AVERAGE('Model_world regions'!$AG20,'Model_world regions'!$BC20,'Model_world regions'!$BU20,'Model_world regions'!$CM20,'Model_world regions'!$DE20,'Model_world regions'!$DW20)</f>
        <v>7.6931370592968191</v>
      </c>
      <c r="Z22" s="45">
        <f>_xlfn.STDEV.S('Model_world regions'!$AG20,'Model_world regions'!$BC20,'Model_world regions'!$BU20,'Model_world regions'!$CM20,'Model_world regions'!$DE20,'Model_world regions'!$DW20)</f>
        <v>10.218552754532253</v>
      </c>
      <c r="AA22" s="45">
        <f t="shared" si="5"/>
        <v>104.41882039715868</v>
      </c>
      <c r="AB22" s="49">
        <f>AVERAGE('Model_world regions'!$AD20,'Model_world regions'!$AZ20,'Model_world regions'!$BR20,'Model_world regions'!$CJ20,'Model_world regions'!$DB20,'Model_world regions'!$DT20)</f>
        <v>6.5281730382200531E-2</v>
      </c>
      <c r="AC22" s="45">
        <f>_xlfn.STDEV.S('Model_world regions'!$AD20,'Model_world regions'!$AZ20,'Model_world regions'!$BR20,'Model_world regions'!$CJ20,'Model_world regions'!$DB20,'Model_world regions'!$DT20)</f>
        <v>0.15990692896233716</v>
      </c>
      <c r="AD22" s="49">
        <f>AVERAGE('Model_world regions'!$AF20,'Model_world regions'!$BB20,'Model_world regions'!$BT20,'Model_world regions'!$CL20,'Model_world regions'!$DD20,'Model_world regions'!$DV20)</f>
        <v>0.66735102908090038</v>
      </c>
      <c r="AE22" s="45">
        <f>_xlfn.STDEV.S('Model_world regions'!$AF20,'Model_world regions'!$BB20,'Model_world regions'!$BT20,'Model_world regions'!$CL20,'Model_world regions'!$DD20,'Model_world regions'!$DV20)</f>
        <v>1.2214705030623547</v>
      </c>
      <c r="AF22" s="49">
        <f>AVERAGE('Model_world regions'!$AK20,'Model_world regions'!$BG20,'Model_world regions'!$BY20,'Model_world regions'!$CQ20,'Model_world regions'!$DI20,'Model_world regions'!$EA20)</f>
        <v>1187.6140048363538</v>
      </c>
      <c r="AG22" s="45">
        <f>_xlfn.STDEV.S('Model_world regions'!$AK20,'Model_world regions'!$BG20,'Model_world regions'!$BY20,'Model_world regions'!$CQ20,'Model_world regions'!$DI20,'Model_world regions'!$EA20)</f>
        <v>87.88019305165308</v>
      </c>
      <c r="AH22" s="49">
        <f>AVERAGE('Model_world regions'!$AL20,'Model_world regions'!$BH20,'Model_world regions'!$BZ20,'Model_world regions'!$CR20,'Model_world regions'!$DJ20,'Model_world regions'!$EB20)</f>
        <v>1118.3137602843665</v>
      </c>
      <c r="AI22" s="45">
        <f>_xlfn.STDEV.S('Model_world regions'!$AL20,'Model_world regions'!$BH20,'Model_world regions'!$BZ20,'Model_world regions'!$CR20,'Model_world regions'!$DJ20,'Model_world regions'!$EB20)</f>
        <v>82.458388491622529</v>
      </c>
      <c r="AJ22" s="49">
        <f>AVERAGE('Model_world regions'!$AM20,'Model_world regions'!$BI20,'Model_world regions'!$CA20,'Model_world regions'!$CS20,'Model_world regions'!$DK20,'Model_world regions'!$EC20)</f>
        <v>-99.647989813768618</v>
      </c>
      <c r="AK22" s="45">
        <f>_xlfn.STDEV.S('Model_world regions'!$AM20,'Model_world regions'!$BI20,'Model_world regions'!$CA20,'Model_world regions'!$CS20,'Model_world regions'!$DK20,'Model_world regions'!$EC20)</f>
        <v>39.615907614780937</v>
      </c>
      <c r="AL22" s="49">
        <f>AVERAGE('Model_world regions'!$AN20,'Model_world regions'!$BJ20,'Model_world regions'!$CB20,'Model_world regions'!$CT20,'Model_world regions'!$DL20,'Model_world regions'!$ED20)</f>
        <v>-63.719541846026651</v>
      </c>
      <c r="AM22" s="45">
        <f>_xlfn.STDEV.S('Model_world regions'!$AN20,'Model_world regions'!$BJ20,'Model_world regions'!$CB20,'Model_world regions'!$CT20,'Model_world regions'!$DL20,'Model_world regions'!$ED20)</f>
        <v>80.545819435233454</v>
      </c>
      <c r="AN22" s="98">
        <f>AVERAGE('Model_world regions'!AS20,'Model_world regions'!BK20,'Model_world regions'!CC20,'Model_world regions'!CU20,'Model_world regions'!DM20,'Model_world regions'!EE20)</f>
        <v>-0.22996978752485242</v>
      </c>
      <c r="AO22" s="45">
        <f>_xlfn.STDEV.S('Model_world regions'!AS20,'Model_world regions'!BK20,'Model_world regions'!CC20,'Model_world regions'!CU20,'Model_world regions'!DM20,'Model_world regions'!EE20)</f>
        <v>0.3126591635061704</v>
      </c>
      <c r="AP22" s="49">
        <f>AVERAGE('Model_world regions'!AT20,'Model_world regions'!BL20,'Model_world regions'!CD20,'Model_world regions'!CV20,'Model_world regions'!DN20,'Model_world regions'!EF20)</f>
        <v>0.23416354138838422</v>
      </c>
      <c r="AQ22" s="54">
        <f>_xlfn.STDEV.S('Model_world regions'!AT20,'Model_world regions'!BL20,'Model_world regions'!CD20,'Model_world regions'!CV20,'Model_world regions'!DN20,'Model_world regions'!EF20)</f>
        <v>1.6173675511578522</v>
      </c>
      <c r="AS22" s="49">
        <f t="shared" si="6"/>
        <v>1515.7028988472503</v>
      </c>
      <c r="AT22" s="45">
        <f t="shared" si="7"/>
        <v>10477.500771055855</v>
      </c>
      <c r="AU22" s="49">
        <f t="shared" si="8"/>
        <v>10121.040929779454</v>
      </c>
      <c r="AV22" s="45">
        <f t="shared" si="9"/>
        <v>137372.71894848195</v>
      </c>
    </row>
    <row r="23" spans="1:48" x14ac:dyDescent="0.35">
      <c r="A23" t="str">
        <f>'Data_world regions'!C18</f>
        <v>Africa</v>
      </c>
      <c r="B23" s="13" t="str">
        <f>'Data_world regions'!D18</f>
        <v>AFR</v>
      </c>
      <c r="C23" s="90">
        <f>Template!F37</f>
        <v>0</v>
      </c>
      <c r="D23">
        <f>Template!G37</f>
        <v>0</v>
      </c>
      <c r="E23" s="13">
        <f>Template!H37</f>
        <v>0</v>
      </c>
      <c r="F23">
        <f t="shared" si="0"/>
        <v>0</v>
      </c>
      <c r="G23" s="106">
        <f>Template!I37</f>
        <v>1998.0284985238136</v>
      </c>
      <c r="H23">
        <f>IF(Template!$J$22="no",G23,IF(Template!$J37&gt;0,Template!$J37,G23))</f>
        <v>1998.0284985238136</v>
      </c>
      <c r="I23" s="103">
        <f t="shared" si="1"/>
        <v>0</v>
      </c>
      <c r="J23" s="106">
        <f>Template!L37</f>
        <v>1475.6872893765128</v>
      </c>
      <c r="K23">
        <f>IF(Template!$M$22="no",J23,IF(Template!$M37&gt;0,Template!$M37,J23))</f>
        <v>1475.6872893765128</v>
      </c>
      <c r="L23" s="107">
        <f t="shared" si="2"/>
        <v>0</v>
      </c>
      <c r="Q23" t="str">
        <f t="shared" si="3"/>
        <v>AFR</v>
      </c>
      <c r="R23" s="49">
        <f>AVERAGE('Model_world regions'!$Z21,'Model_world regions'!$AV21,'Model_world regions'!$BN21,'Model_world regions'!$CF21,'Model_world regions'!$CX21,'Model_world regions'!$DP21)</f>
        <v>3960.1041585148027</v>
      </c>
      <c r="S23" s="45">
        <f>_xlfn.STDEV.S('Model_world regions'!$Z21,'Model_world regions'!$AV21,'Model_world regions'!$BN21,'Model_world regions'!$CF21,'Model_world regions'!$CX21,'Model_world regions'!$DP21)</f>
        <v>430.211981092011</v>
      </c>
      <c r="T23" s="49">
        <f>AVERAGE('Model_world regions'!$AA21,'Model_world regions'!$AW21,'Model_world regions'!$BO21,'Model_world regions'!$CG21,'Model_world regions'!$CY21,'Model_world regions'!$DQ21)</f>
        <v>1763.011079561654</v>
      </c>
      <c r="U23" s="45">
        <f>_xlfn.STDEV.S('Model_world regions'!$AA21,'Model_world regions'!$AW21,'Model_world regions'!$BO21,'Model_world regions'!$CG21,'Model_world regions'!$CY21,'Model_world regions'!$DQ21)</f>
        <v>66.089630262162402</v>
      </c>
      <c r="V23" s="49">
        <f>AVERAGE('Model_world regions'!$AE21,'Model_world regions'!$BA21,'Model_world regions'!$BS21,'Model_world regions'!$CK21,'Model_world regions'!$DC21,'Model_world regions'!$DU21)</f>
        <v>0</v>
      </c>
      <c r="W23" s="45">
        <f>_xlfn.STDEV.S('Model_world regions'!$AE21,'Model_world regions'!$BA21,'Model_world regions'!$BS21,'Model_world regions'!$CK21,'Model_world regions'!$DC21,'Model_world regions'!$DU21)</f>
        <v>0</v>
      </c>
      <c r="X23" s="45">
        <f t="shared" si="4"/>
        <v>0</v>
      </c>
      <c r="Y23" s="49">
        <f>AVERAGE('Model_world regions'!$AG21,'Model_world regions'!$BC21,'Model_world regions'!$BU21,'Model_world regions'!$CM21,'Model_world regions'!$DE21,'Model_world regions'!$DW21)</f>
        <v>10.800702208763218</v>
      </c>
      <c r="Z23" s="45">
        <f>_xlfn.STDEV.S('Model_world regions'!$AG21,'Model_world regions'!$BC21,'Model_world regions'!$BU21,'Model_world regions'!$CM21,'Model_world regions'!$DE21,'Model_world regions'!$DW21)</f>
        <v>3.9087860168309598</v>
      </c>
      <c r="AA23" s="45">
        <f t="shared" si="5"/>
        <v>15.278608125373241</v>
      </c>
      <c r="AB23" s="49">
        <f>AVERAGE('Model_world regions'!$AD21,'Model_world regions'!$AZ21,'Model_world regions'!$BR21,'Model_world regions'!$CJ21,'Model_world regions'!$DB21,'Model_world regions'!$DT21)</f>
        <v>0</v>
      </c>
      <c r="AC23" s="45">
        <f>_xlfn.STDEV.S('Model_world regions'!$AD21,'Model_world regions'!$AZ21,'Model_world regions'!$BR21,'Model_world regions'!$CJ21,'Model_world regions'!$DB21,'Model_world regions'!$DT21)</f>
        <v>0</v>
      </c>
      <c r="AD23" s="49">
        <f>AVERAGE('Model_world regions'!$AF21,'Model_world regions'!$BB21,'Model_world regions'!$BT21,'Model_world regions'!$CL21,'Model_world regions'!$DD21,'Model_world regions'!$DV21)</f>
        <v>1.102115279002706</v>
      </c>
      <c r="AE23" s="45">
        <f>_xlfn.STDEV.S('Model_world regions'!$AF21,'Model_world regions'!$BB21,'Model_world regions'!$BT21,'Model_world regions'!$CL21,'Model_world regions'!$DD21,'Model_world regions'!$DV21)</f>
        <v>0.526516178732086</v>
      </c>
      <c r="AF23" s="49">
        <f>AVERAGE('Model_world regions'!$AK21,'Model_world regions'!$BG21,'Model_world regions'!$BY21,'Model_world regions'!$CQ21,'Model_world regions'!$DI21,'Model_world regions'!$EA21)</f>
        <v>1568.3479165656784</v>
      </c>
      <c r="AG23" s="45">
        <f>_xlfn.STDEV.S('Model_world regions'!$AK21,'Model_world regions'!$BG21,'Model_world regions'!$BY21,'Model_world regions'!$CQ21,'Model_world regions'!$DI21,'Model_world regions'!$EA21)</f>
        <v>43.488272793423263</v>
      </c>
      <c r="AH23" s="49">
        <f>AVERAGE('Model_world regions'!$AL21,'Model_world regions'!$BH21,'Model_world regions'!$BZ21,'Model_world regions'!$CR21,'Model_world regions'!$DJ21,'Model_world regions'!$EB21)</f>
        <v>1462.3092655161145</v>
      </c>
      <c r="AI23" s="45">
        <f>_xlfn.STDEV.S('Model_world regions'!$AL21,'Model_world regions'!$BH21,'Model_world regions'!$BZ21,'Model_world regions'!$CR21,'Model_world regions'!$DJ21,'Model_world regions'!$EB21)</f>
        <v>49.076073664680202</v>
      </c>
      <c r="AJ23" s="49">
        <f>AVERAGE('Model_world regions'!$AM21,'Model_world regions'!$BI21,'Model_world regions'!$CA21,'Model_world regions'!$CS21,'Model_world regions'!$DK21,'Model_world regions'!$EC21)</f>
        <v>-194.66316299597577</v>
      </c>
      <c r="AK23" s="45">
        <f>_xlfn.STDEV.S('Model_world regions'!$AM21,'Model_world regions'!$BI21,'Model_world regions'!$CA21,'Model_world regions'!$CS21,'Model_world regions'!$DK21,'Model_world regions'!$EC21)</f>
        <v>73.909680974915531</v>
      </c>
      <c r="AL23" s="49">
        <f>AVERAGE('Model_world regions'!$AN21,'Model_world regions'!$BJ21,'Model_world regions'!$CB21,'Model_world regions'!$CT21,'Model_world regions'!$DL21,'Model_world regions'!$ED21)</f>
        <v>-13.378023860398267</v>
      </c>
      <c r="AM23" s="45">
        <f>_xlfn.STDEV.S('Model_world regions'!$AN21,'Model_world regions'!$BJ21,'Model_world regions'!$CB21,'Model_world regions'!$CT21,'Model_world regions'!$DL21,'Model_world regions'!$ED21)</f>
        <v>49.076073664680202</v>
      </c>
      <c r="AN23" s="98">
        <f>AVERAGE('Model_world regions'!AS21,'Model_world regions'!BK21,'Model_world regions'!CC21,'Model_world regions'!CU21,'Model_world regions'!DM21,'Model_world regions'!EE21)</f>
        <v>-0.82133990031342208</v>
      </c>
      <c r="AO23" s="45">
        <f>_xlfn.STDEV.S('Model_world regions'!AS21,'Model_world regions'!BK21,'Model_world regions'!CC21,'Model_world regions'!CU21,'Model_world regions'!DM21,'Model_world regions'!EE21)</f>
        <v>0.77031992645625624</v>
      </c>
      <c r="AP23" s="49">
        <f>AVERAGE('Model_world regions'!AT21,'Model_world regions'!BL21,'Model_world regions'!CD21,'Model_world regions'!CV21,'Model_world regions'!DN21,'Model_world regions'!EF21)</f>
        <v>1.0083224362577938</v>
      </c>
      <c r="AQ23" s="54">
        <f>_xlfn.STDEV.S('Model_world regions'!AT21,'Model_world regions'!BL21,'Model_world regions'!CD21,'Model_world regions'!CV21,'Model_world regions'!DN21,'Model_world regions'!EF21)</f>
        <v>0.49511871476765085</v>
      </c>
      <c r="AS23" s="49">
        <f t="shared" si="6"/>
        <v>0</v>
      </c>
      <c r="AT23" s="45">
        <f t="shared" si="7"/>
        <v>0</v>
      </c>
      <c r="AU23" s="49">
        <f t="shared" si="8"/>
        <v>19041.75766109558</v>
      </c>
      <c r="AV23" s="45">
        <f t="shared" si="9"/>
        <v>26936.355405313738</v>
      </c>
    </row>
    <row r="24" spans="1:48" s="16" customFormat="1" x14ac:dyDescent="0.35">
      <c r="A24" s="16" t="str">
        <f>'Data_world regions'!C19</f>
        <v>Rest Europe (nonETS)</v>
      </c>
      <c r="B24" s="18" t="str">
        <f>'Data_world regions'!D19</f>
        <v>REU</v>
      </c>
      <c r="C24" s="89">
        <f>Template!F38</f>
        <v>0</v>
      </c>
      <c r="D24" s="16">
        <f>Template!G38</f>
        <v>0</v>
      </c>
      <c r="E24" s="18">
        <f>Template!H38</f>
        <v>0</v>
      </c>
      <c r="F24" s="16">
        <f t="shared" si="0"/>
        <v>0</v>
      </c>
      <c r="G24" s="108">
        <f>Template!I38</f>
        <v>340.86631315176754</v>
      </c>
      <c r="H24" s="16">
        <f>IF(Template!$J$22="no",G24,IF(Template!$J38&gt;0,Template!$J38,G24))</f>
        <v>340.86631315176754</v>
      </c>
      <c r="I24" s="114">
        <f t="shared" si="1"/>
        <v>0</v>
      </c>
      <c r="J24" s="108">
        <f>Template!L38</f>
        <v>331.34283267414207</v>
      </c>
      <c r="K24" s="16">
        <f>IF(Template!$M$22="no",J24,IF(Template!$M38&gt;0,Template!$M38,J24))</f>
        <v>331.34283267414207</v>
      </c>
      <c r="L24" s="109">
        <f t="shared" si="2"/>
        <v>0</v>
      </c>
      <c r="Q24" s="16" t="str">
        <f t="shared" si="3"/>
        <v>REU</v>
      </c>
      <c r="R24" s="52">
        <f>AVERAGE('Model_world regions'!$Z22,'Model_world regions'!$AV22,'Model_world regions'!$BN22,'Model_world regions'!$CF22,'Model_world regions'!$CX22,'Model_world regions'!$DP22)</f>
        <v>451.03516051256878</v>
      </c>
      <c r="S24" s="53">
        <f>_xlfn.STDEV.S('Model_world regions'!$Z22,'Model_world regions'!$AV22,'Model_world regions'!$BN22,'Model_world regions'!$CF22,'Model_world regions'!$CX22,'Model_world regions'!$DP22)</f>
        <v>33.895072139544325</v>
      </c>
      <c r="T24" s="52">
        <f>AVERAGE('Model_world regions'!$AA22,'Model_world regions'!$AW22,'Model_world regions'!$BO22,'Model_world regions'!$CG22,'Model_world regions'!$CY22,'Model_world regions'!$DQ22)</f>
        <v>390.08647335707047</v>
      </c>
      <c r="U24" s="53">
        <f>_xlfn.STDEV.S('Model_world regions'!$AA22,'Model_world regions'!$AW22,'Model_world regions'!$BO22,'Model_world regions'!$CG22,'Model_world regions'!$CY22,'Model_world regions'!$DQ22)</f>
        <v>25.442562965657256</v>
      </c>
      <c r="V24" s="52">
        <f>AVERAGE('Model_world regions'!$AE22,'Model_world regions'!$BA22,'Model_world regions'!$BS22,'Model_world regions'!$CK22,'Model_world regions'!$DC22,'Model_world regions'!$DU22)</f>
        <v>5.3987993166235233</v>
      </c>
      <c r="W24" s="53">
        <f>_xlfn.STDEV.S('Model_world regions'!$AE22,'Model_world regions'!$BA22,'Model_world regions'!$BS22,'Model_world regions'!$CK22,'Model_world regions'!$DC22,'Model_world regions'!$DU22)</f>
        <v>4.383879946356469</v>
      </c>
      <c r="X24" s="53">
        <f t="shared" si="4"/>
        <v>19.218403384066399</v>
      </c>
      <c r="Y24" s="52">
        <f>AVERAGE('Model_world regions'!$AG22,'Model_world regions'!$BC22,'Model_world regions'!$BU22,'Model_world regions'!$CM22,'Model_world regions'!$DE22,'Model_world regions'!$DW22)</f>
        <v>7.426440380565265</v>
      </c>
      <c r="Z24" s="53">
        <f>_xlfn.STDEV.S('Model_world regions'!$AG22,'Model_world regions'!$BC22,'Model_world regions'!$BU22,'Model_world regions'!$CM22,'Model_world regions'!$DE22,'Model_world regions'!$DW22)</f>
        <v>4.9509718656869914</v>
      </c>
      <c r="AA24" s="53">
        <f t="shared" si="5"/>
        <v>24.51212241482413</v>
      </c>
      <c r="AB24" s="52">
        <f>AVERAGE('Model_world regions'!$AD22,'Model_world regions'!$AZ22,'Model_world regions'!$BR22,'Model_world regions'!$CJ22,'Model_world regions'!$DB22,'Model_world regions'!$DT22)</f>
        <v>0.11941922773296049</v>
      </c>
      <c r="AC24" s="53">
        <f>_xlfn.STDEV.S('Model_world regions'!$AD22,'Model_world regions'!$AZ22,'Model_world regions'!$BR22,'Model_world regions'!$CJ22,'Model_world regions'!$DB22,'Model_world regions'!$DT22)</f>
        <v>0.14722294286171433</v>
      </c>
      <c r="AD24" s="52">
        <f>AVERAGE('Model_world regions'!$AF22,'Model_world regions'!$BB22,'Model_world regions'!$BT22,'Model_world regions'!$CL22,'Model_world regions'!$DD22,'Model_world regions'!$DV22)</f>
        <v>0.18018705359088086</v>
      </c>
      <c r="AE24" s="53">
        <f>_xlfn.STDEV.S('Model_world regions'!$AF22,'Model_world regions'!$BB22,'Model_world regions'!$BT22,'Model_world regions'!$CL22,'Model_world regions'!$DD22,'Model_world regions'!$DV22)</f>
        <v>0.19097632532838515</v>
      </c>
      <c r="AF24" s="52">
        <f>AVERAGE('Model_world regions'!$AK22,'Model_world regions'!$BG22,'Model_world regions'!$BY22,'Model_world regions'!$CQ22,'Model_world regions'!$DI22,'Model_world regions'!$EA22)</f>
        <v>341.50730426656872</v>
      </c>
      <c r="AG24" s="53">
        <f>_xlfn.STDEV.S('Model_world regions'!$AK22,'Model_world regions'!$BG22,'Model_world regions'!$BY22,'Model_world regions'!$CQ22,'Model_world regions'!$DI22,'Model_world regions'!$EA22)</f>
        <v>15.018843861018041</v>
      </c>
      <c r="AH24" s="52">
        <f>AVERAGE('Model_world regions'!$AL22,'Model_world regions'!$BH22,'Model_world regions'!$BZ22,'Model_world regions'!$CR22,'Model_world regions'!$DJ22,'Model_world regions'!$EB22)</f>
        <v>315.11627948892334</v>
      </c>
      <c r="AI24" s="53">
        <f>_xlfn.STDEV.S('Model_world regions'!$AL22,'Model_world regions'!$BH22,'Model_world regions'!$BZ22,'Model_world regions'!$CR22,'Model_world regions'!$DJ22,'Model_world regions'!$EB22)</f>
        <v>14.425013424990818</v>
      </c>
      <c r="AJ24" s="52">
        <f>AVERAGE('Model_world regions'!$AM22,'Model_world regions'!$BI22,'Model_world regions'!$CA22,'Model_world regions'!$CS22,'Model_world regions'!$DK22,'Model_world regions'!$EC22)</f>
        <v>0.64099111480119098</v>
      </c>
      <c r="AK24" s="53">
        <f>_xlfn.STDEV.S('Model_world regions'!$AM22,'Model_world regions'!$BI22,'Model_world regions'!$CA22,'Model_world regions'!$CS22,'Model_world regions'!$DK22,'Model_world regions'!$EC22)</f>
        <v>15.018843861018041</v>
      </c>
      <c r="AL24" s="52">
        <f>AVERAGE('Model_world regions'!$AN22,'Model_world regions'!$BJ22,'Model_world regions'!$CB22,'Model_world regions'!$CT22,'Model_world regions'!$DL22,'Model_world regions'!$ED22)</f>
        <v>-16.226553185218705</v>
      </c>
      <c r="AM24" s="53">
        <f>_xlfn.STDEV.S('Model_world regions'!$AN22,'Model_world regions'!$BJ22,'Model_world regions'!$CB22,'Model_world regions'!$CT22,'Model_world regions'!$DL22,'Model_world regions'!$ED22)</f>
        <v>14.425013424990818</v>
      </c>
      <c r="AN24" s="58">
        <f>AVERAGE('Model_world regions'!AS22,'Model_world regions'!BK22,'Model_world regions'!CC22,'Model_world regions'!CU22,'Model_world regions'!DM22,'Model_world regions'!EE22)</f>
        <v>9.8838762855413875E-2</v>
      </c>
      <c r="AO24" s="53">
        <f>_xlfn.STDEV.S('Model_world regions'!AS22,'Model_world regions'!BK22,'Model_world regions'!CC22,'Model_world regions'!CU22,'Model_world regions'!DM22,'Model_world regions'!EE22)</f>
        <v>0.11875736972097764</v>
      </c>
      <c r="AP24" s="52">
        <f>AVERAGE('Model_world regions'!AT22,'Model_world regions'!BL22,'Model_world regions'!CD22,'Model_world regions'!CV22,'Model_world regions'!DN22,'Model_world regions'!EF22)</f>
        <v>0.11111648524573385</v>
      </c>
      <c r="AQ24" s="56">
        <f>_xlfn.STDEV.S('Model_world regions'!AT22,'Model_world regions'!BL22,'Model_world regions'!CD22,'Model_world regions'!CV22,'Model_world regions'!DN22,'Model_world regions'!EF22)</f>
        <v>0.21281554260557201</v>
      </c>
      <c r="AS24" s="52">
        <f t="shared" si="6"/>
        <v>2105.9985857842321</v>
      </c>
      <c r="AT24" s="53">
        <f t="shared" si="7"/>
        <v>7496.8391996440505</v>
      </c>
      <c r="AU24" s="52">
        <f t="shared" si="8"/>
        <v>2896.9539376512444</v>
      </c>
      <c r="AV24" s="53">
        <f t="shared" si="9"/>
        <v>9561.8473872955437</v>
      </c>
    </row>
    <row r="25" spans="1:48" x14ac:dyDescent="0.35">
      <c r="C25" s="419"/>
      <c r="D25" s="419"/>
      <c r="E25" s="419"/>
      <c r="F25" s="5">
        <f>SUM(C9:E24)</f>
        <v>944.17000000000007</v>
      </c>
      <c r="G25" s="2"/>
      <c r="I25" s="103"/>
      <c r="J25" s="103"/>
      <c r="L25" s="103"/>
      <c r="M25" s="2"/>
      <c r="N25" s="2"/>
      <c r="R25" s="48">
        <f>SUM(R9:R24)</f>
        <v>116930.39622579284</v>
      </c>
      <c r="S25" s="44"/>
      <c r="T25" s="48">
        <f>SUM(T9:T24)</f>
        <v>40312.515772646213</v>
      </c>
      <c r="U25" s="48">
        <f t="shared" ref="U25:AA25" si="10">SUM(U9:U24)</f>
        <v>3245.0158487715817</v>
      </c>
      <c r="V25" s="48"/>
      <c r="W25" s="48">
        <f t="shared" si="10"/>
        <v>238.13399139829491</v>
      </c>
      <c r="X25" s="48">
        <f t="shared" si="10"/>
        <v>7504.8876757655253</v>
      </c>
      <c r="Y25" s="48">
        <f t="shared" si="10"/>
        <v>650.49608753156076</v>
      </c>
      <c r="Z25" s="48">
        <f t="shared" si="10"/>
        <v>304.67263771541047</v>
      </c>
      <c r="AA25" s="48">
        <f t="shared" si="10"/>
        <v>9722.0157357638909</v>
      </c>
      <c r="AB25" s="48"/>
      <c r="AC25" s="45"/>
      <c r="AD25" s="49"/>
      <c r="AE25" s="45"/>
      <c r="AF25" s="48">
        <f>SUM(AF9:AF24)</f>
        <v>35507.31985567489</v>
      </c>
      <c r="AG25" s="45"/>
      <c r="AH25" s="48">
        <f>SUM(AH9:AH24)</f>
        <v>32904.893184297587</v>
      </c>
      <c r="AI25" s="45"/>
      <c r="AJ25" s="49">
        <f>SUM(AJ9:AJ24)</f>
        <v>9.1893159748224207E-13</v>
      </c>
      <c r="AK25" s="45"/>
      <c r="AL25" s="49">
        <f>SUM(AL9:AL24)</f>
        <v>6.5369931689929217E-13</v>
      </c>
      <c r="AM25" s="54"/>
      <c r="AN25" s="49">
        <f>SUM(AN9:AN24)</f>
        <v>10.281638769358993</v>
      </c>
      <c r="AO25" s="45"/>
      <c r="AP25" s="49">
        <f>SUM(AP9:AP24)</f>
        <v>33.710706513300892</v>
      </c>
      <c r="AQ25" s="45"/>
      <c r="AS25" s="49"/>
      <c r="AT25" s="45"/>
      <c r="AU25" s="49"/>
      <c r="AV25" s="45"/>
    </row>
    <row r="28" spans="1:48" x14ac:dyDescent="0.35">
      <c r="P28" s="2"/>
      <c r="Q28" s="2"/>
      <c r="V28" s="27" t="s">
        <v>88</v>
      </c>
      <c r="W28" s="27"/>
      <c r="X28" s="27"/>
      <c r="Y28" s="27" t="s">
        <v>89</v>
      </c>
      <c r="Z28" s="27"/>
      <c r="AF28" t="s">
        <v>57</v>
      </c>
      <c r="AS28" s="37" t="s">
        <v>58</v>
      </c>
      <c r="AT28" s="37" t="s">
        <v>59</v>
      </c>
      <c r="AU28" s="37" t="s">
        <v>58</v>
      </c>
      <c r="AV28" s="37" t="s">
        <v>59</v>
      </c>
    </row>
    <row r="29" spans="1:48" x14ac:dyDescent="0.35">
      <c r="C29" s="64"/>
      <c r="E29" s="65"/>
      <c r="P29" s="2"/>
      <c r="Q29" s="2"/>
      <c r="V29" s="59">
        <f>AVERAGE('Model_world regions'!$AI28,'Model_world regions'!$BE28,'Model_world regions'!$BW28,'Model_world regions'!$CO28,'Model_world regions'!$DG28,'Model_world regions'!$DY28)</f>
        <v>7.2634168762420623</v>
      </c>
      <c r="W29" s="118">
        <f>_xlfn.STDEV.S('Model_world regions'!$AI28,'Model_world regions'!$BE28,'Model_world regions'!$BW28,'Model_world regions'!$CO28,'Model_world regions'!$DG28,'Model_world regions'!$DY28)</f>
        <v>4.1599673380034536</v>
      </c>
      <c r="X29" s="27"/>
      <c r="Y29" s="59">
        <f>AVERAGE('Model_world regions'!$AJ28,'Model_world regions'!$BF28,'Model_world regions'!$BX28,'Model_world regions'!$CP28,'Model_world regions'!$DH28,'Model_world regions'!$DZ28)</f>
        <v>15.172109576927646</v>
      </c>
      <c r="Z29" s="27">
        <f>_xlfn.STDEV.S('Model_world regions'!$AJ28,'Model_world regions'!$BF28,'Model_world regions'!$BX28,'Model_world regions'!$CP28,'Model_world regions'!$DH28,'Model_world regions'!$DZ28)</f>
        <v>6.8646396629619408</v>
      </c>
      <c r="AF29" s="91">
        <f>(T51-AF51)/T51</f>
        <v>0.14186230477049366</v>
      </c>
      <c r="AH29" s="91">
        <f>(T51-AH51)/T51</f>
        <v>0.20716296040629356</v>
      </c>
      <c r="AS29" s="39">
        <f>SUM(AS35:AS50)/T51</f>
        <v>23.856875202879873</v>
      </c>
      <c r="AT29" s="37">
        <f>SUM(AT35:AT50)/T51</f>
        <v>309.4317118907075</v>
      </c>
      <c r="AU29" s="39">
        <f>SUM(AU35:AU50)/T51</f>
        <v>31.982859555281106</v>
      </c>
      <c r="AV29" s="37">
        <f>SUM(AV35:AV50)/T51</f>
        <v>385.32354743288545</v>
      </c>
    </row>
    <row r="30" spans="1:48" x14ac:dyDescent="0.35">
      <c r="C30" s="64"/>
      <c r="E30" s="65"/>
      <c r="P30" s="2"/>
      <c r="Q30" s="2"/>
      <c r="AF30" s="91">
        <f>AF51/T51</f>
        <v>0.85813769522950634</v>
      </c>
      <c r="AH30" s="91">
        <f>AH51/T51</f>
        <v>0.79283703959370644</v>
      </c>
    </row>
    <row r="31" spans="1:48" x14ac:dyDescent="0.35">
      <c r="C31" s="64"/>
      <c r="E31" s="65"/>
      <c r="P31" s="2"/>
      <c r="Q31" s="2"/>
      <c r="R31" s="61" t="str">
        <f>'Model_world regions'!A33</f>
        <v>BASELINE (no CDR)</v>
      </c>
      <c r="S31" s="63"/>
      <c r="T31" s="63"/>
      <c r="U31" s="63"/>
      <c r="V31" s="63"/>
      <c r="W31" s="63"/>
      <c r="X31" s="63"/>
      <c r="Y31" s="63"/>
      <c r="Z31" s="63"/>
      <c r="AA31" s="63"/>
      <c r="AB31" s="63"/>
      <c r="AC31" s="63"/>
      <c r="AD31" s="63"/>
      <c r="AE31" s="63"/>
      <c r="AF31" s="63"/>
      <c r="AG31" s="63"/>
      <c r="AH31" s="63"/>
      <c r="AI31" s="63"/>
      <c r="AJ31" s="63"/>
      <c r="AK31" s="63"/>
      <c r="AL31" s="63"/>
      <c r="AM31" s="63"/>
      <c r="AN31" s="63"/>
      <c r="AO31" s="63"/>
      <c r="AP31" s="63"/>
      <c r="AQ31" s="63"/>
    </row>
    <row r="32" spans="1:48" x14ac:dyDescent="0.35">
      <c r="C32" s="64"/>
      <c r="E32" s="65"/>
      <c r="R32" s="48" t="s">
        <v>62</v>
      </c>
      <c r="S32" s="44"/>
      <c r="T32" s="48" t="s">
        <v>63</v>
      </c>
      <c r="U32" s="44"/>
      <c r="V32" s="48" t="s">
        <v>64</v>
      </c>
      <c r="W32" s="44"/>
      <c r="X32" s="44"/>
      <c r="Y32" s="48" t="s">
        <v>64</v>
      </c>
      <c r="Z32" s="44"/>
      <c r="AA32" s="44"/>
      <c r="AB32" s="48" t="s">
        <v>65</v>
      </c>
      <c r="AC32" s="44"/>
      <c r="AD32" s="48" t="s">
        <v>65</v>
      </c>
      <c r="AE32" s="44"/>
      <c r="AF32" s="48" t="s">
        <v>66</v>
      </c>
      <c r="AG32" s="45"/>
      <c r="AH32" s="48" t="s">
        <v>66</v>
      </c>
      <c r="AI32" s="44"/>
      <c r="AJ32" s="48" t="s">
        <v>50</v>
      </c>
      <c r="AK32" s="44"/>
      <c r="AL32" s="48" t="s">
        <v>50</v>
      </c>
      <c r="AM32" s="54"/>
      <c r="AN32" s="48" t="s">
        <v>67</v>
      </c>
      <c r="AO32" s="45"/>
      <c r="AP32" s="49"/>
      <c r="AQ32" s="45"/>
      <c r="AS32" s="2"/>
      <c r="AT32" s="2"/>
    </row>
    <row r="33" spans="3:49" x14ac:dyDescent="0.35">
      <c r="C33" s="64"/>
      <c r="E33" s="65"/>
      <c r="L33" s="2"/>
      <c r="M33" s="2"/>
      <c r="N33" s="2"/>
      <c r="O33" s="2"/>
      <c r="R33" s="50" t="s">
        <v>74</v>
      </c>
      <c r="S33" s="51" t="s">
        <v>59</v>
      </c>
      <c r="T33" s="50" t="s">
        <v>74</v>
      </c>
      <c r="U33" s="51" t="s">
        <v>59</v>
      </c>
      <c r="V33" s="50" t="s">
        <v>75</v>
      </c>
      <c r="W33" s="51" t="s">
        <v>76</v>
      </c>
      <c r="X33" s="51" t="s">
        <v>77</v>
      </c>
      <c r="Y33" s="50" t="s">
        <v>78</v>
      </c>
      <c r="Z33" s="51" t="s">
        <v>79</v>
      </c>
      <c r="AA33" s="51" t="s">
        <v>77</v>
      </c>
      <c r="AB33" s="50" t="s">
        <v>75</v>
      </c>
      <c r="AC33" s="51" t="s">
        <v>76</v>
      </c>
      <c r="AD33" s="50" t="s">
        <v>78</v>
      </c>
      <c r="AE33" s="51" t="s">
        <v>79</v>
      </c>
      <c r="AF33" s="50" t="s">
        <v>75</v>
      </c>
      <c r="AG33" s="51" t="s">
        <v>76</v>
      </c>
      <c r="AH33" s="50" t="s">
        <v>78</v>
      </c>
      <c r="AI33" s="51" t="s">
        <v>79</v>
      </c>
      <c r="AJ33" s="50" t="s">
        <v>75</v>
      </c>
      <c r="AK33" s="51" t="s">
        <v>76</v>
      </c>
      <c r="AL33" s="50" t="s">
        <v>78</v>
      </c>
      <c r="AM33" s="55" t="s">
        <v>79</v>
      </c>
      <c r="AN33" s="50" t="s">
        <v>75</v>
      </c>
      <c r="AO33" s="51" t="s">
        <v>76</v>
      </c>
      <c r="AP33" s="50" t="s">
        <v>78</v>
      </c>
      <c r="AQ33" s="51" t="s">
        <v>76</v>
      </c>
      <c r="AR33" s="7"/>
      <c r="AS33" s="62" t="s">
        <v>80</v>
      </c>
      <c r="AT33" s="51" t="s">
        <v>81</v>
      </c>
      <c r="AU33" s="50" t="s">
        <v>82</v>
      </c>
      <c r="AV33" s="51" t="s">
        <v>83</v>
      </c>
    </row>
    <row r="34" spans="3:49" x14ac:dyDescent="0.35">
      <c r="C34" s="64"/>
      <c r="E34" s="65"/>
      <c r="L34" s="2"/>
      <c r="M34" s="2"/>
      <c r="N34" s="2"/>
      <c r="O34" s="2"/>
      <c r="R34" s="52"/>
      <c r="S34" s="53"/>
      <c r="T34" s="52"/>
      <c r="U34" s="53"/>
      <c r="V34" s="52"/>
      <c r="W34" s="53"/>
      <c r="X34" s="53"/>
      <c r="Y34" s="52"/>
      <c r="Z34" s="53"/>
      <c r="AA34" s="53"/>
      <c r="AB34" s="52"/>
      <c r="AC34" s="53"/>
      <c r="AD34" s="52"/>
      <c r="AE34" s="53"/>
      <c r="AF34" s="52"/>
      <c r="AG34" s="53"/>
      <c r="AH34" s="50"/>
      <c r="AI34" s="51"/>
      <c r="AJ34" s="50"/>
      <c r="AK34" s="51"/>
      <c r="AL34" s="57"/>
      <c r="AM34" s="56"/>
      <c r="AN34" s="49"/>
      <c r="AO34" s="45"/>
      <c r="AP34" s="49"/>
      <c r="AQ34" s="45"/>
      <c r="AS34" s="58" t="s">
        <v>87</v>
      </c>
      <c r="AT34" s="53"/>
      <c r="AU34" s="52"/>
      <c r="AV34" s="53"/>
      <c r="AW34" s="16"/>
    </row>
    <row r="35" spans="3:49" x14ac:dyDescent="0.35">
      <c r="C35" s="64"/>
      <c r="E35" s="65"/>
      <c r="Q35" t="str">
        <f>B9</f>
        <v>USA</v>
      </c>
      <c r="R35" s="49">
        <f>AVERAGE('Model_world regions'!$Z34,'Model_world regions'!$AV34,'Model_world regions'!$BN34,'Model_world regions'!$CF34,'Model_world regions'!$CX34,'Model_world regions'!$DP34)</f>
        <v>26423.640666646581</v>
      </c>
      <c r="S35" s="45">
        <f>_xlfn.STDEV.S('Model_world regions'!$Z34,'Model_world regions'!$AV34,'Model_world regions'!$BN34,'Model_world regions'!$CF34,'Model_world regions'!$CX34,'Model_world regions'!$DP34)</f>
        <v>1303.2765513337847</v>
      </c>
      <c r="T35" s="49">
        <f>AVERAGE('Model_world regions'!$AA34,'Model_world regions'!$AW34,'Model_world regions'!$BO34,'Model_world regions'!$CG34,'Model_world regions'!$CY34,'Model_world regions'!$DQ34)</f>
        <v>5084.8592078077991</v>
      </c>
      <c r="U35" s="45">
        <f>_xlfn.STDEV.S('Model_world regions'!$AA34,'Model_world regions'!$AW34,'Model_world regions'!$BO34,'Model_world regions'!$CG34,'Model_world regions'!$CY34,'Model_world regions'!$DQ34)</f>
        <v>530.09082091475489</v>
      </c>
      <c r="V35" s="49">
        <f>AVERAGE('Model_world regions'!$AE34,'Model_world regions'!$BA34,'Model_world regions'!$BS34,'Model_world regions'!$CK34,'Model_world regions'!$DC34,'Model_world regions'!$DU34)</f>
        <v>49.180757902654676</v>
      </c>
      <c r="W35" s="45">
        <f>_xlfn.STDEV.S('Model_world regions'!$AE34,'Model_world regions'!$BA34,'Model_world regions'!$BS34,'Model_world regions'!$CK34,'Model_world regions'!$DC34,'Model_world regions'!$DU34)</f>
        <v>21.736016043310237</v>
      </c>
      <c r="X35" s="45">
        <f>W35^2</f>
        <v>472.45439343504</v>
      </c>
      <c r="Y35" s="49">
        <f>AVERAGE('Model_world regions'!$AG34,'Model_world regions'!$BC34,'Model_world regions'!$BU34,'Model_world regions'!$CM34,'Model_world regions'!$DE34,'Model_world regions'!$DW34)</f>
        <v>55.812399464995245</v>
      </c>
      <c r="Z35" s="45">
        <f>_xlfn.STDEV.S('Model_world regions'!$AG34,'Model_world regions'!$BC34,'Model_world regions'!$BU34,'Model_world regions'!$CM34,'Model_world regions'!$DE34,'Model_world regions'!$DW34)</f>
        <v>22.614667683186628</v>
      </c>
      <c r="AA35" s="45">
        <f>Z35^2</f>
        <v>511.42319442096567</v>
      </c>
      <c r="AB35" s="49">
        <f>AVERAGE('Model_world regions'!$AD34,'Model_world regions'!$AZ34,'Model_world regions'!$BR34,'Model_world regions'!$CJ34,'Model_world regions'!$DB34,'Model_world regions'!$DT34)</f>
        <v>30.00926102251147</v>
      </c>
      <c r="AC35" s="45">
        <f>_xlfn.STDEV.S('Model_world regions'!$AD34,'Model_world regions'!$AZ34,'Model_world regions'!$BR34,'Model_world regions'!$CJ34,'Model_world regions'!$DB34,'Model_world regions'!$DT34)</f>
        <v>20.588789387045104</v>
      </c>
      <c r="AD35" s="49">
        <f>AVERAGE('Model_world regions'!$AF34,'Model_world regions'!$BB34,'Model_world regions'!$BT34,'Model_world regions'!$CL34,'Model_world regions'!$DD34,'Model_world regions'!$DV34)</f>
        <v>35.812384436024161</v>
      </c>
      <c r="AE35" s="45">
        <f>_xlfn.STDEV.S('Model_world regions'!$AF34,'Model_world regions'!$BB34,'Model_world regions'!$BT34,'Model_world regions'!$CL34,'Model_world regions'!$DD34,'Model_world regions'!$DV34)</f>
        <v>23.020914076401109</v>
      </c>
      <c r="AF35" s="49">
        <f>AVERAGE('Model_world regions'!$AK34,'Model_world regions'!$BG34,'Model_world regions'!$BY34,'Model_world regions'!$CQ34,'Model_world regions'!$DI34,'Model_world regions'!$EA34)</f>
        <v>4461.628766358991</v>
      </c>
      <c r="AG35" s="45">
        <f>_xlfn.STDEV.S('Model_world regions'!$AK34,'Model_world regions'!$BG34,'Model_world regions'!$BY34,'Model_world regions'!$CQ34,'Model_world regions'!$DI34,'Model_world regions'!$EA34)</f>
        <v>308.89183172633614</v>
      </c>
      <c r="AH35" s="49">
        <f>AVERAGE('Model_world regions'!$AL34,'Model_world regions'!$BH34,'Model_world regions'!$BZ34,'Model_world regions'!$CR34,'Model_world regions'!$DJ34,'Model_world regions'!$EB34)</f>
        <v>4176.3716718663291</v>
      </c>
      <c r="AI35" s="45">
        <f>_xlfn.STDEV.S('Model_world regions'!$AL34,'Model_world regions'!$BH34,'Model_world regions'!$BZ34,'Model_world regions'!$CR34,'Model_world regions'!$DJ34,'Model_world regions'!$EB34)</f>
        <v>253.1513075941572</v>
      </c>
      <c r="AJ35" s="49">
        <f>AVERAGE('Model_world regions'!$AM34,'Model_world regions'!$BI34,'Model_world regions'!$CA34,'Model_world regions'!$CS34,'Model_world regions'!$DK34,'Model_world regions'!$EC34)</f>
        <v>1014.1644693151757</v>
      </c>
      <c r="AK35" s="45">
        <f>_xlfn.STDEV.S('Model_world regions'!$AM34,'Model_world regions'!$BI34,'Model_world regions'!$CA34,'Model_world regions'!$CS34,'Model_world regions'!$DK34,'Model_world regions'!$EC34)</f>
        <v>308.89183172633665</v>
      </c>
      <c r="AL35" s="49">
        <f>AVERAGE('Model_world regions'!$AN34,'Model_world regions'!$BJ34,'Model_world regions'!$CB34,'Model_world regions'!$CT34,'Model_world regions'!$DL34,'Model_world regions'!$ED34)</f>
        <v>839.53099207669584</v>
      </c>
      <c r="AM35" s="45">
        <f>_xlfn.STDEV.S('Model_world regions'!$AN34,'Model_world regions'!$BJ34,'Model_world regions'!$CB34,'Model_world regions'!$CT34,'Model_world regions'!$DL34,'Model_world regions'!$ED34)</f>
        <v>253.1513075941572</v>
      </c>
      <c r="AN35" s="96">
        <f>AVERAGE('Model_world regions'!AS34,'Model_world regions'!BK34,'Model_world regions'!CC34,'Model_world regions'!CU34,'Model_world regions'!DM34,'Model_world regions'!EE34)</f>
        <v>10.007942107338598</v>
      </c>
      <c r="AO35" s="85">
        <f>_xlfn.STDEV.S('Model_world regions'!AS34,'Model_world regions'!BK34,'Model_world regions'!CC34,'Model_world regions'!CU34,'Model_world regions'!DM34,'Model_world regions'!EE34)</f>
        <v>7.8600070763041119</v>
      </c>
      <c r="AP35" s="97">
        <f>AVERAGE('Model_world regions'!AT34,'Model_world regions'!BL34,'Model_world regions'!CD34,'Model_world regions'!CV34,'Model_world regions'!DN34,'Model_world regions'!EF34)</f>
        <v>19.07340388334126</v>
      </c>
      <c r="AQ35" s="86">
        <f>_xlfn.STDEV.S('Model_world regions'!AT34,'Model_world regions'!BL34,'Model_world regions'!CD34,'Model_world regions'!CV34,'Model_world regions'!DN34,'Model_world regions'!EF34)</f>
        <v>12.841295627312778</v>
      </c>
      <c r="AS35" s="49">
        <f>V35*T35</f>
        <v>250077.22966827982</v>
      </c>
      <c r="AT35" s="45">
        <f>T35*X35</f>
        <v>2402364.0727274115</v>
      </c>
      <c r="AU35" s="49">
        <f>Y35*T35</f>
        <v>283798.19332942815</v>
      </c>
      <c r="AV35" s="45">
        <f>T35*AA35</f>
        <v>2600514.9392379257</v>
      </c>
    </row>
    <row r="36" spans="3:49" x14ac:dyDescent="0.35">
      <c r="C36" s="64"/>
      <c r="E36" s="65"/>
      <c r="Q36" t="str">
        <f t="shared" ref="Q36:Q50" si="11">B10</f>
        <v>CAN</v>
      </c>
      <c r="R36" s="49">
        <f>AVERAGE('Model_world regions'!$Z35,'Model_world regions'!$AV35,'Model_world regions'!$BN35,'Model_world regions'!$CF35,'Model_world regions'!$CX35,'Model_world regions'!$DP35)</f>
        <v>2042.0458165165253</v>
      </c>
      <c r="S36" s="45">
        <f>_xlfn.STDEV.S('Model_world regions'!$Z35,'Model_world regions'!$AV35,'Model_world regions'!$BN35,'Model_world regions'!$CF35,'Model_world regions'!$CX35,'Model_world regions'!$DP35)</f>
        <v>80.546227788881808</v>
      </c>
      <c r="T36" s="49">
        <f>AVERAGE('Model_world regions'!$AA35,'Model_world regions'!$AW35,'Model_world regions'!$BO35,'Model_world regions'!$CG35,'Model_world regions'!$CY35,'Model_world regions'!$DQ35)</f>
        <v>576.66426175716788</v>
      </c>
      <c r="U36" s="45">
        <f>_xlfn.STDEV.S('Model_world regions'!$AA35,'Model_world regions'!$AW35,'Model_world regions'!$BO35,'Model_world regions'!$CG35,'Model_world regions'!$CY35,'Model_world regions'!$DQ35)</f>
        <v>60.039606871408928</v>
      </c>
      <c r="V36" s="49">
        <f>AVERAGE('Model_world regions'!$AE35,'Model_world regions'!$BA35,'Model_world regions'!$BS35,'Model_world regions'!$CK35,'Model_world regions'!$DC35,'Model_world regions'!$DU35)</f>
        <v>131.43911960884108</v>
      </c>
      <c r="W36" s="45">
        <f>_xlfn.STDEV.S('Model_world regions'!$AE35,'Model_world regions'!$BA35,'Model_world regions'!$BS35,'Model_world regions'!$CK35,'Model_world regions'!$DC35,'Model_world regions'!$DU35)</f>
        <v>40.768999611265905</v>
      </c>
      <c r="X36" s="45">
        <f t="shared" ref="X36:X50" si="12">W36^2</f>
        <v>1662.1113293033995</v>
      </c>
      <c r="Y36" s="49">
        <f>AVERAGE('Model_world regions'!$AG35,'Model_world regions'!$BC35,'Model_world regions'!$BU35,'Model_world regions'!$CM35,'Model_world regions'!$DE35,'Model_world regions'!$DW35)</f>
        <v>162.06096103554424</v>
      </c>
      <c r="Z36" s="45">
        <f>_xlfn.STDEV.S('Model_world regions'!$AG35,'Model_world regions'!$BC35,'Model_world regions'!$BU35,'Model_world regions'!$CM35,'Model_world regions'!$DE35,'Model_world regions'!$DW35)</f>
        <v>42.44234721825849</v>
      </c>
      <c r="AA36" s="45">
        <f t="shared" ref="AA36:AA50" si="13">Z36^2</f>
        <v>1801.3528373952142</v>
      </c>
      <c r="AB36" s="49">
        <f>AVERAGE('Model_world regions'!$AD35,'Model_world regions'!$AZ35,'Model_world regions'!$BR35,'Model_world regions'!$CJ35,'Model_world regions'!$DB35,'Model_world regions'!$DT35)</f>
        <v>11.271292571674019</v>
      </c>
      <c r="AC36" s="45">
        <f>_xlfn.STDEV.S('Model_world regions'!$AD35,'Model_world regions'!$AZ35,'Model_world regions'!$BR35,'Model_world regions'!$CJ35,'Model_world regions'!$DB35,'Model_world regions'!$DT35)</f>
        <v>5.8865933295691883</v>
      </c>
      <c r="AD36" s="49">
        <f>AVERAGE('Model_world regions'!$AF35,'Model_world regions'!$BB35,'Model_world regions'!$BT35,'Model_world regions'!$CL35,'Model_world regions'!$DD35,'Model_world regions'!$DV35)</f>
        <v>15.224007212336124</v>
      </c>
      <c r="AE36" s="45">
        <f>_xlfn.STDEV.S('Model_world regions'!$AF35,'Model_world regions'!$BB35,'Model_world regions'!$BT35,'Model_world regions'!$CL35,'Model_world regions'!$DD35,'Model_world regions'!$DV35)</f>
        <v>7.0052385115268532</v>
      </c>
      <c r="AF36" s="49">
        <f>AVERAGE('Model_world regions'!$AK35,'Model_world regions'!$BG35,'Model_world regions'!$BY35,'Model_world regions'!$CQ35,'Model_world regions'!$DI35,'Model_world regions'!$EA35)</f>
        <v>520.69722339396606</v>
      </c>
      <c r="AG36" s="45">
        <f>_xlfn.STDEV.S('Model_world regions'!$AK35,'Model_world regions'!$BG35,'Model_world regions'!$BY35,'Model_world regions'!$CQ35,'Model_world regions'!$DI35,'Model_world regions'!$EA35)</f>
        <v>40.31699845369365</v>
      </c>
      <c r="AH36" s="49">
        <f>AVERAGE('Model_world regions'!$AL35,'Model_world regions'!$BH35,'Model_world regions'!$BZ35,'Model_world regions'!$CR35,'Model_world regions'!$DJ35,'Model_world regions'!$EB35)</f>
        <v>495.0679128186411</v>
      </c>
      <c r="AI36" s="45">
        <f>_xlfn.STDEV.S('Model_world regions'!$AL35,'Model_world regions'!$BH35,'Model_world regions'!$BZ35,'Model_world regions'!$CR35,'Model_world regions'!$DJ35,'Model_world regions'!$EB35)</f>
        <v>35.435848667549578</v>
      </c>
      <c r="AJ36" s="49">
        <f>AVERAGE('Model_world regions'!$AM35,'Model_world regions'!$BI35,'Model_world regions'!$CA35,'Model_world regions'!$CS35,'Model_world regions'!$DK35,'Model_world regions'!$EC35)</f>
        <v>185.90171231929821</v>
      </c>
      <c r="AK36" s="45">
        <f>_xlfn.STDEV.S('Model_world regions'!$AM35,'Model_world regions'!$BI35,'Model_world regions'!$CA35,'Model_world regions'!$CS35,'Model_world regions'!$DK35,'Model_world regions'!$EC35)</f>
        <v>40.316998453693635</v>
      </c>
      <c r="AL36" s="49">
        <f>AVERAGE('Model_world regions'!$AN35,'Model_world regions'!$BJ35,'Model_world regions'!$CB35,'Model_world regions'!$CT35,'Model_world regions'!$DL35,'Model_world regions'!$ED35)</f>
        <v>187.25908179242219</v>
      </c>
      <c r="AM36" s="45">
        <f>_xlfn.STDEV.S('Model_world regions'!$AN35,'Model_world regions'!$BJ35,'Model_world regions'!$CB35,'Model_world regions'!$CT35,'Model_world regions'!$DL35,'Model_world regions'!$ED35)</f>
        <v>35.435848667549251</v>
      </c>
      <c r="AN36" s="98">
        <f>AVERAGE('Model_world regions'!AS35,'Model_world regions'!BK35,'Model_world regions'!CC35,'Model_world regions'!CU35,'Model_world regions'!DM35,'Model_world regions'!EE35)</f>
        <v>1.6267425280560124</v>
      </c>
      <c r="AO36" s="45">
        <f>_xlfn.STDEV.S('Model_world regions'!AS35,'Model_world regions'!BK35,'Model_world regions'!CC35,'Model_world regions'!CU35,'Model_world regions'!DM35,'Model_world regions'!EE35)</f>
        <v>1.1972874376140006</v>
      </c>
      <c r="AP36" s="49">
        <f>AVERAGE('Model_world regions'!AT35,'Model_world regions'!BL35,'Model_world regions'!CD35,'Model_world regions'!CV35,'Model_world regions'!DN35,'Model_world regions'!EF35)</f>
        <v>3.4770632417092657</v>
      </c>
      <c r="AQ36" s="54">
        <f>_xlfn.STDEV.S('Model_world regions'!AT35,'Model_world regions'!BL35,'Model_world regions'!CD35,'Model_world regions'!CV35,'Model_world regions'!DN35,'Model_world regions'!EF35)</f>
        <v>2.1101576164978635</v>
      </c>
      <c r="AS36" s="49">
        <f t="shared" ref="AS36:AS50" si="14">V36*T36</f>
        <v>75796.242875244425</v>
      </c>
      <c r="AT36" s="45">
        <f t="shared" ref="AT36:AT50" si="15">T36*X36</f>
        <v>958480.20267096988</v>
      </c>
      <c r="AU36" s="49">
        <f t="shared" ref="AU36:AU50" si="16">Y36*T36</f>
        <v>93454.764455219265</v>
      </c>
      <c r="AV36" s="45">
        <f t="shared" ref="AV36:AV50" si="17">T36*AA36</f>
        <v>1038775.8041406909</v>
      </c>
    </row>
    <row r="37" spans="3:49" x14ac:dyDescent="0.35">
      <c r="C37" s="64"/>
      <c r="E37" s="65"/>
      <c r="Q37" t="str">
        <f t="shared" si="11"/>
        <v>JPN</v>
      </c>
      <c r="R37" s="49">
        <f>AVERAGE('Model_world regions'!$Z36,'Model_world regions'!$AV36,'Model_world regions'!$BN36,'Model_world regions'!$CF36,'Model_world regions'!$CX36,'Model_world regions'!$DP36)</f>
        <v>5603.6516926257291</v>
      </c>
      <c r="S37" s="45">
        <f>_xlfn.STDEV.S('Model_world regions'!$Z36,'Model_world regions'!$AV36,'Model_world regions'!$BN36,'Model_world regions'!$CF36,'Model_world regions'!$CX36,'Model_world regions'!$DP36)</f>
        <v>221.33851975337336</v>
      </c>
      <c r="T37" s="49">
        <f>AVERAGE('Model_world regions'!$AA36,'Model_world regions'!$AW36,'Model_world regions'!$BO36,'Model_world regions'!$CG36,'Model_world regions'!$CY36,'Model_world regions'!$DQ36)</f>
        <v>1152.7978676783359</v>
      </c>
      <c r="U37" s="45">
        <f>_xlfn.STDEV.S('Model_world regions'!$AA36,'Model_world regions'!$AW36,'Model_world regions'!$BO36,'Model_world regions'!$CG36,'Model_world regions'!$CY36,'Model_world regions'!$DQ36)</f>
        <v>163.75285874367026</v>
      </c>
      <c r="V37" s="49">
        <f>AVERAGE('Model_world regions'!$AE36,'Model_world regions'!$BA36,'Model_world regions'!$BS36,'Model_world regions'!$CK36,'Model_world regions'!$DC36,'Model_world regions'!$DU36)</f>
        <v>127.97275969880911</v>
      </c>
      <c r="W37" s="45">
        <f>_xlfn.STDEV.S('Model_world regions'!$AE36,'Model_world regions'!$BA36,'Model_world regions'!$BS36,'Model_world regions'!$CK36,'Model_world regions'!$DC36,'Model_world regions'!$DU36)</f>
        <v>45.531238113562175</v>
      </c>
      <c r="X37" s="45">
        <f t="shared" si="12"/>
        <v>2073.093644153897</v>
      </c>
      <c r="Y37" s="49">
        <f>AVERAGE('Model_world regions'!$AG36,'Model_world regions'!$BC36,'Model_world regions'!$BU36,'Model_world regions'!$CM36,'Model_world regions'!$DE36,'Model_world regions'!$DW36)</f>
        <v>151.67299683792166</v>
      </c>
      <c r="Z37" s="45">
        <f>_xlfn.STDEV.S('Model_world regions'!$AG36,'Model_world regions'!$BC36,'Model_world regions'!$BU36,'Model_world regions'!$CM36,'Model_world regions'!$DE36,'Model_world regions'!$DW36)</f>
        <v>46.240782512003499</v>
      </c>
      <c r="AA37" s="45">
        <f t="shared" si="13"/>
        <v>2138.2099673224084</v>
      </c>
      <c r="AB37" s="49">
        <f>AVERAGE('Model_world regions'!$AD36,'Model_world regions'!$AZ36,'Model_world regions'!$BR36,'Model_world regions'!$CJ36,'Model_world regions'!$DB36,'Model_world regions'!$DT36)</f>
        <v>23.724355454204101</v>
      </c>
      <c r="AC37" s="45">
        <f>_xlfn.STDEV.S('Model_world regions'!$AD36,'Model_world regions'!$AZ36,'Model_world regions'!$BR36,'Model_world regions'!$CJ36,'Model_world regions'!$DB36,'Model_world regions'!$DT36)</f>
        <v>15.647789648434468</v>
      </c>
      <c r="AD37" s="49">
        <f>AVERAGE('Model_world regions'!$AF36,'Model_world regions'!$BB36,'Model_world regions'!$BT36,'Model_world regions'!$CL36,'Model_world regions'!$DD36,'Model_world regions'!$DV36)</f>
        <v>30.055903557093021</v>
      </c>
      <c r="AE37" s="45">
        <f>_xlfn.STDEV.S('Model_world regions'!$AF36,'Model_world regions'!$BB36,'Model_world regions'!$BT36,'Model_world regions'!$CL36,'Model_world regions'!$DD36,'Model_world regions'!$DV36)</f>
        <v>17.699128157723457</v>
      </c>
      <c r="AF37" s="49">
        <f>AVERAGE('Model_world regions'!$AK36,'Model_world regions'!$BG36,'Model_world regions'!$BY36,'Model_world regions'!$CQ36,'Model_world regions'!$DI36,'Model_world regions'!$EA36)</f>
        <v>1033.9044446094554</v>
      </c>
      <c r="AG37" s="45">
        <f>_xlfn.STDEV.S('Model_world regions'!$AK36,'Model_world regions'!$BG36,'Model_world regions'!$BY36,'Model_world regions'!$CQ36,'Model_world regions'!$DI36,'Model_world regions'!$EA36)</f>
        <v>124.26119204314637</v>
      </c>
      <c r="AH37" s="49">
        <f>AVERAGE('Model_world regions'!$AL36,'Model_world regions'!$BH36,'Model_world regions'!$BZ36,'Model_world regions'!$CR36,'Model_world regions'!$DJ36,'Model_world regions'!$EB36)</f>
        <v>979.52010868821537</v>
      </c>
      <c r="AI37" s="45">
        <f>_xlfn.STDEV.S('Model_world regions'!$AL36,'Model_world regions'!$BH36,'Model_world regions'!$BZ36,'Model_world regions'!$CR36,'Model_world regions'!$DJ36,'Model_world regions'!$EB36)</f>
        <v>112.4485708003742</v>
      </c>
      <c r="AJ37" s="49">
        <f>AVERAGE('Model_world regions'!$AM36,'Model_world regions'!$BI36,'Model_world regions'!$CA36,'Model_world regions'!$CS36,'Model_world regions'!$DK36,'Model_world regions'!$EC36)</f>
        <v>389.20923604021363</v>
      </c>
      <c r="AK37" s="45">
        <f>_xlfn.STDEV.S('Model_world regions'!$AM36,'Model_world regions'!$BI36,'Model_world regions'!$CA36,'Model_world regions'!$CS36,'Model_world regions'!$DK36,'Model_world regions'!$EC36)</f>
        <v>124.26119204314675</v>
      </c>
      <c r="AL37" s="49">
        <f>AVERAGE('Model_world regions'!$AN36,'Model_world regions'!$BJ36,'Model_world regions'!$CB36,'Model_world regions'!$CT36,'Model_world regions'!$DL36,'Model_world regions'!$ED36)</f>
        <v>380.16627746280193</v>
      </c>
      <c r="AM37" s="45">
        <f>_xlfn.STDEV.S('Model_world regions'!$AN36,'Model_world regions'!$BJ36,'Model_world regions'!$CB36,'Model_world regions'!$CT36,'Model_world regions'!$DL36,'Model_world regions'!$ED36)</f>
        <v>112.44857080037451</v>
      </c>
      <c r="AN37" s="98">
        <f>AVERAGE('Model_world regions'!AS36,'Model_world regions'!BK36,'Model_world regions'!CC36,'Model_world regions'!CU36,'Model_world regions'!DM36,'Model_world regions'!EE36)</f>
        <v>3.4092383265858452</v>
      </c>
      <c r="AO37" s="45">
        <f>_xlfn.STDEV.S('Model_world regions'!AS36,'Model_world regions'!BK36,'Model_world regions'!CC36,'Model_world regions'!CU36,'Model_world regions'!DM36,'Model_world regions'!EE36)</f>
        <v>2.4938329340620387</v>
      </c>
      <c r="AP37" s="49">
        <f>AVERAGE('Model_world regions'!AT36,'Model_world regions'!BL36,'Model_world regions'!CD36,'Model_world regions'!CV36,'Model_world regions'!DN36,'Model_world regions'!EF36)</f>
        <v>7.1217338615613484</v>
      </c>
      <c r="AQ37" s="54">
        <f>_xlfn.STDEV.S('Model_world regions'!AT36,'Model_world regions'!BL36,'Model_world regions'!CD36,'Model_world regions'!CV36,'Model_world regions'!DN36,'Model_world regions'!EF36)</f>
        <v>4.4376828060074525</v>
      </c>
      <c r="AS37" s="49">
        <f t="shared" si="14"/>
        <v>147526.72450169924</v>
      </c>
      <c r="AT37" s="45">
        <f t="shared" si="15"/>
        <v>2389857.9324781233</v>
      </c>
      <c r="AU37" s="49">
        <f t="shared" si="16"/>
        <v>174848.30733913908</v>
      </c>
      <c r="AV37" s="45">
        <f t="shared" si="17"/>
        <v>2464923.8909778367</v>
      </c>
    </row>
    <row r="38" spans="3:49" x14ac:dyDescent="0.35">
      <c r="C38" s="64"/>
      <c r="E38" s="65"/>
      <c r="Q38" t="str">
        <f t="shared" si="11"/>
        <v>KOR</v>
      </c>
      <c r="R38" s="49">
        <f>AVERAGE('Model_world regions'!$Z37,'Model_world regions'!$AV37,'Model_world regions'!$BN37,'Model_world regions'!$CF37,'Model_world regions'!$CX37,'Model_world regions'!$DP37)</f>
        <v>2262.2153781468805</v>
      </c>
      <c r="S38" s="45">
        <f>_xlfn.STDEV.S('Model_world regions'!$Z37,'Model_world regions'!$AV37,'Model_world regions'!$BN37,'Model_world regions'!$CF37,'Model_world regions'!$CX37,'Model_world regions'!$DP37)</f>
        <v>105.26624847649745</v>
      </c>
      <c r="T38" s="49">
        <f>AVERAGE('Model_world regions'!$AA37,'Model_world regions'!$AW37,'Model_world regions'!$BO37,'Model_world regions'!$CG37,'Model_world regions'!$CY37,'Model_world regions'!$DQ37)</f>
        <v>685.86689632030618</v>
      </c>
      <c r="U38" s="45">
        <f>_xlfn.STDEV.S('Model_world regions'!$AA37,'Model_world regions'!$AW37,'Model_world regions'!$BO37,'Model_world regions'!$CG37,'Model_world regions'!$CY37,'Model_world regions'!$DQ37)</f>
        <v>146.35776562710595</v>
      </c>
      <c r="V38" s="49">
        <f>AVERAGE('Model_world regions'!$AE37,'Model_world regions'!$BA37,'Model_world regions'!$BS37,'Model_world regions'!$CK37,'Model_world regions'!$DC37,'Model_world regions'!$DU37)</f>
        <v>66.693363574798013</v>
      </c>
      <c r="W38" s="45">
        <f>_xlfn.STDEV.S('Model_world regions'!$AE37,'Model_world regions'!$BA37,'Model_world regions'!$BS37,'Model_world regions'!$CK37,'Model_world regions'!$DC37,'Model_world regions'!$DU37)</f>
        <v>34.57549371850093</v>
      </c>
      <c r="X38" s="45">
        <f t="shared" si="12"/>
        <v>1195.4647658780973</v>
      </c>
      <c r="Y38" s="49">
        <f>AVERAGE('Model_world regions'!$AG37,'Model_world regions'!$BC37,'Model_world regions'!$BU37,'Model_world regions'!$CM37,'Model_world regions'!$DE37,'Model_world regions'!$DW37)</f>
        <v>66.693363574798013</v>
      </c>
      <c r="Z38" s="45">
        <f>_xlfn.STDEV.S('Model_world regions'!$AG37,'Model_world regions'!$BC37,'Model_world regions'!$BU37,'Model_world regions'!$CM37,'Model_world regions'!$DE37,'Model_world regions'!$DW37)</f>
        <v>34.57549371850093</v>
      </c>
      <c r="AA38" s="45">
        <f t="shared" si="13"/>
        <v>1195.4647658780973</v>
      </c>
      <c r="AB38" s="49">
        <f>AVERAGE('Model_world regions'!$AD37,'Model_world regions'!$AZ37,'Model_world regions'!$BR37,'Model_world regions'!$CJ37,'Model_world regions'!$DB37,'Model_world regions'!$DT37)</f>
        <v>8.013564240410938</v>
      </c>
      <c r="AC38" s="45">
        <f>_xlfn.STDEV.S('Model_world regions'!$AD37,'Model_world regions'!$AZ37,'Model_world regions'!$BR37,'Model_world regions'!$CJ37,'Model_world regions'!$DB37,'Model_world regions'!$DT37)</f>
        <v>8.414464729881594</v>
      </c>
      <c r="AD38" s="49">
        <f>AVERAGE('Model_world regions'!$AF37,'Model_world regions'!$BB37,'Model_world regions'!$BT37,'Model_world regions'!$CL37,'Model_world regions'!$DD37,'Model_world regions'!$DV37)</f>
        <v>8.013564240410938</v>
      </c>
      <c r="AE38" s="45">
        <f>_xlfn.STDEV.S('Model_world regions'!$AF37,'Model_world regions'!$BB37,'Model_world regions'!$BT37,'Model_world regions'!$CL37,'Model_world regions'!$DD37,'Model_world regions'!$DV37)</f>
        <v>8.414464729881594</v>
      </c>
      <c r="AF38" s="49">
        <f>AVERAGE('Model_world regions'!$AK37,'Model_world regions'!$BG37,'Model_world regions'!$BY37,'Model_world regions'!$CQ37,'Model_world regions'!$DI37,'Model_world regions'!$EA37)</f>
        <v>590.0239536407762</v>
      </c>
      <c r="AG38" s="45">
        <f>_xlfn.STDEV.S('Model_world regions'!$AK37,'Model_world regions'!$BG37,'Model_world regions'!$BY37,'Model_world regions'!$CQ37,'Model_world regions'!$DI37,'Model_world regions'!$EA37)</f>
        <v>113.18050676615269</v>
      </c>
      <c r="AH38" s="49">
        <f>AVERAGE('Model_world regions'!$AL37,'Model_world regions'!$BH37,'Model_world regions'!$BZ37,'Model_world regions'!$CR37,'Model_world regions'!$DJ37,'Model_world regions'!$EB37)</f>
        <v>546.21736439591621</v>
      </c>
      <c r="AI38" s="45">
        <f>_xlfn.STDEV.S('Model_world regions'!$AL37,'Model_world regions'!$BH37,'Model_world regions'!$BZ37,'Model_world regions'!$CR37,'Model_world regions'!$DJ37,'Model_world regions'!$EB37)</f>
        <v>101.33531291892076</v>
      </c>
      <c r="AJ38" s="49">
        <f>AVERAGE('Model_world regions'!$AM37,'Model_world regions'!$BI37,'Model_world regions'!$CA37,'Model_world regions'!$CS37,'Model_world regions'!$DK37,'Model_world regions'!$EC37)</f>
        <v>201.88834678533613</v>
      </c>
      <c r="AK38" s="45">
        <f>_xlfn.STDEV.S('Model_world regions'!$AM37,'Model_world regions'!$BI37,'Model_world regions'!$CA37,'Model_world regions'!$CS37,'Model_world regions'!$DK37,'Model_world regions'!$EC37)</f>
        <v>113.18050676615259</v>
      </c>
      <c r="AL38" s="49">
        <f>AVERAGE('Model_world regions'!$AN37,'Model_world regions'!$BJ37,'Model_world regions'!$CB37,'Model_world regions'!$CT37,'Model_world regions'!$DL37,'Model_world regions'!$ED37)</f>
        <v>158.08175754047622</v>
      </c>
      <c r="AM38" s="45">
        <f>_xlfn.STDEV.S('Model_world regions'!$AN37,'Model_world regions'!$BJ37,'Model_world regions'!$CB37,'Model_world regions'!$CT37,'Model_world regions'!$DL37,'Model_world regions'!$ED37)</f>
        <v>101.33531291892037</v>
      </c>
      <c r="AN38" s="98">
        <f>AVERAGE('Model_world regions'!AS37,'Model_world regions'!BK37,'Model_world regions'!CC37,'Model_world regions'!CU37,'Model_world regions'!DM37,'Model_world regions'!EE37)</f>
        <v>1.868799075692019</v>
      </c>
      <c r="AO38" s="45">
        <f>_xlfn.STDEV.S('Model_world regions'!AS37,'Model_world regions'!BK37,'Model_world regions'!CC37,'Model_world regions'!CU37,'Model_world regions'!DM37,'Model_world regions'!EE37)</f>
        <v>1.4970500769089254</v>
      </c>
      <c r="AP38" s="49">
        <f>AVERAGE('Model_world regions'!AT37,'Model_world regions'!BL37,'Model_world regions'!CD37,'Model_world regions'!CV37,'Model_world regions'!DN37,'Model_world regions'!EF37)</f>
        <v>3.3825708546321791</v>
      </c>
      <c r="AQ38" s="54">
        <f>_xlfn.STDEV.S('Model_world regions'!AT37,'Model_world regions'!BL37,'Model_world regions'!CD37,'Model_world regions'!CV37,'Model_world regions'!DN37,'Model_world regions'!EF37)</f>
        <v>2.6017494965937731</v>
      </c>
      <c r="AS38" s="49">
        <f t="shared" si="14"/>
        <v>45742.770280208475</v>
      </c>
      <c r="AT38" s="45">
        <f t="shared" si="15"/>
        <v>819929.70863309212</v>
      </c>
      <c r="AU38" s="49">
        <f t="shared" si="16"/>
        <v>45742.770280208475</v>
      </c>
      <c r="AV38" s="45">
        <f t="shared" si="17"/>
        <v>819929.70863309212</v>
      </c>
    </row>
    <row r="39" spans="3:49" x14ac:dyDescent="0.35">
      <c r="C39" s="64"/>
      <c r="E39" s="65"/>
      <c r="Q39" t="str">
        <f t="shared" si="11"/>
        <v>RUS</v>
      </c>
      <c r="R39" s="49">
        <f>AVERAGE('Model_world regions'!$Z38,'Model_world regions'!$AV38,'Model_world regions'!$BN38,'Model_world regions'!$CF38,'Model_world regions'!$CX38,'Model_world regions'!$DP38)</f>
        <v>2039.7575971447261</v>
      </c>
      <c r="S39" s="45">
        <f>_xlfn.STDEV.S('Model_world regions'!$Z38,'Model_world regions'!$AV38,'Model_world regions'!$BN38,'Model_world regions'!$CF38,'Model_world regions'!$CX38,'Model_world regions'!$DP38)</f>
        <v>216.15512615944633</v>
      </c>
      <c r="T39" s="49">
        <f>AVERAGE('Model_world regions'!$AA38,'Model_world regions'!$AW38,'Model_world regions'!$BO38,'Model_world regions'!$CG38,'Model_world regions'!$CY38,'Model_world regions'!$DQ38)</f>
        <v>1807.2083266003137</v>
      </c>
      <c r="U39" s="45">
        <f>_xlfn.STDEV.S('Model_world regions'!$AA38,'Model_world regions'!$AW38,'Model_world regions'!$BO38,'Model_world regions'!$CG38,'Model_world regions'!$CY38,'Model_world regions'!$DQ38)</f>
        <v>87.883888042923687</v>
      </c>
      <c r="V39" s="49">
        <f>AVERAGE('Model_world regions'!$AE38,'Model_world regions'!$BA38,'Model_world regions'!$BS38,'Model_world regions'!$CK38,'Model_world regions'!$DC38,'Model_world regions'!$DU38)</f>
        <v>1.1162835699883733</v>
      </c>
      <c r="W39" s="45">
        <f>_xlfn.STDEV.S('Model_world regions'!$AE38,'Model_world regions'!$BA38,'Model_world regions'!$BS38,'Model_world regions'!$CK38,'Model_world regions'!$DC38,'Model_world regions'!$DU38)</f>
        <v>1.6759071678491384</v>
      </c>
      <c r="X39" s="45">
        <f t="shared" si="12"/>
        <v>2.8086648352481203</v>
      </c>
      <c r="Y39" s="49">
        <f>AVERAGE('Model_world regions'!$AG38,'Model_world regions'!$BC38,'Model_world regions'!$BU38,'Model_world regions'!$CM38,'Model_world regions'!$DE38,'Model_world regions'!$DW38)</f>
        <v>1.1162835699883733</v>
      </c>
      <c r="Z39" s="45">
        <f>_xlfn.STDEV.S('Model_world regions'!$AG38,'Model_world regions'!$BC38,'Model_world regions'!$BU38,'Model_world regions'!$CM38,'Model_world regions'!$DE38,'Model_world regions'!$DW38)</f>
        <v>1.6759071678491384</v>
      </c>
      <c r="AA39" s="45">
        <f t="shared" si="13"/>
        <v>2.8086648352481203</v>
      </c>
      <c r="AB39" s="49">
        <f>AVERAGE('Model_world regions'!$AD38,'Model_world regions'!$AZ38,'Model_world regions'!$BR38,'Model_world regions'!$CJ38,'Model_world regions'!$DB38,'Model_world regions'!$DT38)</f>
        <v>5.9981480050157264E-2</v>
      </c>
      <c r="AC39" s="45">
        <f>_xlfn.STDEV.S('Model_world regions'!$AD38,'Model_world regions'!$AZ38,'Model_world regions'!$BR38,'Model_world regions'!$CJ38,'Model_world regions'!$DB38,'Model_world regions'!$DT38)</f>
        <v>0.11505471080031769</v>
      </c>
      <c r="AD39" s="49">
        <f>AVERAGE('Model_world regions'!$AF38,'Model_world regions'!$BB38,'Model_world regions'!$BT38,'Model_world regions'!$CL38,'Model_world regions'!$DD38,'Model_world regions'!$DV38)</f>
        <v>5.9981480050157264E-2</v>
      </c>
      <c r="AE39" s="45">
        <f>_xlfn.STDEV.S('Model_world regions'!$AF38,'Model_world regions'!$BB38,'Model_world regions'!$BT38,'Model_world regions'!$CL38,'Model_world regions'!$DD38,'Model_world regions'!$DV38)</f>
        <v>0.11505471080031769</v>
      </c>
      <c r="AF39" s="49">
        <f>AVERAGE('Model_world regions'!$AK38,'Model_world regions'!$BG38,'Model_world regions'!$BY38,'Model_world regions'!$CQ38,'Model_world regions'!$DI38,'Model_world regions'!$EA38)</f>
        <v>1594.2573329623413</v>
      </c>
      <c r="AG39" s="45">
        <f>_xlfn.STDEV.S('Model_world regions'!$AK38,'Model_world regions'!$BG38,'Model_world regions'!$BY38,'Model_world regions'!$CQ38,'Model_world regions'!$DI38,'Model_world regions'!$EA38)</f>
        <v>65.018652395904823</v>
      </c>
      <c r="AH39" s="49">
        <f>AVERAGE('Model_world regions'!$AL38,'Model_world regions'!$BH38,'Model_world regions'!$BZ38,'Model_world regions'!$CR38,'Model_world regions'!$DJ38,'Model_world regions'!$EB38)</f>
        <v>1495.6638537741158</v>
      </c>
      <c r="AI39" s="45">
        <f>_xlfn.STDEV.S('Model_world regions'!$AL38,'Model_world regions'!$BH38,'Model_world regions'!$BZ38,'Model_world regions'!$CR38,'Model_world regions'!$DJ38,'Model_world regions'!$EB38)</f>
        <v>63.866859210743385</v>
      </c>
      <c r="AJ39" s="49">
        <f>AVERAGE('Model_world regions'!$AM38,'Model_world regions'!$BI38,'Model_world regions'!$CA38,'Model_world regions'!$CS38,'Model_world regions'!$DK38,'Model_world regions'!$EC38)</f>
        <v>-146.98634602011632</v>
      </c>
      <c r="AK39" s="45">
        <f>_xlfn.STDEV.S('Model_world regions'!$AM38,'Model_world regions'!$BI38,'Model_world regions'!$CA38,'Model_world regions'!$CS38,'Model_world regions'!$DK38,'Model_world regions'!$EC38)</f>
        <v>57.014545342947862</v>
      </c>
      <c r="AL39" s="49">
        <f>AVERAGE('Model_world regions'!$AN38,'Model_world regions'!$BJ38,'Model_world regions'!$CB38,'Model_world regions'!$CT38,'Model_world regions'!$DL38,'Model_world regions'!$ED38)</f>
        <v>-245.57982520834184</v>
      </c>
      <c r="AM39" s="45">
        <f>_xlfn.STDEV.S('Model_world regions'!$AN38,'Model_world regions'!$BJ38,'Model_world regions'!$CB38,'Model_world regions'!$CT38,'Model_world regions'!$DL38,'Model_world regions'!$ED38)</f>
        <v>56.982618377807427</v>
      </c>
      <c r="AN39" s="98">
        <f>AVERAGE('Model_world regions'!AS38,'Model_world regions'!BK38,'Model_world regions'!CC38,'Model_world regions'!CU38,'Model_world regions'!DM38,'Model_world regions'!EE38)</f>
        <v>-0.58901820417002004</v>
      </c>
      <c r="AO39" s="45">
        <f>_xlfn.STDEV.S('Model_world regions'!AS38,'Model_world regions'!BK38,'Model_world regions'!CC38,'Model_world regions'!CU38,'Model_world regions'!DM38,'Model_world regions'!EE38)</f>
        <v>0.66850651146252016</v>
      </c>
      <c r="AP39" s="49">
        <f>AVERAGE('Model_world regions'!AT38,'Model_world regions'!BL38,'Model_world regions'!CD38,'Model_world regions'!CV38,'Model_world regions'!DN38,'Model_world regions'!EF38)</f>
        <v>-2.2475863013777739</v>
      </c>
      <c r="AQ39" s="54">
        <f>_xlfn.STDEV.S('Model_world regions'!AT38,'Model_world regions'!BL38,'Model_world regions'!CD38,'Model_world regions'!CV38,'Model_world regions'!DN38,'Model_world regions'!EF38)</f>
        <v>1.5742609681252588</v>
      </c>
      <c r="AS39" s="49">
        <f t="shared" si="14"/>
        <v>2017.3569625301122</v>
      </c>
      <c r="AT39" s="45">
        <f t="shared" si="15"/>
        <v>5075.8424768899013</v>
      </c>
      <c r="AU39" s="49">
        <f t="shared" si="16"/>
        <v>2017.3569625301122</v>
      </c>
      <c r="AV39" s="45">
        <f t="shared" si="17"/>
        <v>5075.8424768899013</v>
      </c>
    </row>
    <row r="40" spans="3:49" x14ac:dyDescent="0.35">
      <c r="C40" s="64"/>
      <c r="E40" s="65"/>
      <c r="Q40" t="str">
        <f t="shared" si="11"/>
        <v>CHN</v>
      </c>
      <c r="R40" s="49">
        <f>AVERAGE('Model_world regions'!$Z39,'Model_world regions'!$AV39,'Model_world regions'!$BN39,'Model_world regions'!$CF39,'Model_world regions'!$CX39,'Model_world regions'!$DP39)</f>
        <v>27350.395345251094</v>
      </c>
      <c r="S40" s="45">
        <f>_xlfn.STDEV.S('Model_world regions'!$Z39,'Model_world regions'!$AV39,'Model_world regions'!$BN39,'Model_world regions'!$CF39,'Model_world regions'!$CX39,'Model_world regions'!$DP39)</f>
        <v>3667.2266403226095</v>
      </c>
      <c r="T40" s="49">
        <f>AVERAGE('Model_world regions'!$AA39,'Model_world regions'!$AW39,'Model_world regions'!$BO39,'Model_world regions'!$CG39,'Model_world regions'!$CY39,'Model_world regions'!$DQ39)</f>
        <v>13590.564467446529</v>
      </c>
      <c r="U40" s="45">
        <f>_xlfn.STDEV.S('Model_world regions'!$AA39,'Model_world regions'!$AW39,'Model_world regions'!$BO39,'Model_world regions'!$CG39,'Model_world regions'!$CY39,'Model_world regions'!$DQ39)</f>
        <v>757.58500973669015</v>
      </c>
      <c r="V40" s="49">
        <f>AVERAGE('Model_world regions'!$AE39,'Model_world regions'!$BA39,'Model_world regions'!$BS39,'Model_world regions'!$CK39,'Model_world regions'!$DC39,'Model_world regions'!$DU39)</f>
        <v>2.6383863518722177</v>
      </c>
      <c r="W40" s="45">
        <f>_xlfn.STDEV.S('Model_world regions'!$AE39,'Model_world regions'!$BA39,'Model_world regions'!$BS39,'Model_world regions'!$CK39,'Model_world regions'!$DC39,'Model_world regions'!$DU39)</f>
        <v>2.7536335342434701</v>
      </c>
      <c r="X40" s="45">
        <f t="shared" si="12"/>
        <v>7.5824976409101845</v>
      </c>
      <c r="Y40" s="49">
        <f>AVERAGE('Model_world regions'!$AG39,'Model_world regions'!$BC39,'Model_world regions'!$BU39,'Model_world regions'!$CM39,'Model_world regions'!$DE39,'Model_world regions'!$DW39)</f>
        <v>6.3786906950370295</v>
      </c>
      <c r="Z40" s="45">
        <f>_xlfn.STDEV.S('Model_world regions'!$AG39,'Model_world regions'!$BC39,'Model_world regions'!$BU39,'Model_world regions'!$CM39,'Model_world regions'!$DE39,'Model_world regions'!$DW39)</f>
        <v>4.2149796032540383</v>
      </c>
      <c r="AA40" s="45">
        <f t="shared" si="13"/>
        <v>17.766053055847571</v>
      </c>
      <c r="AB40" s="49">
        <f>AVERAGE('Model_world regions'!$AD39,'Model_world regions'!$AZ39,'Model_world regions'!$BR39,'Model_world regions'!$CJ39,'Model_world regions'!$DB39,'Model_world regions'!$DT39)</f>
        <v>1.6799511467336448</v>
      </c>
      <c r="AC40" s="45">
        <f>_xlfn.STDEV.S('Model_world regions'!$AD39,'Model_world regions'!$AZ39,'Model_world regions'!$BR39,'Model_world regions'!$CJ39,'Model_world regions'!$DB39,'Model_world regions'!$DT39)</f>
        <v>2.3718417269496244</v>
      </c>
      <c r="AD40" s="49">
        <f>AVERAGE('Model_world regions'!$AF39,'Model_world regions'!$BB39,'Model_world regions'!$BT39,'Model_world regions'!$CL39,'Model_world regions'!$DD39,'Model_world regions'!$DV39)</f>
        <v>5.3828821021158477</v>
      </c>
      <c r="AE40" s="45">
        <f>_xlfn.STDEV.S('Model_world regions'!$AF39,'Model_world regions'!$BB39,'Model_world regions'!$BT39,'Model_world regions'!$CL39,'Model_world regions'!$DD39,'Model_world regions'!$DV39)</f>
        <v>5.3282642458292973</v>
      </c>
      <c r="AF40" s="49">
        <f>AVERAGE('Model_world regions'!$AK39,'Model_world regions'!$BG39,'Model_world regions'!$BY39,'Model_world regions'!$CQ39,'Model_world regions'!$DI39,'Model_world regions'!$EA39)</f>
        <v>11294.586387608577</v>
      </c>
      <c r="AG40" s="45">
        <f>_xlfn.STDEV.S('Model_world regions'!$AK39,'Model_world regions'!$BG39,'Model_world regions'!$BY39,'Model_world regions'!$CQ39,'Model_world regions'!$DI39,'Model_world regions'!$EA39)</f>
        <v>404.25386613753477</v>
      </c>
      <c r="AH40" s="49">
        <f>AVERAGE('Model_world regions'!$AL39,'Model_world regions'!$BH39,'Model_world regions'!$BZ39,'Model_world regions'!$CR39,'Model_world regions'!$DJ39,'Model_world regions'!$EB39)</f>
        <v>10236.0200339153</v>
      </c>
      <c r="AI40" s="45">
        <f>_xlfn.STDEV.S('Model_world regions'!$AL39,'Model_world regions'!$BH39,'Model_world regions'!$BZ39,'Model_world regions'!$CR39,'Model_world regions'!$DJ39,'Model_world regions'!$EB39)</f>
        <v>492.88936948183613</v>
      </c>
      <c r="AJ40" s="49">
        <f>AVERAGE('Model_world regions'!$AM39,'Model_world regions'!$BI39,'Model_world regions'!$CA39,'Model_world regions'!$CS39,'Model_world regions'!$DK39,'Model_world regions'!$EC39)</f>
        <v>-1014.7825745964043</v>
      </c>
      <c r="AK40" s="45">
        <f>_xlfn.STDEV.S('Model_world regions'!$AM39,'Model_world regions'!$BI39,'Model_world regions'!$CA39,'Model_world regions'!$CS39,'Model_world regions'!$DK39,'Model_world regions'!$EC39)</f>
        <v>404.25386613753489</v>
      </c>
      <c r="AL40" s="49">
        <f>AVERAGE('Model_world regions'!$AN39,'Model_world regions'!$BJ39,'Model_world regions'!$CB39,'Model_world regions'!$CT39,'Model_world regions'!$DL39,'Model_world regions'!$ED39)</f>
        <v>-1221.519038998407</v>
      </c>
      <c r="AM40" s="45">
        <f>_xlfn.STDEV.S('Model_world regions'!$AN39,'Model_world regions'!$BJ39,'Model_world regions'!$CB39,'Model_world regions'!$CT39,'Model_world regions'!$DL39,'Model_world regions'!$ED39)</f>
        <v>492.88936948183601</v>
      </c>
      <c r="AN40" s="98">
        <f>AVERAGE('Model_world regions'!AS39,'Model_world regions'!BK39,'Model_world regions'!CC39,'Model_world regions'!CU39,'Model_world regions'!DM39,'Model_world regions'!EE39)</f>
        <v>-1.2524875925755488</v>
      </c>
      <c r="AO40" s="45">
        <f>_xlfn.STDEV.S('Model_world regions'!AS39,'Model_world regions'!BK39,'Model_world regions'!CC39,'Model_world regions'!CU39,'Model_world regions'!DM39,'Model_world regions'!EE39)</f>
        <v>3.6168450794466676</v>
      </c>
      <c r="AP40" s="49">
        <f>AVERAGE('Model_world regions'!AT39,'Model_world regions'!BL39,'Model_world regions'!CD39,'Model_world regions'!CV39,'Model_world regions'!DN39,'Model_world regions'!EF39)</f>
        <v>-1.2366760986781056</v>
      </c>
      <c r="AQ40" s="54">
        <f>_xlfn.STDEV.S('Model_world regions'!AT39,'Model_world regions'!BL39,'Model_world regions'!CD39,'Model_world regions'!CV39,'Model_world regions'!DN39,'Model_world regions'!EF39)</f>
        <v>7.5719229836321844</v>
      </c>
      <c r="AS40" s="49">
        <f t="shared" si="14"/>
        <v>35857.159805150441</v>
      </c>
      <c r="AT40" s="45">
        <f t="shared" si="15"/>
        <v>103050.42301305108</v>
      </c>
      <c r="AU40" s="49">
        <f t="shared" si="16"/>
        <v>86690.007108802063</v>
      </c>
      <c r="AV40" s="45">
        <f t="shared" si="17"/>
        <v>241450.68938757182</v>
      </c>
    </row>
    <row r="41" spans="3:49" x14ac:dyDescent="0.35">
      <c r="C41" s="64"/>
      <c r="E41" s="65"/>
      <c r="Q41" t="str">
        <f t="shared" si="11"/>
        <v>GBR</v>
      </c>
      <c r="R41" s="49">
        <f>AVERAGE('Model_world regions'!$Z40,'Model_world regions'!$AV40,'Model_world regions'!$BN40,'Model_world regions'!$CF40,'Model_world regions'!$CX40,'Model_world regions'!$DP40)</f>
        <v>3865.3360868313407</v>
      </c>
      <c r="S41" s="45">
        <f>_xlfn.STDEV.S('Model_world regions'!$Z40,'Model_world regions'!$AV40,'Model_world regions'!$BN40,'Model_world regions'!$CF40,'Model_world regions'!$CX40,'Model_world regions'!$DP40)</f>
        <v>191.79056298235591</v>
      </c>
      <c r="T41" s="49">
        <f>AVERAGE('Model_world regions'!$AA40,'Model_world regions'!$AW40,'Model_world regions'!$BO40,'Model_world regions'!$CG40,'Model_world regions'!$CY40,'Model_world regions'!$DQ40)</f>
        <v>391.89827514319268</v>
      </c>
      <c r="U41" s="45">
        <f>_xlfn.STDEV.S('Model_world regions'!$AA40,'Model_world regions'!$AW40,'Model_world regions'!$BO40,'Model_world regions'!$CG40,'Model_world regions'!$CY40,'Model_world regions'!$DQ40)</f>
        <v>43.47441255664959</v>
      </c>
      <c r="V41" s="49">
        <f>AVERAGE('Model_world regions'!$AE40,'Model_world regions'!$BA40,'Model_world regions'!$BS40,'Model_world regions'!$CK40,'Model_world regions'!$DC40,'Model_world regions'!$DU40)</f>
        <v>124.91830632735618</v>
      </c>
      <c r="W41" s="45">
        <f>_xlfn.STDEV.S('Model_world regions'!$AE40,'Model_world regions'!$BA40,'Model_world regions'!$BS40,'Model_world regions'!$CK40,'Model_world regions'!$DC40,'Model_world regions'!$DU40)</f>
        <v>43.878415813279197</v>
      </c>
      <c r="X41" s="45">
        <f t="shared" si="12"/>
        <v>1925.31537428303</v>
      </c>
      <c r="Y41" s="49">
        <f>AVERAGE('Model_world regions'!$AG40,'Model_world regions'!$BC40,'Model_world regions'!$BU40,'Model_world regions'!$CM40,'Model_world regions'!$DE40,'Model_world regions'!$DW40)</f>
        <v>124.91830632735618</v>
      </c>
      <c r="Z41" s="45">
        <f>_xlfn.STDEV.S('Model_world regions'!$AG40,'Model_world regions'!$BC40,'Model_world regions'!$BU40,'Model_world regions'!$CM40,'Model_world regions'!$DE40,'Model_world regions'!$DW40)</f>
        <v>43.878415813279197</v>
      </c>
      <c r="AA41" s="45">
        <f t="shared" si="13"/>
        <v>1925.31537428303</v>
      </c>
      <c r="AB41" s="49">
        <f>AVERAGE('Model_world regions'!$AD40,'Model_world regions'!$AZ40,'Model_world regions'!$BR40,'Model_world regions'!$CJ40,'Model_world regions'!$DB40,'Model_world regions'!$DT40)</f>
        <v>6.8301918621308078</v>
      </c>
      <c r="AC41" s="45">
        <f>_xlfn.STDEV.S('Model_world regions'!$AD40,'Model_world regions'!$AZ40,'Model_world regions'!$BR40,'Model_world regions'!$CJ40,'Model_world regions'!$DB40,'Model_world regions'!$DT40)</f>
        <v>4.0064527621058703</v>
      </c>
      <c r="AD41" s="49">
        <f>AVERAGE('Model_world regions'!$AF40,'Model_world regions'!$BB40,'Model_world regions'!$BT40,'Model_world regions'!$CL40,'Model_world regions'!$DD40,'Model_world regions'!$DV40)</f>
        <v>6.8301918621308078</v>
      </c>
      <c r="AE41" s="45">
        <f>_xlfn.STDEV.S('Model_world regions'!$AF40,'Model_world regions'!$BB40,'Model_world regions'!$BT40,'Model_world regions'!$CL40,'Model_world regions'!$DD40,'Model_world regions'!$DV40)</f>
        <v>4.0064527621058703</v>
      </c>
      <c r="AF41" s="49">
        <f>AVERAGE('Model_world regions'!$AK40,'Model_world regions'!$BG40,'Model_world regions'!$BY40,'Model_world regions'!$CQ40,'Model_world regions'!$DI40,'Model_world regions'!$EA40)</f>
        <v>355.90217283562691</v>
      </c>
      <c r="AG41" s="45">
        <f>_xlfn.STDEV.S('Model_world regions'!$AK40,'Model_world regions'!$BG40,'Model_world regions'!$BY40,'Model_world regions'!$CQ40,'Model_world regions'!$DI40,'Model_world regions'!$EA40)</f>
        <v>30.659102167798103</v>
      </c>
      <c r="AH41" s="49">
        <f>AVERAGE('Model_world regions'!$AL40,'Model_world regions'!$BH40,'Model_world regions'!$BZ40,'Model_world regions'!$CR40,'Model_world regions'!$DJ40,'Model_world regions'!$EB40)</f>
        <v>339.43026140764579</v>
      </c>
      <c r="AI41" s="45">
        <f>_xlfn.STDEV.S('Model_world regions'!$AL40,'Model_world regions'!$BH40,'Model_world regions'!$BZ40,'Model_world regions'!$CR40,'Model_world regions'!$DJ40,'Model_world regions'!$EB40)</f>
        <v>27.251687735621871</v>
      </c>
      <c r="AJ41" s="49">
        <f>AVERAGE('Model_world regions'!$AM40,'Model_world regions'!$BI40,'Model_world regions'!$CA40,'Model_world regions'!$CS40,'Model_world regions'!$DK40,'Model_world regions'!$EC40)</f>
        <v>115.52203862072848</v>
      </c>
      <c r="AK41" s="45">
        <f>_xlfn.STDEV.S('Model_world regions'!$AM40,'Model_world regions'!$BI40,'Model_world regions'!$CA40,'Model_world regions'!$CS40,'Model_world regions'!$DK40,'Model_world regions'!$EC40)</f>
        <v>30.659102167798135</v>
      </c>
      <c r="AL41" s="49">
        <f>AVERAGE('Model_world regions'!$AN40,'Model_world regions'!$BJ40,'Model_world regions'!$CB40,'Model_world regions'!$CT40,'Model_world regions'!$DL40,'Model_world regions'!$ED40)</f>
        <v>99.050127192747354</v>
      </c>
      <c r="AM41" s="45">
        <f>_xlfn.STDEV.S('Model_world regions'!$AN40,'Model_world regions'!$BJ40,'Model_world regions'!$CB40,'Model_world regions'!$CT40,'Model_world regions'!$DL40,'Model_world regions'!$ED40)</f>
        <v>27.251687735621896</v>
      </c>
      <c r="AN41" s="98">
        <f>AVERAGE('Model_world regions'!AS40,'Model_world regions'!BK40,'Model_world regions'!CC40,'Model_world regions'!CU40,'Model_world regions'!DM40,'Model_world regions'!EE40)</f>
        <v>1.0250254085113164</v>
      </c>
      <c r="AO41" s="45">
        <f>_xlfn.STDEV.S('Model_world regions'!AS40,'Model_world regions'!BK40,'Model_world regions'!CC40,'Model_world regions'!CU40,'Model_world regions'!DM40,'Model_world regions'!EE40)</f>
        <v>0.77019015867952956</v>
      </c>
      <c r="AP41" s="49">
        <f>AVERAGE('Model_world regions'!AT40,'Model_world regions'!BL40,'Model_world regions'!CD40,'Model_world regions'!CV40,'Model_world regions'!DN40,'Model_world regions'!EF40)</f>
        <v>1.9261930384547397</v>
      </c>
      <c r="AQ41" s="54">
        <f>_xlfn.STDEV.S('Model_world regions'!AT40,'Model_world regions'!BL40,'Model_world regions'!CD40,'Model_world regions'!CV40,'Model_world regions'!DN40,'Model_world regions'!EF40)</f>
        <v>1.2531573473713806</v>
      </c>
      <c r="AS41" s="49">
        <f t="shared" si="14"/>
        <v>48955.268783499858</v>
      </c>
      <c r="AT41" s="45">
        <f t="shared" si="15"/>
        <v>754527.77428818983</v>
      </c>
      <c r="AU41" s="49">
        <f t="shared" si="16"/>
        <v>48955.268783499858</v>
      </c>
      <c r="AV41" s="45">
        <f t="shared" si="17"/>
        <v>754527.77428818983</v>
      </c>
    </row>
    <row r="42" spans="3:49" x14ac:dyDescent="0.35">
      <c r="C42" s="64"/>
      <c r="E42" s="65"/>
      <c r="Q42" t="str">
        <f t="shared" si="11"/>
        <v>IND</v>
      </c>
      <c r="R42" s="49">
        <f>AVERAGE('Model_world regions'!$Z41,'Model_world regions'!$AV41,'Model_world regions'!$BN41,'Model_world regions'!$CF41,'Model_world regions'!$CX41,'Model_world regions'!$DP41)</f>
        <v>4798.9397521920828</v>
      </c>
      <c r="S42" s="45">
        <f>_xlfn.STDEV.S('Model_world regions'!$Z41,'Model_world regions'!$AV41,'Model_world regions'!$BN41,'Model_world regions'!$CF41,'Model_world regions'!$CX41,'Model_world regions'!$DP41)</f>
        <v>373.47136582828745</v>
      </c>
      <c r="T42" s="49">
        <f>AVERAGE('Model_world regions'!$AA41,'Model_world regions'!$AW41,'Model_world regions'!$BO41,'Model_world regions'!$CG41,'Model_world regions'!$CY41,'Model_world regions'!$DQ41)</f>
        <v>3194.1412208225265</v>
      </c>
      <c r="U42" s="45">
        <f>_xlfn.STDEV.S('Model_world regions'!$AA41,'Model_world regions'!$AW41,'Model_world regions'!$BO41,'Model_world regions'!$CG41,'Model_world regions'!$CY41,'Model_world regions'!$DQ41)</f>
        <v>378.83587287616245</v>
      </c>
      <c r="V42" s="49">
        <f>AVERAGE('Model_world regions'!$AE41,'Model_world regions'!$BA41,'Model_world regions'!$BS41,'Model_world regions'!$CK41,'Model_world regions'!$DC41,'Model_world regions'!$DU41)</f>
        <v>0</v>
      </c>
      <c r="W42" s="45">
        <f>_xlfn.STDEV.S('Model_world regions'!$AE41,'Model_world regions'!$BA41,'Model_world regions'!$BS41,'Model_world regions'!$CK41,'Model_world regions'!$DC41,'Model_world regions'!$DU41)</f>
        <v>0</v>
      </c>
      <c r="X42" s="45">
        <f t="shared" si="12"/>
        <v>0</v>
      </c>
      <c r="Y42" s="49">
        <f>AVERAGE('Model_world regions'!$AG41,'Model_world regions'!$BC41,'Model_world regions'!$BU41,'Model_world regions'!$CM41,'Model_world regions'!$DE41,'Model_world regions'!$DW41)</f>
        <v>0.59429400779796182</v>
      </c>
      <c r="Z42" s="45">
        <f>_xlfn.STDEV.S('Model_world regions'!$AG41,'Model_world regions'!$BC41,'Model_world regions'!$BU41,'Model_world regions'!$CM41,'Model_world regions'!$DE41,'Model_world regions'!$DW41)</f>
        <v>1.4557170762986138</v>
      </c>
      <c r="AA42" s="45">
        <f t="shared" si="13"/>
        <v>2.1191122062273844</v>
      </c>
      <c r="AB42" s="49">
        <f>AVERAGE('Model_world regions'!$AD41,'Model_world regions'!$AZ41,'Model_world regions'!$BR41,'Model_world regions'!$CJ41,'Model_world regions'!$DB41,'Model_world regions'!$DT41)</f>
        <v>0</v>
      </c>
      <c r="AC42" s="45">
        <f>_xlfn.STDEV.S('Model_world regions'!$AD41,'Model_world regions'!$AZ41,'Model_world regions'!$BR41,'Model_world regions'!$CJ41,'Model_world regions'!$DB41,'Model_world regions'!$DT41)</f>
        <v>0</v>
      </c>
      <c r="AD42" s="49">
        <f>AVERAGE('Model_world regions'!$AF41,'Model_world regions'!$BB41,'Model_world regions'!$BT41,'Model_world regions'!$CL41,'Model_world regions'!$DD41,'Model_world regions'!$DV41)</f>
        <v>0.11221196227495682</v>
      </c>
      <c r="AE42" s="45">
        <f>_xlfn.STDEV.S('Model_world regions'!$AF41,'Model_world regions'!$BB41,'Model_world regions'!$BT41,'Model_world regions'!$CL41,'Model_world regions'!$DD41,'Model_world regions'!$DV41)</f>
        <v>0.27486205061007962</v>
      </c>
      <c r="AF42" s="49">
        <f>AVERAGE('Model_world regions'!$AK41,'Model_world regions'!$BG41,'Model_world regions'!$BY41,'Model_world regions'!$CQ41,'Model_world regions'!$DI41,'Model_world regions'!$EA41)</f>
        <v>2566.9022619471411</v>
      </c>
      <c r="AG42" s="45">
        <f>_xlfn.STDEV.S('Model_world regions'!$AK41,'Model_world regions'!$BG41,'Model_world regions'!$BY41,'Model_world regions'!$CQ41,'Model_world regions'!$DI41,'Model_world regions'!$EA41)</f>
        <v>232.76243711480817</v>
      </c>
      <c r="AH42" s="49">
        <f>AVERAGE('Model_world regions'!$AL41,'Model_world regions'!$BH41,'Model_world regions'!$BZ41,'Model_world regions'!$CR41,'Model_world regions'!$DJ41,'Model_world regions'!$EB41)</f>
        <v>2278.1522572964191</v>
      </c>
      <c r="AI42" s="45">
        <f>_xlfn.STDEV.S('Model_world regions'!$AL41,'Model_world regions'!$BH41,'Model_world regions'!$BZ41,'Model_world regions'!$CR41,'Model_world regions'!$DJ41,'Model_world regions'!$EB41)</f>
        <v>195.41170250499189</v>
      </c>
      <c r="AJ42" s="49">
        <f>AVERAGE('Model_world regions'!$AM41,'Model_world regions'!$BI41,'Model_world regions'!$CA41,'Model_world regions'!$CS41,'Model_world regions'!$DK41,'Model_world regions'!$EC41)</f>
        <v>-627.23895887538538</v>
      </c>
      <c r="AK42" s="45">
        <f>_xlfn.STDEV.S('Model_world regions'!$AM41,'Model_world regions'!$BI41,'Model_world regions'!$CA41,'Model_world regions'!$CS41,'Model_world regions'!$DK41,'Model_world regions'!$EC41)</f>
        <v>224.08944406918576</v>
      </c>
      <c r="AL42" s="49">
        <f>AVERAGE('Model_world regions'!$AN41,'Model_world regions'!$BJ41,'Model_world regions'!$CB41,'Model_world regions'!$CT41,'Model_world regions'!$DL41,'Model_world regions'!$ED41)</f>
        <v>-821.58117815171317</v>
      </c>
      <c r="AM42" s="45">
        <f>_xlfn.STDEV.S('Model_world regions'!$AN41,'Model_world regions'!$BJ41,'Model_world regions'!$CB41,'Model_world regions'!$CT41,'Model_world regions'!$DL41,'Model_world regions'!$ED41)</f>
        <v>240.46379764656868</v>
      </c>
      <c r="AN42" s="98">
        <f>AVERAGE('Model_world regions'!AS41,'Model_world regions'!BK41,'Model_world regions'!CC41,'Model_world regions'!CU41,'Model_world regions'!DM41,'Model_world regions'!EE41)</f>
        <v>-3.4966188421649016</v>
      </c>
      <c r="AO42" s="45">
        <f>_xlfn.STDEV.S('Model_world regions'!AS41,'Model_world regions'!BK41,'Model_world regions'!CC41,'Model_world regions'!CU41,'Model_world regions'!DM41,'Model_world regions'!EE41)</f>
        <v>2.900078512534789</v>
      </c>
      <c r="AP42" s="49">
        <f>AVERAGE('Model_world regions'!AT41,'Model_world regions'!BL41,'Model_world regions'!CD41,'Model_world regions'!CV41,'Model_world regions'!DN41,'Model_world regions'!EF41)</f>
        <v>-8.5662497749987683</v>
      </c>
      <c r="AQ42" s="54">
        <f>_xlfn.STDEV.S('Model_world regions'!AT41,'Model_world regions'!BL41,'Model_world regions'!CD41,'Model_world regions'!CV41,'Model_world regions'!DN41,'Model_world regions'!EF41)</f>
        <v>6.8157693640379327</v>
      </c>
      <c r="AS42" s="49">
        <f t="shared" si="14"/>
        <v>0</v>
      </c>
      <c r="AT42" s="45">
        <f t="shared" si="15"/>
        <v>0</v>
      </c>
      <c r="AU42" s="49">
        <f t="shared" si="16"/>
        <v>1898.2589875952938</v>
      </c>
      <c r="AV42" s="45">
        <f t="shared" si="17"/>
        <v>6768.7436494590547</v>
      </c>
    </row>
    <row r="43" spans="3:49" x14ac:dyDescent="0.35">
      <c r="C43" s="64"/>
      <c r="E43" s="65"/>
      <c r="Q43" t="str">
        <f t="shared" si="11"/>
        <v>BRA</v>
      </c>
      <c r="R43" s="49">
        <f>AVERAGE('Model_world regions'!$Z42,'Model_world regions'!$AV42,'Model_world regions'!$BN42,'Model_world regions'!$CF42,'Model_world regions'!$CX42,'Model_world regions'!$DP42)</f>
        <v>1959.7821035228105</v>
      </c>
      <c r="S43" s="45">
        <f>_xlfn.STDEV.S('Model_world regions'!$Z42,'Model_world regions'!$AV42,'Model_world regions'!$BN42,'Model_world regions'!$CF42,'Model_world regions'!$CX42,'Model_world regions'!$DP42)</f>
        <v>150.08063524326315</v>
      </c>
      <c r="T43" s="49">
        <f>AVERAGE('Model_world regions'!$AA42,'Model_world regions'!$AW42,'Model_world regions'!$BO42,'Model_world regions'!$CG42,'Model_world regions'!$CY42,'Model_world regions'!$DQ42)</f>
        <v>535.80839758635693</v>
      </c>
      <c r="U43" s="45">
        <f>_xlfn.STDEV.S('Model_world regions'!$AA42,'Model_world regions'!$AW42,'Model_world regions'!$BO42,'Model_world regions'!$CG42,'Model_world regions'!$CY42,'Model_world regions'!$DQ42)</f>
        <v>76.125756642808255</v>
      </c>
      <c r="V43" s="49">
        <f>AVERAGE('Model_world regions'!$AE42,'Model_world regions'!$BA42,'Model_world regions'!$BS42,'Model_world regions'!$CK42,'Model_world regions'!$DC42,'Model_world regions'!$DU42)</f>
        <v>70.797144566141824</v>
      </c>
      <c r="W43" s="45">
        <f>_xlfn.STDEV.S('Model_world regions'!$AE42,'Model_world regions'!$BA42,'Model_world regions'!$BS42,'Model_world regions'!$CK42,'Model_world regions'!$DC42,'Model_world regions'!$DU42)</f>
        <v>46.274048466767731</v>
      </c>
      <c r="X43" s="45">
        <f t="shared" si="12"/>
        <v>2141.2875615047692</v>
      </c>
      <c r="Y43" s="49">
        <f>AVERAGE('Model_world regions'!$AG42,'Model_world regions'!$BC42,'Model_world regions'!$BU42,'Model_world regions'!$CM42,'Model_world regions'!$DE42,'Model_world regions'!$DW42)</f>
        <v>250.4905043375995</v>
      </c>
      <c r="Z43" s="45">
        <f>_xlfn.STDEV.S('Model_world regions'!$AG42,'Model_world regions'!$BC42,'Model_world regions'!$BU42,'Model_world regions'!$CM42,'Model_world regions'!$DE42,'Model_world regions'!$DW42)</f>
        <v>78.253763128099465</v>
      </c>
      <c r="AA43" s="45">
        <f t="shared" si="13"/>
        <v>6123.6514437086989</v>
      </c>
      <c r="AB43" s="49">
        <f>AVERAGE('Model_world regions'!$AD42,'Model_world regions'!$AZ42,'Model_world regions'!$BR42,'Model_world regions'!$CJ42,'Model_world regions'!$DB42,'Model_world regions'!$DT42)</f>
        <v>4.3828840846686887</v>
      </c>
      <c r="AC43" s="45">
        <f>_xlfn.STDEV.S('Model_world regions'!$AD42,'Model_world regions'!$AZ42,'Model_world regions'!$BR42,'Model_world regions'!$CJ42,'Model_world regions'!$DB42,'Model_world regions'!$DT42)</f>
        <v>3.9968495881580886</v>
      </c>
      <c r="AD43" s="49">
        <f>AVERAGE('Model_world regions'!$AF42,'Model_world regions'!$BB42,'Model_world regions'!$BT42,'Model_world regions'!$CL42,'Model_world regions'!$DD42,'Model_world regions'!$DV42)</f>
        <v>25.471020428278731</v>
      </c>
      <c r="AE43" s="45">
        <f>_xlfn.STDEV.S('Model_world regions'!$AF42,'Model_world regions'!$BB42,'Model_world regions'!$BT42,'Model_world regions'!$CL42,'Model_world regions'!$DD42,'Model_world regions'!$DV42)</f>
        <v>12.829625309471956</v>
      </c>
      <c r="AF43" s="49">
        <f>AVERAGE('Model_world regions'!$AK42,'Model_world regions'!$BG42,'Model_world regions'!$BY42,'Model_world regions'!$CQ42,'Model_world regions'!$DI42,'Model_world regions'!$EA42)</f>
        <v>488.44902552171089</v>
      </c>
      <c r="AG43" s="45">
        <f>_xlfn.STDEV.S('Model_world regions'!$AK42,'Model_world regions'!$BG42,'Model_world regions'!$BY42,'Model_world regions'!$CQ42,'Model_world regions'!$DI42,'Model_world regions'!$EA42)</f>
        <v>65.981773374520429</v>
      </c>
      <c r="AH43" s="49">
        <f>AVERAGE('Model_world regions'!$AL42,'Model_world regions'!$BH42,'Model_world regions'!$BZ42,'Model_world regions'!$CR42,'Model_world regions'!$DJ42,'Model_world regions'!$EB42)</f>
        <v>466.68437589422336</v>
      </c>
      <c r="AI43" s="45">
        <f>_xlfn.STDEV.S('Model_world regions'!$AL42,'Model_world regions'!$BH42,'Model_world regions'!$BZ42,'Model_world regions'!$CR42,'Model_world regions'!$DJ42,'Model_world regions'!$EB42)</f>
        <v>63.508156649654715</v>
      </c>
      <c r="AJ43" s="49">
        <f>AVERAGE('Model_world regions'!$AM42,'Model_world regions'!$BI42,'Model_world regions'!$CA42,'Model_world regions'!$CS42,'Model_world regions'!$DK42,'Model_world regions'!$EC42)</f>
        <v>97.545872810615791</v>
      </c>
      <c r="AK43" s="45">
        <f>_xlfn.STDEV.S('Model_world regions'!$AM42,'Model_world regions'!$BI42,'Model_world regions'!$CA42,'Model_world regions'!$CS42,'Model_world regions'!$DK42,'Model_world regions'!$EC42)</f>
        <v>65.981773374519804</v>
      </c>
      <c r="AL43" s="49">
        <f>AVERAGE('Model_world regions'!$AN42,'Model_world regions'!$BJ42,'Model_world regions'!$CB42,'Model_world regions'!$CT42,'Model_world regions'!$DL42,'Model_world regions'!$ED42)</f>
        <v>216.29268264264934</v>
      </c>
      <c r="AM43" s="45">
        <f>_xlfn.STDEV.S('Model_world regions'!$AN42,'Model_world regions'!$BJ42,'Model_world regions'!$CB42,'Model_world regions'!$CT42,'Model_world regions'!$DL42,'Model_world regions'!$ED42)</f>
        <v>63.508156649654254</v>
      </c>
      <c r="AN43" s="98">
        <f>AVERAGE('Model_world regions'!AS42,'Model_world regions'!BK42,'Model_world regions'!CC42,'Model_world regions'!CU42,'Model_world regions'!DM42,'Model_world regions'!EE42)</f>
        <v>0.89811443487276132</v>
      </c>
      <c r="AO43" s="45">
        <f>_xlfn.STDEV.S('Model_world regions'!AS42,'Model_world regions'!BK42,'Model_world regions'!CC42,'Model_world regions'!CU42,'Model_world regions'!DM42,'Model_world regions'!EE42)</f>
        <v>1.026092981263852</v>
      </c>
      <c r="AP43" s="49">
        <f>AVERAGE('Model_world regions'!AT42,'Model_world regions'!BL42,'Model_world regions'!CD42,'Model_world regions'!CV42,'Model_world regions'!DN42,'Model_world regions'!EF42)</f>
        <v>3.7274748339045587</v>
      </c>
      <c r="AQ43" s="54">
        <f>_xlfn.STDEV.S('Model_world regions'!AT42,'Model_world regions'!BL42,'Model_world regions'!CD42,'Model_world regions'!CV42,'Model_world regions'!DN42,'Model_world regions'!EF42)</f>
        <v>2.4989936089329077</v>
      </c>
      <c r="AS43" s="49">
        <f t="shared" si="14"/>
        <v>37933.704583674109</v>
      </c>
      <c r="AT43" s="45">
        <f t="shared" si="15"/>
        <v>1147319.8571014681</v>
      </c>
      <c r="AU43" s="49">
        <f t="shared" si="16"/>
        <v>134214.91573972758</v>
      </c>
      <c r="AV43" s="45">
        <f t="shared" si="17"/>
        <v>3281103.8674309393</v>
      </c>
    </row>
    <row r="44" spans="3:49" x14ac:dyDescent="0.35">
      <c r="C44" s="64"/>
      <c r="E44" s="65"/>
      <c r="Q44" t="str">
        <f t="shared" si="11"/>
        <v>EU</v>
      </c>
      <c r="R44" s="49">
        <f>AVERAGE('Model_world regions'!$Z43,'Model_world regions'!$AV43,'Model_world regions'!$BN43,'Model_world regions'!$CF43,'Model_world regions'!$CX43,'Model_world regions'!$DP43)</f>
        <v>18112.942012749303</v>
      </c>
      <c r="S44" s="45">
        <f>_xlfn.STDEV.S('Model_world regions'!$Z43,'Model_world regions'!$AV43,'Model_world regions'!$BN43,'Model_world regions'!$CF43,'Model_world regions'!$CX43,'Model_world regions'!$DP43)</f>
        <v>650.05926966846016</v>
      </c>
      <c r="T44" s="49">
        <f>AVERAGE('Model_world regions'!$AA43,'Model_world regions'!$AW43,'Model_world regions'!$BO43,'Model_world regions'!$CG43,'Model_world regions'!$CY43,'Model_world regions'!$DQ43)</f>
        <v>2853.4543326874773</v>
      </c>
      <c r="U44" s="45">
        <f>_xlfn.STDEV.S('Model_world regions'!$AA43,'Model_world regions'!$AW43,'Model_world regions'!$BO43,'Model_world regions'!$CG43,'Model_world regions'!$CY43,'Model_world regions'!$DQ43)</f>
        <v>317.02800502372531</v>
      </c>
      <c r="V44" s="49">
        <f>AVERAGE('Model_world regions'!$AE43,'Model_world regions'!$BA43,'Model_world regions'!$BS43,'Model_world regions'!$CK43,'Model_world regions'!$DC43,'Model_world regions'!$DU43)</f>
        <v>101.50658940737212</v>
      </c>
      <c r="W44" s="45">
        <f>_xlfn.STDEV.S('Model_world regions'!$AE43,'Model_world regions'!$BA43,'Model_world regions'!$BS43,'Model_world regions'!$CK43,'Model_world regions'!$DC43,'Model_world regions'!$DU43)</f>
        <v>36.03210195476067</v>
      </c>
      <c r="X44" s="45">
        <f t="shared" si="12"/>
        <v>1298.3123712782676</v>
      </c>
      <c r="Y44" s="49">
        <f>AVERAGE('Model_world regions'!$AG43,'Model_world regions'!$BC43,'Model_world regions'!$BU43,'Model_world regions'!$CM43,'Model_world regions'!$DE43,'Model_world regions'!$DW43)</f>
        <v>101.50658940737212</v>
      </c>
      <c r="Z44" s="45">
        <f>_xlfn.STDEV.S('Model_world regions'!$AG43,'Model_world regions'!$BC43,'Model_world regions'!$BU43,'Model_world regions'!$CM43,'Model_world regions'!$DE43,'Model_world regions'!$DW43)</f>
        <v>36.03210195476067</v>
      </c>
      <c r="AA44" s="45">
        <f t="shared" si="13"/>
        <v>1298.3123712782676</v>
      </c>
      <c r="AB44" s="49">
        <f>AVERAGE('Model_world regions'!$AD43,'Model_world regions'!$AZ43,'Model_world regions'!$BR43,'Model_world regions'!$CJ43,'Model_world regions'!$DB43,'Model_world regions'!$DT43)</f>
        <v>40.74179773166059</v>
      </c>
      <c r="AC44" s="45">
        <f>_xlfn.STDEV.S('Model_world regions'!$AD43,'Model_world regions'!$AZ43,'Model_world regions'!$BR43,'Model_world regions'!$CJ43,'Model_world regions'!$DB43,'Model_world regions'!$DT43)</f>
        <v>24.075733801368905</v>
      </c>
      <c r="AD44" s="49">
        <f>AVERAGE('Model_world regions'!$AF43,'Model_world regions'!$BB43,'Model_world regions'!$BT43,'Model_world regions'!$CL43,'Model_world regions'!$DD43,'Model_world regions'!$DV43)</f>
        <v>40.74179773166059</v>
      </c>
      <c r="AE44" s="45">
        <f>_xlfn.STDEV.S('Model_world regions'!$AF43,'Model_world regions'!$BB43,'Model_world regions'!$BT43,'Model_world regions'!$CL43,'Model_world regions'!$DD43,'Model_world regions'!$DV43)</f>
        <v>24.075733801368905</v>
      </c>
      <c r="AF44" s="49">
        <f>AVERAGE('Model_world regions'!$AK43,'Model_world regions'!$BG43,'Model_world regions'!$BY43,'Model_world regions'!$CQ43,'Model_world regions'!$DI43,'Model_world regions'!$EA43)</f>
        <v>2560.5804092261151</v>
      </c>
      <c r="AG44" s="45">
        <f>_xlfn.STDEV.S('Model_world regions'!$AK43,'Model_world regions'!$BG43,'Model_world regions'!$BY43,'Model_world regions'!$CQ43,'Model_world regions'!$DI43,'Model_world regions'!$EA43)</f>
        <v>215.01421076619977</v>
      </c>
      <c r="AH44" s="49">
        <f>AVERAGE('Model_world regions'!$AL43,'Model_world regions'!$BH43,'Model_world regions'!$BZ43,'Model_world regions'!$CR43,'Model_world regions'!$DJ43,'Model_world regions'!$EB43)</f>
        <v>2426.5686220280022</v>
      </c>
      <c r="AI44" s="45">
        <f>_xlfn.STDEV.S('Model_world regions'!$AL43,'Model_world regions'!$BH43,'Model_world regions'!$BZ43,'Model_world regions'!$CR43,'Model_world regions'!$DJ43,'Model_world regions'!$EB43)</f>
        <v>188.42582726319733</v>
      </c>
      <c r="AJ44" s="49">
        <f>AVERAGE('Model_world regions'!$AM43,'Model_world regions'!$BI43,'Model_world regions'!$CA43,'Model_world regions'!$CS43,'Model_world regions'!$DK43,'Model_world regions'!$EC43)</f>
        <v>818.12390773269044</v>
      </c>
      <c r="AK44" s="45">
        <f>_xlfn.STDEV.S('Model_world regions'!$AM43,'Model_world regions'!$BI43,'Model_world regions'!$CA43,'Model_world regions'!$CS43,'Model_world regions'!$DK43,'Model_world regions'!$EC43)</f>
        <v>215.01421076619991</v>
      </c>
      <c r="AL44" s="49">
        <f>AVERAGE('Model_world regions'!$AN43,'Model_world regions'!$BJ43,'Model_world regions'!$CB43,'Model_world regions'!$CT43,'Model_world regions'!$DL43,'Model_world regions'!$ED43)</f>
        <v>684.11212053457746</v>
      </c>
      <c r="AM44" s="45">
        <f>_xlfn.STDEV.S('Model_world regions'!$AN43,'Model_world regions'!$BJ43,'Model_world regions'!$CB43,'Model_world regions'!$CT43,'Model_world regions'!$DL43,'Model_world regions'!$ED43)</f>
        <v>188.42582726319728</v>
      </c>
      <c r="AN44" s="98">
        <f>AVERAGE('Model_world regions'!AS43,'Model_world regions'!BK43,'Model_world regions'!CC43,'Model_world regions'!CU43,'Model_world regions'!DM43,'Model_world regions'!EE43)</f>
        <v>7.3438757498106888</v>
      </c>
      <c r="AO44" s="45">
        <f>_xlfn.STDEV.S('Model_world regions'!AS43,'Model_world regions'!BK43,'Model_world regions'!CC43,'Model_world regions'!CU43,'Model_world regions'!DM43,'Model_world regions'!EE43)</f>
        <v>5.4792121921680783</v>
      </c>
      <c r="AP44" s="49">
        <f>AVERAGE('Model_world regions'!AT43,'Model_world regions'!BL43,'Model_world regions'!CD43,'Model_world regions'!CV43,'Model_world regions'!DN43,'Model_world regions'!EF43)</f>
        <v>13.635139673658202</v>
      </c>
      <c r="AQ44" s="54">
        <f>_xlfn.STDEV.S('Model_world regions'!AT43,'Model_world regions'!BL43,'Model_world regions'!CD43,'Model_world regions'!CV43,'Model_world regions'!DN43,'Model_world regions'!EF43)</f>
        <v>8.810173509951257</v>
      </c>
      <c r="AS44" s="49">
        <f t="shared" si="14"/>
        <v>289644.41734079475</v>
      </c>
      <c r="AT44" s="45">
        <f t="shared" si="15"/>
        <v>3704675.0610057255</v>
      </c>
      <c r="AU44" s="49">
        <f t="shared" si="16"/>
        <v>289644.41734079475</v>
      </c>
      <c r="AV44" s="45">
        <f t="shared" si="17"/>
        <v>3704675.0610057255</v>
      </c>
    </row>
    <row r="45" spans="3:49" x14ac:dyDescent="0.35">
      <c r="Q45" t="str">
        <f t="shared" si="11"/>
        <v>MEA</v>
      </c>
      <c r="R45" s="49">
        <f>AVERAGE('Model_world regions'!$Z44,'Model_world regions'!$AV44,'Model_world regions'!$BN44,'Model_world regions'!$CF44,'Model_world regions'!$CX44,'Model_world regions'!$DP44)</f>
        <v>4438.0359006893295</v>
      </c>
      <c r="S45" s="45">
        <f>_xlfn.STDEV.S('Model_world regions'!$Z44,'Model_world regions'!$AV44,'Model_world regions'!$BN44,'Model_world regions'!$CF44,'Model_world regions'!$CX44,'Model_world regions'!$DP44)</f>
        <v>441.46906232094773</v>
      </c>
      <c r="T45" s="49">
        <f>AVERAGE('Model_world regions'!$AA44,'Model_world regions'!$AW44,'Model_world regions'!$BO44,'Model_world regions'!$CG44,'Model_world regions'!$CY44,'Model_world regions'!$DQ44)</f>
        <v>3224.0376349127778</v>
      </c>
      <c r="U45" s="45">
        <f>_xlfn.STDEV.S('Model_world regions'!$AA44,'Model_world regions'!$AW44,'Model_world regions'!$BO44,'Model_world regions'!$CG44,'Model_world regions'!$CY44,'Model_world regions'!$DQ44)</f>
        <v>176.71799567984274</v>
      </c>
      <c r="V45" s="49">
        <f>AVERAGE('Model_world regions'!$AE44,'Model_world regions'!$BA44,'Model_world regions'!$BS44,'Model_world regions'!$CK44,'Model_world regions'!$DC44,'Model_world regions'!$DU44)</f>
        <v>0</v>
      </c>
      <c r="W45" s="45">
        <f>_xlfn.STDEV.S('Model_world regions'!$AE44,'Model_world regions'!$BA44,'Model_world regions'!$BS44,'Model_world regions'!$CK44,'Model_world regions'!$DC44,'Model_world regions'!$DU44)</f>
        <v>0</v>
      </c>
      <c r="X45" s="45">
        <f t="shared" si="12"/>
        <v>0</v>
      </c>
      <c r="Y45" s="49">
        <f>AVERAGE('Model_world regions'!$AG44,'Model_world regions'!$BC44,'Model_world regions'!$BU44,'Model_world regions'!$CM44,'Model_world regions'!$DE44,'Model_world regions'!$DW44)</f>
        <v>5.7108529424680938</v>
      </c>
      <c r="Z45" s="45">
        <f>_xlfn.STDEV.S('Model_world regions'!$AG44,'Model_world regions'!$BC44,'Model_world regions'!$BU44,'Model_world regions'!$CM44,'Model_world regions'!$DE44,'Model_world regions'!$DW44)</f>
        <v>4.8223389013197639</v>
      </c>
      <c r="AA45" s="45">
        <f t="shared" si="13"/>
        <v>23.25495247918191</v>
      </c>
      <c r="AB45" s="49">
        <f>AVERAGE('Model_world regions'!$AD44,'Model_world regions'!$AZ44,'Model_world regions'!$BR44,'Model_world regions'!$CJ44,'Model_world regions'!$DB44,'Model_world regions'!$DT44)</f>
        <v>0</v>
      </c>
      <c r="AC45" s="45">
        <f>_xlfn.STDEV.S('Model_world regions'!$AD44,'Model_world regions'!$AZ44,'Model_world regions'!$BR44,'Model_world regions'!$CJ44,'Model_world regions'!$DB44,'Model_world regions'!$DT44)</f>
        <v>0</v>
      </c>
      <c r="AD45" s="49">
        <f>AVERAGE('Model_world regions'!$AF44,'Model_world regions'!$BB44,'Model_world regions'!$BT44,'Model_world regions'!$CL44,'Model_world regions'!$DD44,'Model_world regions'!$DV44)</f>
        <v>0.74076467886233488</v>
      </c>
      <c r="AE45" s="45">
        <f>_xlfn.STDEV.S('Model_world regions'!$AF44,'Model_world regions'!$BB44,'Model_world regions'!$BT44,'Model_world regions'!$CL44,'Model_world regions'!$DD44,'Model_world regions'!$DV44)</f>
        <v>0.70184397769083606</v>
      </c>
      <c r="AF45" s="49">
        <f>AVERAGE('Model_world regions'!$AK44,'Model_world regions'!$BG44,'Model_world regions'!$BY44,'Model_world regions'!$CQ44,'Model_world regions'!$DI44,'Model_world regions'!$EA44)</f>
        <v>2887.5881409189083</v>
      </c>
      <c r="AG45" s="45">
        <f>_xlfn.STDEV.S('Model_world regions'!$AK44,'Model_world regions'!$BG44,'Model_world regions'!$BY44,'Model_world regions'!$CQ44,'Model_world regions'!$DI44,'Model_world regions'!$EA44)</f>
        <v>141.95215202719152</v>
      </c>
      <c r="AH45" s="49">
        <f>AVERAGE('Model_world regions'!$AL44,'Model_world regions'!$BH44,'Model_world regions'!$BZ44,'Model_world regions'!$CR44,'Model_world regions'!$DJ44,'Model_world regions'!$EB44)</f>
        <v>2732.1491275514418</v>
      </c>
      <c r="AI45" s="45">
        <f>_xlfn.STDEV.S('Model_world regions'!$AL44,'Model_world regions'!$BH44,'Model_world regions'!$BZ44,'Model_world regions'!$CR44,'Model_world regions'!$DJ44,'Model_world regions'!$EB44)</f>
        <v>143.84425121946029</v>
      </c>
      <c r="AJ45" s="49">
        <f>AVERAGE('Model_world regions'!$AM44,'Model_world regions'!$BI44,'Model_world regions'!$CA44,'Model_world regions'!$CS44,'Model_world regions'!$DK44,'Model_world regions'!$EC44)</f>
        <v>-336.44949399386951</v>
      </c>
      <c r="AK45" s="45">
        <f>_xlfn.STDEV.S('Model_world regions'!$AM44,'Model_world regions'!$BI44,'Model_world regions'!$CA44,'Model_world regions'!$CS44,'Model_world regions'!$DK44,'Model_world regions'!$EC44)</f>
        <v>105.89024690892201</v>
      </c>
      <c r="AL45" s="49">
        <f>AVERAGE('Model_world regions'!$AN44,'Model_world regions'!$BJ44,'Model_world regions'!$CB44,'Model_world regions'!$CT44,'Model_world regions'!$DL44,'Model_world regions'!$ED44)</f>
        <v>-224.91064543395206</v>
      </c>
      <c r="AM45" s="45">
        <f>_xlfn.STDEV.S('Model_world regions'!$AN44,'Model_world regions'!$BJ44,'Model_world regions'!$CB44,'Model_world regions'!$CT44,'Model_world regions'!$DL44,'Model_world regions'!$ED44)</f>
        <v>143.84425121946023</v>
      </c>
      <c r="AN45" s="98">
        <f>AVERAGE('Model_world regions'!AS44,'Model_world regions'!BK44,'Model_world regions'!CC44,'Model_world regions'!CU44,'Model_world regions'!DM44,'Model_world regions'!EE44)</f>
        <v>-1.8659975112244152</v>
      </c>
      <c r="AO45" s="45">
        <f>_xlfn.STDEV.S('Model_world regions'!AS44,'Model_world regions'!BK44,'Model_world regions'!CC44,'Model_world regions'!CU44,'Model_world regions'!DM44,'Model_world regions'!EE44)</f>
        <v>1.5693200143785559</v>
      </c>
      <c r="AP45" s="49">
        <f>AVERAGE('Model_world regions'!AT44,'Model_world regions'!BL44,'Model_world regions'!CD44,'Model_world regions'!CV44,'Model_world regions'!DN44,'Model_world regions'!EF44)</f>
        <v>-0.82856751142348994</v>
      </c>
      <c r="AQ45" s="54">
        <f>_xlfn.STDEV.S('Model_world regions'!AT44,'Model_world regions'!BL44,'Model_world regions'!CD44,'Model_world regions'!CV44,'Model_world regions'!DN44,'Model_world regions'!EF44)</f>
        <v>2.3558878190530814</v>
      </c>
      <c r="AS45" s="49">
        <f t="shared" si="14"/>
        <v>0</v>
      </c>
      <c r="AT45" s="45">
        <f t="shared" si="15"/>
        <v>0</v>
      </c>
      <c r="AU45" s="49">
        <f t="shared" si="16"/>
        <v>18412.00481396951</v>
      </c>
      <c r="AV45" s="45">
        <f t="shared" si="17"/>
        <v>74974.841990990681</v>
      </c>
    </row>
    <row r="46" spans="3:49" x14ac:dyDescent="0.35">
      <c r="Q46" t="str">
        <f t="shared" si="11"/>
        <v>OAS</v>
      </c>
      <c r="R46" s="49">
        <f>AVERAGE('Model_world regions'!$Z45,'Model_world regions'!$AV45,'Model_world regions'!$BN45,'Model_world regions'!$CF45,'Model_world regions'!$CX45,'Model_world regions'!$DP45)</f>
        <v>6977.8519308757068</v>
      </c>
      <c r="S46" s="45">
        <f>_xlfn.STDEV.S('Model_world regions'!$Z45,'Model_world regions'!$AV45,'Model_world regions'!$BN45,'Model_world regions'!$CF45,'Model_world regions'!$CX45,'Model_world regions'!$DP45)</f>
        <v>571.97996504354853</v>
      </c>
      <c r="T46" s="49">
        <f>AVERAGE('Model_world regions'!$AA45,'Model_world regions'!$AW45,'Model_world regions'!$BO45,'Model_world regions'!$CG45,'Model_world regions'!$CY45,'Model_world regions'!$DQ45)</f>
        <v>3272.3586671235257</v>
      </c>
      <c r="U46" s="45">
        <f>_xlfn.STDEV.S('Model_world regions'!$AA45,'Model_world regions'!$AW45,'Model_world regions'!$BO45,'Model_world regions'!$CG45,'Model_world regions'!$CY45,'Model_world regions'!$DQ45)</f>
        <v>238.54689998434722</v>
      </c>
      <c r="V46" s="49">
        <f>AVERAGE('Model_world regions'!$AE45,'Model_world regions'!$BA45,'Model_world regions'!$BS45,'Model_world regions'!$CK45,'Model_world regions'!$DC45,'Model_world regions'!$DU45)</f>
        <v>1.0608134053972859E-2</v>
      </c>
      <c r="W46" s="45">
        <f>_xlfn.STDEV.S('Model_world regions'!$AE45,'Model_world regions'!$BA45,'Model_world regions'!$BS45,'Model_world regions'!$CK45,'Model_world regions'!$DC45,'Model_world regions'!$DU45)</f>
        <v>2.598451555527545E-2</v>
      </c>
      <c r="X46" s="45">
        <f t="shared" si="12"/>
        <v>6.7519504864235183E-4</v>
      </c>
      <c r="Y46" s="49">
        <f>AVERAGE('Model_world regions'!$AG45,'Model_world regions'!$BC45,'Model_world regions'!$BU45,'Model_world regions'!$CM45,'Model_world regions'!$DE45,'Model_world regions'!$DW45)</f>
        <v>16.211592312027665</v>
      </c>
      <c r="Z46" s="45">
        <f>_xlfn.STDEV.S('Model_world regions'!$AG45,'Model_world regions'!$BC45,'Model_world regions'!$BU45,'Model_world regions'!$CM45,'Model_world regions'!$DE45,'Model_world regions'!$DW45)</f>
        <v>7.7403356305643056</v>
      </c>
      <c r="AA46" s="45">
        <f t="shared" si="13"/>
        <v>59.912795673783329</v>
      </c>
      <c r="AB46" s="49">
        <f>AVERAGE('Model_world regions'!$AD45,'Model_world regions'!$AZ45,'Model_world regions'!$BR45,'Model_world regions'!$CJ45,'Model_world regions'!$DB45,'Model_world regions'!$DT45)</f>
        <v>1.8517799731076925E-4</v>
      </c>
      <c r="AC46" s="45">
        <f>_xlfn.STDEV.S('Model_world regions'!$AD45,'Model_world regions'!$AZ45,'Model_world regions'!$BR45,'Model_world regions'!$CJ45,'Model_world regions'!$DB45,'Model_world regions'!$DT45)</f>
        <v>4.5359160500186023E-4</v>
      </c>
      <c r="AD46" s="49">
        <f>AVERAGE('Model_world regions'!$AF45,'Model_world regions'!$BB45,'Model_world regions'!$BT45,'Model_world regions'!$CL45,'Model_world regions'!$DD45,'Model_world regions'!$DV45)</f>
        <v>4.2986654127019035</v>
      </c>
      <c r="AE46" s="45">
        <f>_xlfn.STDEV.S('Model_world regions'!$AF45,'Model_world regions'!$BB45,'Model_world regions'!$BT45,'Model_world regions'!$CL45,'Model_world regions'!$DD45,'Model_world regions'!$DV45)</f>
        <v>3.3228281716331467</v>
      </c>
      <c r="AF46" s="49">
        <f>AVERAGE('Model_world regions'!$AK45,'Model_world regions'!$BG45,'Model_world regions'!$BY45,'Model_world regions'!$CQ45,'Model_world regions'!$DI45,'Model_world regions'!$EA45)</f>
        <v>2809.8383416961574</v>
      </c>
      <c r="AG46" s="45">
        <f>_xlfn.STDEV.S('Model_world regions'!$AK45,'Model_world regions'!$BG45,'Model_world regions'!$BY45,'Model_world regions'!$CQ45,'Model_world regions'!$DI45,'Model_world regions'!$EA45)</f>
        <v>124.67766808014763</v>
      </c>
      <c r="AH46" s="49">
        <f>AVERAGE('Model_world regions'!$AL45,'Model_world regions'!$BH45,'Model_world regions'!$BZ45,'Model_world regions'!$CR45,'Model_world regions'!$DJ45,'Model_world regions'!$EB45)</f>
        <v>2596.6652174774449</v>
      </c>
      <c r="AI46" s="45">
        <f>_xlfn.STDEV.S('Model_world regions'!$AL45,'Model_world regions'!$BH45,'Model_world regions'!$BZ45,'Model_world regions'!$CR45,'Model_world regions'!$DJ45,'Model_world regions'!$EB45)</f>
        <v>101.34298142857763</v>
      </c>
      <c r="AJ46" s="49">
        <f>AVERAGE('Model_world regions'!$AM45,'Model_world regions'!$BI45,'Model_world regions'!$CA45,'Model_world regions'!$CS45,'Model_world regions'!$DK45,'Model_world regions'!$EC45)</f>
        <v>-453.79221186995079</v>
      </c>
      <c r="AK46" s="45">
        <f>_xlfn.STDEV.S('Model_world regions'!$AM45,'Model_world regions'!$BI45,'Model_world regions'!$CA45,'Model_world regions'!$CS45,'Model_world regions'!$DK45,'Model_world regions'!$EC45)</f>
        <v>149.31626785661811</v>
      </c>
      <c r="AL46" s="49">
        <f>AVERAGE('Model_world regions'!$AN45,'Model_world regions'!$BJ45,'Model_world regions'!$CB45,'Model_world regions'!$CT45,'Model_world regions'!$DL45,'Model_world regions'!$ED45)</f>
        <v>26.713740312131602</v>
      </c>
      <c r="AM46" s="45">
        <f>_xlfn.STDEV.S('Model_world regions'!$AN45,'Model_world regions'!$BJ45,'Model_world regions'!$CB45,'Model_world regions'!$CT45,'Model_world regions'!$DL45,'Model_world regions'!$ED45)</f>
        <v>101.34298142857764</v>
      </c>
      <c r="AN46" s="98">
        <f>AVERAGE('Model_world regions'!AS45,'Model_world regions'!BK45,'Model_world regions'!CC45,'Model_world regions'!CU45,'Model_world regions'!DM45,'Model_world regions'!EE45)</f>
        <v>-2.5040248023958069</v>
      </c>
      <c r="AO46" s="45">
        <f>_xlfn.STDEV.S('Model_world regions'!AS45,'Model_world regions'!BK45,'Model_world regions'!CC45,'Model_world regions'!CU45,'Model_world regions'!DM45,'Model_world regions'!EE45)</f>
        <v>2.1318049061302449</v>
      </c>
      <c r="AP46" s="49">
        <f>AVERAGE('Model_world regions'!AT45,'Model_world regions'!BL45,'Model_world regions'!CD45,'Model_world regions'!CV45,'Model_world regions'!DN45,'Model_world regions'!EF45)</f>
        <v>4.0953901127534023</v>
      </c>
      <c r="AQ46" s="54">
        <f>_xlfn.STDEV.S('Model_world regions'!AT45,'Model_world regions'!BL45,'Model_world regions'!CD45,'Model_world regions'!CV45,'Model_world regions'!DN45,'Model_world regions'!EF45)</f>
        <v>3.0114599131275259</v>
      </c>
      <c r="AS46" s="49">
        <f t="shared" si="14"/>
        <v>34.71361941352631</v>
      </c>
      <c r="AT46" s="45">
        <f t="shared" si="15"/>
        <v>2.2094803694236904</v>
      </c>
      <c r="AU46" s="49">
        <f t="shared" si="16"/>
        <v>53050.144610136849</v>
      </c>
      <c r="AV46" s="45">
        <f t="shared" si="17"/>
        <v>196056.15619470575</v>
      </c>
    </row>
    <row r="47" spans="3:49" x14ac:dyDescent="0.35">
      <c r="Q47" t="str">
        <f t="shared" si="11"/>
        <v>ANZ</v>
      </c>
      <c r="R47" s="49">
        <f>AVERAGE('Model_world regions'!$Z46,'Model_world regions'!$AV46,'Model_world regions'!$BN46,'Model_world regions'!$CF46,'Model_world regions'!$CX46,'Model_world regions'!$DP46)</f>
        <v>2048.1316839837959</v>
      </c>
      <c r="S47" s="45">
        <f>_xlfn.STDEV.S('Model_world regions'!$Z46,'Model_world regions'!$AV46,'Model_world regions'!$BN46,'Model_world regions'!$CF46,'Model_world regions'!$CX46,'Model_world regions'!$DP46)</f>
        <v>110.38214010095481</v>
      </c>
      <c r="T47" s="49">
        <f>AVERAGE('Model_world regions'!$AA46,'Model_world regions'!$AW46,'Model_world regions'!$BO46,'Model_world regions'!$CG46,'Model_world regions'!$CY46,'Model_world regions'!$DQ46)</f>
        <v>474.1651872439345</v>
      </c>
      <c r="U47" s="45">
        <f>_xlfn.STDEV.S('Model_world regions'!$AA46,'Model_world regions'!$AW46,'Model_world regions'!$BO46,'Model_world regions'!$CG46,'Model_world regions'!$CY46,'Model_world regions'!$DQ46)</f>
        <v>57.042700740208048</v>
      </c>
      <c r="V47" s="49">
        <f>AVERAGE('Model_world regions'!$AE46,'Model_world regions'!$BA46,'Model_world regions'!$BS46,'Model_world regions'!$CK46,'Model_world regions'!$DC46,'Model_world regions'!$DU46)</f>
        <v>51.719039391234077</v>
      </c>
      <c r="W47" s="45">
        <f>_xlfn.STDEV.S('Model_world regions'!$AE46,'Model_world regions'!$BA46,'Model_world regions'!$BS46,'Model_world regions'!$CK46,'Model_world regions'!$DC46,'Model_world regions'!$DU46)</f>
        <v>18.974437059832468</v>
      </c>
      <c r="X47" s="45">
        <f t="shared" si="12"/>
        <v>360.02926173754378</v>
      </c>
      <c r="Y47" s="49">
        <f>AVERAGE('Model_world regions'!$AG46,'Model_world regions'!$BC46,'Model_world regions'!$BU46,'Model_world regions'!$CM46,'Model_world regions'!$DE46,'Model_world regions'!$DW46)</f>
        <v>51.719039391234077</v>
      </c>
      <c r="Z47" s="45">
        <f>_xlfn.STDEV.S('Model_world regions'!$AG46,'Model_world regions'!$BC46,'Model_world regions'!$BU46,'Model_world regions'!$CM46,'Model_world regions'!$DE46,'Model_world regions'!$DW46)</f>
        <v>18.974437059832468</v>
      </c>
      <c r="AA47" s="45">
        <f t="shared" si="13"/>
        <v>360.02926173754378</v>
      </c>
      <c r="AB47" s="49">
        <f>AVERAGE('Model_world regions'!$AD46,'Model_world regions'!$AZ46,'Model_world regions'!$BR46,'Model_world regions'!$CJ46,'Model_world regions'!$DB46,'Model_world regions'!$DT46)</f>
        <v>3.6218990268877462</v>
      </c>
      <c r="AC47" s="45">
        <f>_xlfn.STDEV.S('Model_world regions'!$AD46,'Model_world regions'!$AZ46,'Model_world regions'!$BR46,'Model_world regions'!$CJ46,'Model_world regions'!$DB46,'Model_world regions'!$DT46)</f>
        <v>2.2517791776309521</v>
      </c>
      <c r="AD47" s="49">
        <f>AVERAGE('Model_world regions'!$AF46,'Model_world regions'!$BB46,'Model_world regions'!$BT46,'Model_world regions'!$CL46,'Model_world regions'!$DD46,'Model_world regions'!$DV46)</f>
        <v>3.6218990268877462</v>
      </c>
      <c r="AE47" s="45">
        <f>_xlfn.STDEV.S('Model_world regions'!$AF46,'Model_world regions'!$BB46,'Model_world regions'!$BT46,'Model_world regions'!$CL46,'Model_world regions'!$DD46,'Model_world regions'!$DV46)</f>
        <v>2.2517791776309521</v>
      </c>
      <c r="AF47" s="49">
        <f>AVERAGE('Model_world regions'!$AK46,'Model_world regions'!$BG46,'Model_world regions'!$BY46,'Model_world regions'!$CQ46,'Model_world regions'!$DI46,'Model_world regions'!$EA46)</f>
        <v>402.97906117174745</v>
      </c>
      <c r="AG47" s="45">
        <f>_xlfn.STDEV.S('Model_world regions'!$AK46,'Model_world regions'!$BG46,'Model_world regions'!$BY46,'Model_world regions'!$CQ46,'Model_world regions'!$DI46,'Model_world regions'!$EA46)</f>
        <v>33.878305126778123</v>
      </c>
      <c r="AH47" s="49">
        <f>AVERAGE('Model_world regions'!$AL46,'Model_world regions'!$BH46,'Model_world regions'!$BZ46,'Model_world regions'!$CR46,'Model_world regions'!$DJ46,'Model_world regions'!$EB46)</f>
        <v>370.39181067152873</v>
      </c>
      <c r="AI47" s="45">
        <f>_xlfn.STDEV.S('Model_world regions'!$AL46,'Model_world regions'!$BH46,'Model_world regions'!$BZ46,'Model_world regions'!$CR46,'Model_world regions'!$DJ46,'Model_world regions'!$EB46)</f>
        <v>27.830636606297197</v>
      </c>
      <c r="AJ47" s="49">
        <f>AVERAGE('Model_world regions'!$AM46,'Model_world regions'!$BI46,'Model_world regions'!$CA46,'Model_world regions'!$CS46,'Model_world regions'!$DK46,'Model_world regions'!$EC46)</f>
        <v>121.68153694498574</v>
      </c>
      <c r="AK47" s="45">
        <f>_xlfn.STDEV.S('Model_world regions'!$AM46,'Model_world regions'!$BI46,'Model_world regions'!$CA46,'Model_world regions'!$CS46,'Model_world regions'!$DK46,'Model_world regions'!$EC46)</f>
        <v>33.878305126778187</v>
      </c>
      <c r="AL47" s="49">
        <f>AVERAGE('Model_world regions'!$AN46,'Model_world regions'!$BJ46,'Model_world regions'!$CB46,'Model_world regions'!$CT46,'Model_world regions'!$DL46,'Model_world regions'!$ED46)</f>
        <v>89.094286444767093</v>
      </c>
      <c r="AM47" s="45">
        <f>_xlfn.STDEV.S('Model_world regions'!$AN46,'Model_world regions'!$BJ46,'Model_world regions'!$CB46,'Model_world regions'!$CT46,'Model_world regions'!$DL46,'Model_world regions'!$ED46)</f>
        <v>27.83063660629718</v>
      </c>
      <c r="AN47" s="98">
        <f>AVERAGE('Model_world regions'!AS46,'Model_world regions'!BK46,'Model_world regions'!CC46,'Model_world regions'!CU46,'Model_world regions'!DM46,'Model_world regions'!EE46)</f>
        <v>1.1551965719512176</v>
      </c>
      <c r="AO47" s="45">
        <f>_xlfn.STDEV.S('Model_world regions'!AS46,'Model_world regions'!BK46,'Model_world regions'!CC46,'Model_world regions'!CU46,'Model_world regions'!DM46,'Model_world regions'!EE46)</f>
        <v>0.83933839412592803</v>
      </c>
      <c r="AP47" s="49">
        <f>AVERAGE('Model_world regions'!AT46,'Model_world regions'!BL46,'Model_world regions'!CD46,'Model_world regions'!CV46,'Model_world regions'!DN46,'Model_world regions'!EF46)</f>
        <v>2.0266555603531029</v>
      </c>
      <c r="AQ47" s="54">
        <f>_xlfn.STDEV.S('Model_world regions'!AT46,'Model_world regions'!BL46,'Model_world regions'!CD46,'Model_world regions'!CV46,'Model_world regions'!DN46,'Model_world regions'!EF46)</f>
        <v>1.2892235033279393</v>
      </c>
      <c r="AS47" s="49">
        <f t="shared" si="14"/>
        <v>24523.36799702093</v>
      </c>
      <c r="AT47" s="45">
        <f t="shared" si="15"/>
        <v>170713.34230507794</v>
      </c>
      <c r="AU47" s="49">
        <f t="shared" si="16"/>
        <v>24523.36799702093</v>
      </c>
      <c r="AV47" s="45">
        <f t="shared" si="17"/>
        <v>170713.34230507794</v>
      </c>
    </row>
    <row r="48" spans="3:49" x14ac:dyDescent="0.35">
      <c r="Q48" t="str">
        <f t="shared" si="11"/>
        <v>OAM</v>
      </c>
      <c r="R48" s="49">
        <f>AVERAGE('Model_world regions'!$Z47,'Model_world regions'!$AV47,'Model_world regions'!$BN47,'Model_world regions'!$CF47,'Model_world regions'!$CX47,'Model_world regions'!$DP47)</f>
        <v>4596.5309395895538</v>
      </c>
      <c r="S48" s="45">
        <f>_xlfn.STDEV.S('Model_world regions'!$Z47,'Model_world regions'!$AV47,'Model_world regions'!$BN47,'Model_world regions'!$CF47,'Model_world regions'!$CX47,'Model_world regions'!$DP47)</f>
        <v>317.0756168834659</v>
      </c>
      <c r="T48" s="49">
        <f>AVERAGE('Model_world regions'!$AA47,'Model_world regions'!$AW47,'Model_world regions'!$BO47,'Model_world regions'!$CG47,'Model_world regions'!$CY47,'Model_world regions'!$DQ47)</f>
        <v>1315.5934765972511</v>
      </c>
      <c r="U48" s="45">
        <f>_xlfn.STDEV.S('Model_world regions'!$AA47,'Model_world regions'!$AW47,'Model_world regions'!$BO47,'Model_world regions'!$CG47,'Model_world regions'!$CY47,'Model_world regions'!$DQ47)</f>
        <v>120.00206210346477</v>
      </c>
      <c r="V48" s="49">
        <f>AVERAGE('Model_world regions'!$AE47,'Model_world regions'!$BA47,'Model_world regions'!$BS47,'Model_world regions'!$CK47,'Model_world regions'!$DC47,'Model_world regions'!$DU47)</f>
        <v>1.1521058182559381</v>
      </c>
      <c r="W48" s="45">
        <f>_xlfn.STDEV.S('Model_world regions'!$AE47,'Model_world regions'!$BA47,'Model_world regions'!$BS47,'Model_world regions'!$CK47,'Model_world regions'!$DC47,'Model_world regions'!$DU47)</f>
        <v>2.8220713844187411</v>
      </c>
      <c r="X48" s="45">
        <f t="shared" si="12"/>
        <v>7.9640868987551094</v>
      </c>
      <c r="Y48" s="49">
        <f>AVERAGE('Model_world regions'!$AG47,'Model_world regions'!$BC47,'Model_world regions'!$BU47,'Model_world regions'!$CM47,'Model_world regions'!$DE47,'Model_world regions'!$DW47)</f>
        <v>7.6931370592968191</v>
      </c>
      <c r="Z48" s="45">
        <f>_xlfn.STDEV.S('Model_world regions'!$AG47,'Model_world regions'!$BC47,'Model_world regions'!$BU47,'Model_world regions'!$CM47,'Model_world regions'!$DE47,'Model_world regions'!$DW47)</f>
        <v>10.218552754532253</v>
      </c>
      <c r="AA48" s="45">
        <f t="shared" si="13"/>
        <v>104.41882039715868</v>
      </c>
      <c r="AB48" s="49">
        <f>AVERAGE('Model_world regions'!$AD47,'Model_world regions'!$AZ47,'Model_world regions'!$BR47,'Model_world regions'!$CJ47,'Model_world regions'!$DB47,'Model_world regions'!$DT47)</f>
        <v>6.5281730382200531E-2</v>
      </c>
      <c r="AC48" s="45">
        <f>_xlfn.STDEV.S('Model_world regions'!$AD47,'Model_world regions'!$AZ47,'Model_world regions'!$BR47,'Model_world regions'!$CJ47,'Model_world regions'!$DB47,'Model_world regions'!$DT47)</f>
        <v>0.15990692896233716</v>
      </c>
      <c r="AD48" s="49">
        <f>AVERAGE('Model_world regions'!$AF47,'Model_world regions'!$BB47,'Model_world regions'!$BT47,'Model_world regions'!$CL47,'Model_world regions'!$DD47,'Model_world regions'!$DV47)</f>
        <v>0.66735102908090038</v>
      </c>
      <c r="AE48" s="45">
        <f>_xlfn.STDEV.S('Model_world regions'!$AF47,'Model_world regions'!$BB47,'Model_world regions'!$BT47,'Model_world regions'!$CL47,'Model_world regions'!$DD47,'Model_world regions'!$DV47)</f>
        <v>1.2214705030623547</v>
      </c>
      <c r="AF48" s="49">
        <f>AVERAGE('Model_world regions'!$AK47,'Model_world regions'!$BG47,'Model_world regions'!$BY47,'Model_world regions'!$CQ47,'Model_world regions'!$DI47,'Model_world regions'!$EA47)</f>
        <v>1163.0977971087239</v>
      </c>
      <c r="AG48" s="45">
        <f>_xlfn.STDEV.S('Model_world regions'!$AK47,'Model_world regions'!$BG47,'Model_world regions'!$BY47,'Model_world regions'!$CQ47,'Model_world regions'!$DI47,'Model_world regions'!$EA47)</f>
        <v>84.712717971421085</v>
      </c>
      <c r="AH48" s="49">
        <f>AVERAGE('Model_world regions'!$AL47,'Model_world regions'!$BH47,'Model_world regions'!$BZ47,'Model_world regions'!$CR47,'Model_world regions'!$DJ47,'Model_world regions'!$EB47)</f>
        <v>1093.0792388210211</v>
      </c>
      <c r="AI48" s="45">
        <f>_xlfn.STDEV.S('Model_world regions'!$AL47,'Model_world regions'!$BH47,'Model_world regions'!$BZ47,'Model_world regions'!$CR47,'Model_world regions'!$DJ47,'Model_world regions'!$EB47)</f>
        <v>80.382678135469746</v>
      </c>
      <c r="AJ48" s="49">
        <f>AVERAGE('Model_world regions'!$AM47,'Model_world regions'!$BI47,'Model_world regions'!$CA47,'Model_world regions'!$CS47,'Model_world regions'!$DK47,'Model_world regions'!$EC47)</f>
        <v>-124.16419754139839</v>
      </c>
      <c r="AK48" s="45">
        <f>_xlfn.STDEV.S('Model_world regions'!$AM47,'Model_world regions'!$BI47,'Model_world regions'!$CA47,'Model_world regions'!$CS47,'Model_world regions'!$DK47,'Model_world regions'!$EC47)</f>
        <v>37.558495786694351</v>
      </c>
      <c r="AL48" s="49">
        <f>AVERAGE('Model_world regions'!$AN47,'Model_world regions'!$BJ47,'Model_world regions'!$CB47,'Model_world regions'!$CT47,'Model_world regions'!$DL47,'Model_world regions'!$ED47)</f>
        <v>-88.954063309372103</v>
      </c>
      <c r="AM48" s="45">
        <f>_xlfn.STDEV.S('Model_world regions'!$AN47,'Model_world regions'!$BJ47,'Model_world regions'!$CB47,'Model_world regions'!$CT47,'Model_world regions'!$DL47,'Model_world regions'!$ED47)</f>
        <v>78.469496162606617</v>
      </c>
      <c r="AN48" s="98">
        <f>AVERAGE('Model_world regions'!AS47,'Model_world regions'!BK47,'Model_world regions'!CC47,'Model_world regions'!CU47,'Model_world regions'!DM47,'Model_world regions'!EE47)</f>
        <v>-0.45051564453652276</v>
      </c>
      <c r="AO48" s="45">
        <f>_xlfn.STDEV.S('Model_world regions'!AS47,'Model_world regions'!BK47,'Model_world regions'!CC47,'Model_world regions'!CU47,'Model_world regions'!DM47,'Model_world regions'!EE47)</f>
        <v>0.3677321850379659</v>
      </c>
      <c r="AP48" s="49">
        <f>AVERAGE('Model_world regions'!AT47,'Model_world regions'!BL47,'Model_world regions'!CD47,'Model_world regions'!CV47,'Model_world regions'!DN47,'Model_world regions'!EF47)</f>
        <v>1.4480856517887627E-2</v>
      </c>
      <c r="AQ48" s="54">
        <f>_xlfn.STDEV.S('Model_world regions'!AT47,'Model_world regions'!BL47,'Model_world regions'!CD47,'Model_world regions'!CV47,'Model_world regions'!DN47,'Model_world regions'!EF47)</f>
        <v>1.8512021640486678</v>
      </c>
      <c r="AS48" s="49">
        <f t="shared" si="14"/>
        <v>1515.7028988472503</v>
      </c>
      <c r="AT48" s="45">
        <f t="shared" si="15"/>
        <v>10477.500771055855</v>
      </c>
      <c r="AU48" s="49">
        <f t="shared" si="16"/>
        <v>10121.040929779454</v>
      </c>
      <c r="AV48" s="45">
        <f t="shared" si="17"/>
        <v>137372.71894848195</v>
      </c>
    </row>
    <row r="49" spans="17:49" x14ac:dyDescent="0.35">
      <c r="Q49" t="str">
        <f t="shared" si="11"/>
        <v>AFR</v>
      </c>
      <c r="R49" s="49">
        <f>AVERAGE('Model_world regions'!$Z48,'Model_world regions'!$AV48,'Model_world regions'!$BN48,'Model_world regions'!$CF48,'Model_world regions'!$CX48,'Model_world regions'!$DP48)</f>
        <v>3960.1041585148027</v>
      </c>
      <c r="S49" s="45">
        <f>_xlfn.STDEV.S('Model_world regions'!$Z48,'Model_world regions'!$AV48,'Model_world regions'!$BN48,'Model_world regions'!$CF48,'Model_world regions'!$CX48,'Model_world regions'!$DP48)</f>
        <v>430.211981092011</v>
      </c>
      <c r="T49" s="49">
        <f>AVERAGE('Model_world regions'!$AA48,'Model_world regions'!$AW48,'Model_world regions'!$BO48,'Model_world regions'!$CG48,'Model_world regions'!$CY48,'Model_world regions'!$DQ48)</f>
        <v>1763.011079561654</v>
      </c>
      <c r="U49" s="45">
        <f>_xlfn.STDEV.S('Model_world regions'!$AA48,'Model_world regions'!$AW48,'Model_world regions'!$BO48,'Model_world regions'!$CG48,'Model_world regions'!$CY48,'Model_world regions'!$DQ48)</f>
        <v>66.089630262162402</v>
      </c>
      <c r="V49" s="49">
        <f>AVERAGE('Model_world regions'!$AE48,'Model_world regions'!$BA48,'Model_world regions'!$BS48,'Model_world regions'!$CK48,'Model_world regions'!$DC48,'Model_world regions'!$DU48)</f>
        <v>0</v>
      </c>
      <c r="W49" s="45">
        <f>_xlfn.STDEV.S('Model_world regions'!$AE48,'Model_world regions'!$BA48,'Model_world regions'!$BS48,'Model_world regions'!$CK48,'Model_world regions'!$DC48,'Model_world regions'!$DU48)</f>
        <v>0</v>
      </c>
      <c r="X49" s="45">
        <f t="shared" si="12"/>
        <v>0</v>
      </c>
      <c r="Y49" s="49">
        <f>AVERAGE('Model_world regions'!$AG48,'Model_world regions'!$BC48,'Model_world regions'!$BU48,'Model_world regions'!$CM48,'Model_world regions'!$DE48,'Model_world regions'!$DW48)</f>
        <v>10.800702208763218</v>
      </c>
      <c r="Z49" s="45">
        <f>_xlfn.STDEV.S('Model_world regions'!$AG48,'Model_world regions'!$BC48,'Model_world regions'!$BU48,'Model_world regions'!$CM48,'Model_world regions'!$DE48,'Model_world regions'!$DW48)</f>
        <v>3.9087860168309598</v>
      </c>
      <c r="AA49" s="45">
        <f t="shared" si="13"/>
        <v>15.278608125373241</v>
      </c>
      <c r="AB49" s="49">
        <f>AVERAGE('Model_world regions'!$AD48,'Model_world regions'!$AZ48,'Model_world regions'!$BR48,'Model_world regions'!$CJ48,'Model_world regions'!$DB48,'Model_world regions'!$DT48)</f>
        <v>0</v>
      </c>
      <c r="AC49" s="45">
        <f>_xlfn.STDEV.S('Model_world regions'!$AD48,'Model_world regions'!$AZ48,'Model_world regions'!$BR48,'Model_world regions'!$CJ48,'Model_world regions'!$DB48,'Model_world regions'!$DT48)</f>
        <v>0</v>
      </c>
      <c r="AD49" s="49">
        <f>AVERAGE('Model_world regions'!$AF48,'Model_world regions'!$BB48,'Model_world regions'!$BT48,'Model_world regions'!$CL48,'Model_world regions'!$DD48,'Model_world regions'!$DV48)</f>
        <v>1.102115279002706</v>
      </c>
      <c r="AE49" s="45">
        <f>_xlfn.STDEV.S('Model_world regions'!$AF48,'Model_world regions'!$BB48,'Model_world regions'!$BT48,'Model_world regions'!$CL48,'Model_world regions'!$DD48,'Model_world regions'!$DV48)</f>
        <v>0.526516178732086</v>
      </c>
      <c r="AF49" s="49">
        <f>AVERAGE('Model_world regions'!$AK48,'Model_world regions'!$BG48,'Model_world regions'!$BY48,'Model_world regions'!$CQ48,'Model_world regions'!$DI48,'Model_world regions'!$EA48)</f>
        <v>1531.0173040176724</v>
      </c>
      <c r="AG49" s="45">
        <f>_xlfn.STDEV.S('Model_world regions'!$AK48,'Model_world regions'!$BG48,'Model_world regions'!$BY48,'Model_world regions'!$CQ48,'Model_world regions'!$DI48,'Model_world regions'!$EA48)</f>
        <v>41.433398012844378</v>
      </c>
      <c r="AH49" s="49">
        <f>AVERAGE('Model_world regions'!$AL48,'Model_world regions'!$BH48,'Model_world regions'!$BZ48,'Model_world regions'!$CR48,'Model_world regions'!$DJ48,'Model_world regions'!$EB48)</f>
        <v>1423.7495013479554</v>
      </c>
      <c r="AI49" s="45">
        <f>_xlfn.STDEV.S('Model_world regions'!$AL48,'Model_world regions'!$BH48,'Model_world regions'!$BZ48,'Model_world regions'!$CR48,'Model_world regions'!$DJ48,'Model_world regions'!$EB48)</f>
        <v>48.25631467775883</v>
      </c>
      <c r="AJ49" s="49">
        <f>AVERAGE('Model_world regions'!$AM48,'Model_world regions'!$BI48,'Model_world regions'!$CA48,'Model_world regions'!$CS48,'Model_world regions'!$DK48,'Model_world regions'!$EC48)</f>
        <v>-231.99377554398177</v>
      </c>
      <c r="AK49" s="45">
        <f>_xlfn.STDEV.S('Model_world regions'!$AM48,'Model_world regions'!$BI48,'Model_world regions'!$CA48,'Model_world regions'!$CS48,'Model_world regions'!$DK48,'Model_world regions'!$EC48)</f>
        <v>72.674720591889169</v>
      </c>
      <c r="AL49" s="49">
        <f>AVERAGE('Model_world regions'!$AN48,'Model_world regions'!$BJ48,'Model_world regions'!$CB48,'Model_world regions'!$CT48,'Model_world regions'!$DL48,'Model_world regions'!$ED48)</f>
        <v>-51.937788028557669</v>
      </c>
      <c r="AM49" s="45">
        <f>_xlfn.STDEV.S('Model_world regions'!$AN48,'Model_world regions'!$BJ48,'Model_world regions'!$CB48,'Model_world regions'!$CT48,'Model_world regions'!$DL48,'Model_world regions'!$ED48)</f>
        <v>48.25631467775883</v>
      </c>
      <c r="AN49" s="98">
        <f>AVERAGE('Model_world regions'!AS48,'Model_world regions'!BK48,'Model_world regions'!CC48,'Model_world regions'!CU48,'Model_world regions'!DM48,'Model_world regions'!EE48)</f>
        <v>-1.2806040986910139</v>
      </c>
      <c r="AO49" s="45">
        <f>_xlfn.STDEV.S('Model_world regions'!AS48,'Model_world regions'!BK48,'Model_world regions'!CC48,'Model_world regions'!CU48,'Model_world regions'!DM48,'Model_world regions'!EE48)</f>
        <v>1.0423343392335773</v>
      </c>
      <c r="AP49" s="49">
        <f>AVERAGE('Model_world regions'!AT48,'Model_world regions'!BL48,'Model_world regions'!CD48,'Model_world regions'!CV48,'Model_world regions'!DN48,'Model_world regions'!EF48)</f>
        <v>0.88994553130962872</v>
      </c>
      <c r="AQ49" s="54">
        <f>_xlfn.STDEV.S('Model_world regions'!AT48,'Model_world regions'!BL48,'Model_world regions'!CD48,'Model_world regions'!CV48,'Model_world regions'!DN48,'Model_world regions'!EF48)</f>
        <v>0.52574028480849344</v>
      </c>
      <c r="AS49" s="49">
        <f t="shared" si="14"/>
        <v>0</v>
      </c>
      <c r="AT49" s="45">
        <f t="shared" si="15"/>
        <v>0</v>
      </c>
      <c r="AU49" s="49">
        <f t="shared" si="16"/>
        <v>19041.75766109558</v>
      </c>
      <c r="AV49" s="45">
        <f t="shared" si="17"/>
        <v>26936.355405313738</v>
      </c>
    </row>
    <row r="50" spans="17:49" x14ac:dyDescent="0.35">
      <c r="Q50" t="str">
        <f t="shared" si="11"/>
        <v>REU</v>
      </c>
      <c r="R50" s="52">
        <f>AVERAGE('Model_world regions'!$Z49,'Model_world regions'!$AV49,'Model_world regions'!$BN49,'Model_world regions'!$CF49,'Model_world regions'!$CX49,'Model_world regions'!$DP49)</f>
        <v>451.03516051256878</v>
      </c>
      <c r="S50" s="53">
        <f>_xlfn.STDEV.S('Model_world regions'!$Z49,'Model_world regions'!$AV49,'Model_world regions'!$BN49,'Model_world regions'!$CF49,'Model_world regions'!$CX49,'Model_world regions'!$DP49)</f>
        <v>33.895072139544325</v>
      </c>
      <c r="T50" s="52">
        <f>AVERAGE('Model_world regions'!$AA49,'Model_world regions'!$AW49,'Model_world regions'!$BO49,'Model_world regions'!$CG49,'Model_world regions'!$CY49,'Model_world regions'!$DQ49)</f>
        <v>390.08647335707047</v>
      </c>
      <c r="U50" s="53">
        <f>_xlfn.STDEV.S('Model_world regions'!$AA49,'Model_world regions'!$AW49,'Model_world regions'!$BO49,'Model_world regions'!$CG49,'Model_world regions'!$CY49,'Model_world regions'!$DQ49)</f>
        <v>25.442562965657256</v>
      </c>
      <c r="V50" s="52">
        <f>AVERAGE('Model_world regions'!$AE49,'Model_world regions'!$BA49,'Model_world regions'!$BS49,'Model_world regions'!$CK49,'Model_world regions'!$DC49,'Model_world regions'!$DU49)</f>
        <v>5.3987993166235233</v>
      </c>
      <c r="W50" s="53">
        <f>_xlfn.STDEV.S('Model_world regions'!$AE49,'Model_world regions'!$BA49,'Model_world regions'!$BS49,'Model_world regions'!$CK49,'Model_world regions'!$DC49,'Model_world regions'!$DU49)</f>
        <v>4.383879946356469</v>
      </c>
      <c r="X50" s="53">
        <f t="shared" si="12"/>
        <v>19.218403384066399</v>
      </c>
      <c r="Y50" s="52">
        <f>AVERAGE('Model_world regions'!$AG49,'Model_world regions'!$BC49,'Model_world regions'!$BU49,'Model_world regions'!$CM49,'Model_world regions'!$DE49,'Model_world regions'!$DW49)</f>
        <v>7.426440380565265</v>
      </c>
      <c r="Z50" s="53">
        <f>_xlfn.STDEV.S('Model_world regions'!$AG49,'Model_world regions'!$BC49,'Model_world regions'!$BU49,'Model_world regions'!$CM49,'Model_world regions'!$DE49,'Model_world regions'!$DW49)</f>
        <v>4.9509718656869914</v>
      </c>
      <c r="AA50" s="53">
        <f t="shared" si="13"/>
        <v>24.51212241482413</v>
      </c>
      <c r="AB50" s="52">
        <f>AVERAGE('Model_world regions'!$AD49,'Model_world regions'!$AZ49,'Model_world regions'!$BR49,'Model_world regions'!$CJ49,'Model_world regions'!$DB49,'Model_world regions'!$DT49)</f>
        <v>0.11941922773296049</v>
      </c>
      <c r="AC50" s="53">
        <f>_xlfn.STDEV.S('Model_world regions'!$AD49,'Model_world regions'!$AZ49,'Model_world regions'!$BR49,'Model_world regions'!$CJ49,'Model_world regions'!$DB49,'Model_world regions'!$DT49)</f>
        <v>0.14722294286171433</v>
      </c>
      <c r="AD50" s="52">
        <f>AVERAGE('Model_world regions'!$AF49,'Model_world regions'!$BB49,'Model_world regions'!$BT49,'Model_world regions'!$CL49,'Model_world regions'!$DD49,'Model_world regions'!$DV49)</f>
        <v>0.18018705359088086</v>
      </c>
      <c r="AE50" s="53">
        <f>_xlfn.STDEV.S('Model_world regions'!$AF49,'Model_world regions'!$BB49,'Model_world regions'!$BT49,'Model_world regions'!$CL49,'Model_world regions'!$DD49,'Model_world regions'!$DV49)</f>
        <v>0.19097632532838515</v>
      </c>
      <c r="AF50" s="52">
        <f>AVERAGE('Model_world regions'!$AK49,'Model_world regions'!$BG49,'Model_world regions'!$BY49,'Model_world regions'!$CQ49,'Model_world regions'!$DI49,'Model_world regions'!$EA49)</f>
        <v>332.23675102383049</v>
      </c>
      <c r="AG50" s="53">
        <f>_xlfn.STDEV.S('Model_world regions'!$AK49,'Model_world regions'!$BG49,'Model_world regions'!$BY49,'Model_world regions'!$CQ49,'Model_world regions'!$DI49,'Model_world regions'!$EA49)</f>
        <v>15.264740002088129</v>
      </c>
      <c r="AH50" s="52">
        <f>AVERAGE('Model_world regions'!$AL49,'Model_world regions'!$BH49,'Model_world regions'!$BZ49,'Model_world regions'!$CR49,'Model_world regions'!$DJ49,'Model_world regions'!$EB49)</f>
        <v>305.52430580521815</v>
      </c>
      <c r="AI50" s="53">
        <f>_xlfn.STDEV.S('Model_world regions'!$AL49,'Model_world regions'!$BH49,'Model_world regions'!$BZ49,'Model_world regions'!$CR49,'Model_world regions'!$DJ49,'Model_world regions'!$EB49)</f>
        <v>14.069359559796057</v>
      </c>
      <c r="AJ50" s="52">
        <f>AVERAGE('Model_world regions'!$AM49,'Model_world regions'!$BI49,'Model_world regions'!$CA49,'Model_world regions'!$CS49,'Model_world regions'!$DK49,'Model_world regions'!$EC49)</f>
        <v>-8.6295621279370689</v>
      </c>
      <c r="AK50" s="53">
        <f>_xlfn.STDEV.S('Model_world regions'!$AM49,'Model_world regions'!$BI49,'Model_world regions'!$CA49,'Model_world regions'!$CS49,'Model_world regions'!$DK49,'Model_world regions'!$EC49)</f>
        <v>15.264740002088129</v>
      </c>
      <c r="AL50" s="52">
        <f>AVERAGE('Model_world regions'!$AN49,'Model_world regions'!$BJ49,'Model_world regions'!$CB49,'Model_world regions'!$CT49,'Model_world regions'!$DL49,'Model_world regions'!$ED49)</f>
        <v>-25.818526868923936</v>
      </c>
      <c r="AM50" s="53">
        <f>_xlfn.STDEV.S('Model_world regions'!$AN49,'Model_world regions'!$BJ49,'Model_world regions'!$CB49,'Model_world regions'!$CT49,'Model_world regions'!$DL49,'Model_world regions'!$ED49)</f>
        <v>14.069359559796061</v>
      </c>
      <c r="AN50" s="58">
        <f>AVERAGE('Model_world regions'!AS49,'Model_world regions'!BK49,'Model_world regions'!CC49,'Model_world regions'!CU49,'Model_world regions'!DM49,'Model_world regions'!EE49)</f>
        <v>8.6580556106521309E-2</v>
      </c>
      <c r="AO50" s="53">
        <f>_xlfn.STDEV.S('Model_world regions'!AS49,'Model_world regions'!BK49,'Model_world regions'!CC49,'Model_world regions'!CU49,'Model_world regions'!DM49,'Model_world regions'!EE49)</f>
        <v>0.14018731275036503</v>
      </c>
      <c r="AP50" s="52">
        <f>AVERAGE('Model_world regions'!AT49,'Model_world regions'!BL49,'Model_world regions'!CD49,'Model_world regions'!CV49,'Model_world regions'!DN49,'Model_world regions'!EF49)</f>
        <v>4.0655556410141618E-2</v>
      </c>
      <c r="AQ50" s="56">
        <f>_xlfn.STDEV.S('Model_world regions'!AT49,'Model_world regions'!BL49,'Model_world regions'!CD49,'Model_world regions'!CV49,'Model_world regions'!DN49,'Model_world regions'!EF49)</f>
        <v>0.25120567025985419</v>
      </c>
      <c r="AR50" s="16"/>
      <c r="AS50" s="52">
        <f t="shared" si="14"/>
        <v>2105.9985857842321</v>
      </c>
      <c r="AT50" s="53">
        <f t="shared" si="15"/>
        <v>7496.8391996440505</v>
      </c>
      <c r="AU50" s="52">
        <f t="shared" si="16"/>
        <v>2896.9539376512444</v>
      </c>
      <c r="AV50" s="53">
        <f t="shared" si="17"/>
        <v>9561.8473872955437</v>
      </c>
      <c r="AW50" s="16"/>
    </row>
    <row r="51" spans="17:49" x14ac:dyDescent="0.35">
      <c r="R51" s="48">
        <f>SUM(R35:R50)</f>
        <v>116930.39622579284</v>
      </c>
      <c r="S51" s="44"/>
      <c r="T51" s="48">
        <f t="shared" ref="T51" si="18">SUM(T35:T50)</f>
        <v>40312.515772646213</v>
      </c>
      <c r="U51" s="44"/>
      <c r="V51" s="49"/>
      <c r="W51" s="45"/>
      <c r="X51" s="45"/>
      <c r="Y51" s="49"/>
      <c r="Z51" s="45"/>
      <c r="AA51" s="45"/>
      <c r="AB51" s="49"/>
      <c r="AC51" s="45"/>
      <c r="AD51" s="49"/>
      <c r="AE51" s="45"/>
      <c r="AF51" s="48">
        <f>SUM(AF35:AF50)</f>
        <v>34593.689374041744</v>
      </c>
      <c r="AG51" s="45"/>
      <c r="AH51" s="48">
        <f>SUM(AH35:AH50)</f>
        <v>31961.255663759421</v>
      </c>
      <c r="AI51" s="45"/>
      <c r="AJ51" s="49">
        <f>SUM(AJ35:AJ50)</f>
        <v>5.4889426337467739E-13</v>
      </c>
      <c r="AK51" s="45"/>
      <c r="AL51" s="49">
        <f>SUM(AL35:AL50)</f>
        <v>1.1617373729677638E-12</v>
      </c>
      <c r="AM51" s="45"/>
      <c r="AN51" s="49">
        <f>SUM(AN35:AN50)</f>
        <v>15.982248063166749</v>
      </c>
      <c r="AO51" s="45"/>
      <c r="AP51" s="49">
        <f>SUM(AP35:AP50)</f>
        <v>46.531627318127576</v>
      </c>
      <c r="AQ51" s="45"/>
      <c r="AS51" s="49"/>
      <c r="AT51" s="45"/>
      <c r="AU51" s="49"/>
      <c r="AV51" s="45"/>
    </row>
    <row r="58" spans="17:49" ht="29.5" customHeight="1" x14ac:dyDescent="0.35"/>
    <row r="61" spans="17:49" ht="56.5" customHeight="1" x14ac:dyDescent="0.35"/>
  </sheetData>
  <sheetProtection algorithmName="SHA-512" hashValue="hYPwJn0ap/sv7oc+WXJ5FL2SFU0K31l+t0iUV+MZk/5dGVpN0oKdCgijBQvMCaFT8aJNs0EYnZLK7Ahh73L1zg==" saltValue="fHQrRzin/LnuLef9UoWWnQ==" spinCount="100000" sheet="1" objects="1" scenarios="1"/>
  <mergeCells count="4">
    <mergeCell ref="C6:E6"/>
    <mergeCell ref="C25:E25"/>
    <mergeCell ref="G6:I6"/>
    <mergeCell ref="J6:L6"/>
  </mergeCells>
  <conditionalFormatting sqref="R9:AR24">
    <cfRule type="expression" dxfId="1" priority="4">
      <formula>"L9&gt;L35"</formula>
    </cfRule>
  </conditionalFormatting>
  <conditionalFormatting sqref="R2:AW25">
    <cfRule type="expression" priority="5">
      <formula>R9&gt;R35</formula>
    </cfRule>
  </conditionalFormatting>
  <conditionalFormatting sqref="AF28:AH30">
    <cfRule type="expression" priority="1">
      <formula>AF35&gt;AF61</formula>
    </cfRule>
  </conditionalFormatting>
  <conditionalFormatting sqref="AN32:AR51">
    <cfRule type="expression" priority="6">
      <formula>AN39&gt;AN66</formula>
    </cfRule>
  </conditionalFormatting>
  <conditionalFormatting sqref="AN35:AR50">
    <cfRule type="expression" dxfId="0" priority="2">
      <formula>"L9&gt;L35"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F78896-0511-449B-92E0-AA2876C1876D}">
  <dimension ref="C1:K47"/>
  <sheetViews>
    <sheetView workbookViewId="0">
      <selection activeCell="B51" sqref="B51"/>
    </sheetView>
  </sheetViews>
  <sheetFormatPr baseColWidth="10" defaultColWidth="11.453125" defaultRowHeight="14.5" x14ac:dyDescent="0.35"/>
  <cols>
    <col min="1" max="1" width="128.1796875" customWidth="1"/>
    <col min="2" max="2" width="10.81640625" customWidth="1"/>
    <col min="3" max="3" width="17.1796875" bestFit="1" customWidth="1"/>
    <col min="4" max="4" width="29.1796875" bestFit="1" customWidth="1"/>
    <col min="5" max="5" width="11.81640625" bestFit="1" customWidth="1"/>
    <col min="6" max="6" width="31" bestFit="1" customWidth="1"/>
    <col min="8" max="8" width="24.81640625" bestFit="1" customWidth="1"/>
    <col min="10" max="10" width="31" bestFit="1" customWidth="1"/>
  </cols>
  <sheetData>
    <row r="1" spans="3:11" x14ac:dyDescent="0.35">
      <c r="C1" t="s">
        <v>51</v>
      </c>
    </row>
    <row r="2" spans="3:11" x14ac:dyDescent="0.35">
      <c r="C2" t="s">
        <v>90</v>
      </c>
      <c r="D2" t="s">
        <v>91</v>
      </c>
      <c r="E2" t="s">
        <v>92</v>
      </c>
      <c r="F2" t="s">
        <v>93</v>
      </c>
      <c r="G2" t="s">
        <v>92</v>
      </c>
      <c r="H2" t="s">
        <v>37</v>
      </c>
      <c r="I2" t="s">
        <v>92</v>
      </c>
      <c r="J2" t="s">
        <v>94</v>
      </c>
      <c r="K2" t="s">
        <v>95</v>
      </c>
    </row>
    <row r="3" spans="3:11" x14ac:dyDescent="0.35">
      <c r="C3" t="str">
        <f>Analysis!Q35</f>
        <v>USA</v>
      </c>
      <c r="D3">
        <f>Analysis!AB35</f>
        <v>30.00926102251147</v>
      </c>
      <c r="E3">
        <f>Analysis!AC35</f>
        <v>20.588789387045104</v>
      </c>
      <c r="F3">
        <f>IF(Analysis!$AB9=$D3,0,Analysis!AB9)</f>
        <v>22.04825479691387</v>
      </c>
      <c r="G3">
        <f>IF(Analysis!$AB9=$D3,0,Analysis!AC9)</f>
        <v>16.853313517163837</v>
      </c>
      <c r="H3">
        <f>Analysis!AN35</f>
        <v>10.007942107338598</v>
      </c>
      <c r="I3">
        <f>Analysis!AO35</f>
        <v>7.8600070763041119</v>
      </c>
      <c r="J3">
        <f>Analysis!AN9</f>
        <v>6.8300172542490403</v>
      </c>
      <c r="K3">
        <f>Analysis!AO9</f>
        <v>6.0852193470507769</v>
      </c>
    </row>
    <row r="4" spans="3:11" x14ac:dyDescent="0.35">
      <c r="C4" t="str">
        <f>Analysis!Q36</f>
        <v>CAN</v>
      </c>
      <c r="D4">
        <f>Analysis!AB36</f>
        <v>11.271292571674019</v>
      </c>
      <c r="E4">
        <f>Analysis!AC36</f>
        <v>5.8865933295691883</v>
      </c>
      <c r="F4">
        <f>IF(Analysis!AB10=D4,0,Analysis!AB10)</f>
        <v>0</v>
      </c>
      <c r="G4">
        <f>IF(Analysis!$AB10=$D4,0,Analysis!AC10)</f>
        <v>0</v>
      </c>
      <c r="H4">
        <f>Analysis!AN36</f>
        <v>1.6267425280560124</v>
      </c>
      <c r="I4">
        <f>Analysis!AO36</f>
        <v>1.1972874376140006</v>
      </c>
      <c r="J4">
        <f>Analysis!AN10</f>
        <v>1.2321722780417936</v>
      </c>
      <c r="K4">
        <f>Analysis!AO10</f>
        <v>1.0165037429135271</v>
      </c>
    </row>
    <row r="5" spans="3:11" x14ac:dyDescent="0.35">
      <c r="C5" t="str">
        <f>Analysis!Q37</f>
        <v>JPN</v>
      </c>
      <c r="D5">
        <f>Analysis!AB37</f>
        <v>23.724355454204101</v>
      </c>
      <c r="E5">
        <f>Analysis!AC37</f>
        <v>15.647789648434468</v>
      </c>
      <c r="F5">
        <f>IF(Analysis!AB11=D5,0,Analysis!AB11)</f>
        <v>5.0106552998122398</v>
      </c>
      <c r="G5">
        <f>IF(Analysis!$AB11=$D5,0,Analysis!AC11)</f>
        <v>6.2043491221503748</v>
      </c>
      <c r="H5">
        <f>Analysis!AN37</f>
        <v>3.4092383265858452</v>
      </c>
      <c r="I5">
        <f>Analysis!AO37</f>
        <v>2.4938329340620387</v>
      </c>
      <c r="J5">
        <f>Analysis!AN11</f>
        <v>1.3376438369911521</v>
      </c>
      <c r="K5">
        <f>Analysis!AO11</f>
        <v>1.3158583748288872</v>
      </c>
    </row>
    <row r="6" spans="3:11" x14ac:dyDescent="0.35">
      <c r="C6" t="str">
        <f>Analysis!Q38</f>
        <v>KOR</v>
      </c>
      <c r="D6">
        <f>Analysis!AB38</f>
        <v>8.013564240410938</v>
      </c>
      <c r="E6">
        <f>Analysis!AC38</f>
        <v>8.414464729881594</v>
      </c>
      <c r="F6">
        <f>IF(Analysis!AB12=D6,0,Analysis!AB12)</f>
        <v>6.8229901888123825</v>
      </c>
      <c r="G6">
        <f>IF(Analysis!$AB12=$D6,0,Analysis!AC12)</f>
        <v>7.7758705738013498</v>
      </c>
      <c r="H6">
        <f>Analysis!AN38</f>
        <v>1.868799075692019</v>
      </c>
      <c r="I6">
        <f>Analysis!AO38</f>
        <v>1.4970500769089254</v>
      </c>
      <c r="J6">
        <f>Analysis!AN12</f>
        <v>1.3465719717660285</v>
      </c>
      <c r="K6">
        <f>Analysis!AO12</f>
        <v>1.2065167016057476</v>
      </c>
    </row>
    <row r="7" spans="3:11" x14ac:dyDescent="0.35">
      <c r="C7" t="str">
        <f>Analysis!Q39</f>
        <v>RUS</v>
      </c>
      <c r="D7">
        <f>Analysis!AB39</f>
        <v>5.9981480050157264E-2</v>
      </c>
      <c r="E7">
        <f>Analysis!AC39</f>
        <v>0.11505471080031769</v>
      </c>
      <c r="F7">
        <f>IF(Analysis!AB13=D7,0,Analysis!AB13)</f>
        <v>0</v>
      </c>
      <c r="G7">
        <f>IF(Analysis!$AB13=$D7,0,Analysis!AC13)</f>
        <v>0</v>
      </c>
      <c r="H7">
        <f>Analysis!AN39</f>
        <v>-0.58901820417002004</v>
      </c>
      <c r="I7">
        <f>Analysis!AO39</f>
        <v>0.66850651146252016</v>
      </c>
      <c r="J7">
        <f>Analysis!AN13</f>
        <v>-0.30549535964690555</v>
      </c>
      <c r="K7">
        <f>Analysis!AO13</f>
        <v>0.47277881881304551</v>
      </c>
    </row>
    <row r="8" spans="3:11" x14ac:dyDescent="0.35">
      <c r="C8" t="str">
        <f>Analysis!Q40</f>
        <v>CHN</v>
      </c>
      <c r="D8">
        <f>Analysis!AB40</f>
        <v>1.6799511467336448</v>
      </c>
      <c r="E8">
        <f>Analysis!AC40</f>
        <v>2.3718417269496244</v>
      </c>
      <c r="F8">
        <f>IF(Analysis!AB14=D8,0,Analysis!AB14)</f>
        <v>0</v>
      </c>
      <c r="G8">
        <f>IF(Analysis!$AB14=$D8,0,Analysis!AC14)</f>
        <v>0</v>
      </c>
      <c r="H8">
        <f>Analysis!AN40</f>
        <v>-1.2524875925755488</v>
      </c>
      <c r="I8">
        <f>Analysis!AO40</f>
        <v>3.6168450794466676</v>
      </c>
      <c r="J8">
        <f>Analysis!AN14</f>
        <v>0.40219859280579889</v>
      </c>
      <c r="K8">
        <f>Analysis!AO14</f>
        <v>3.2560012869485706</v>
      </c>
    </row>
    <row r="9" spans="3:11" x14ac:dyDescent="0.35">
      <c r="C9" t="str">
        <f>Analysis!Q41</f>
        <v>GBR</v>
      </c>
      <c r="D9">
        <f>Analysis!AB41</f>
        <v>6.8301918621308078</v>
      </c>
      <c r="E9">
        <f>Analysis!AC41</f>
        <v>4.0064527621058703</v>
      </c>
      <c r="F9">
        <f>IF(Analysis!AB15=D9,0,Analysis!AB15)</f>
        <v>0</v>
      </c>
      <c r="G9">
        <f>IF(Analysis!$AB15=$D9,0,Analysis!AC15)</f>
        <v>0</v>
      </c>
      <c r="H9">
        <f>Analysis!AN41</f>
        <v>1.0250254085113164</v>
      </c>
      <c r="I9">
        <f>Analysis!AO41</f>
        <v>0.77019015867952956</v>
      </c>
      <c r="J9">
        <f>Analysis!AN15</f>
        <v>0.77890066662660107</v>
      </c>
      <c r="K9">
        <f>Analysis!AO15</f>
        <v>0.65204950352011737</v>
      </c>
    </row>
    <row r="10" spans="3:11" x14ac:dyDescent="0.35">
      <c r="C10" t="str">
        <f>Analysis!Q42</f>
        <v>IND</v>
      </c>
      <c r="D10">
        <f>Analysis!AB42</f>
        <v>0</v>
      </c>
      <c r="E10">
        <f>Analysis!AC42</f>
        <v>0</v>
      </c>
      <c r="F10">
        <f>IF(Analysis!AB16=D10,0,Analysis!AB16)</f>
        <v>0</v>
      </c>
      <c r="G10">
        <f>IF(Analysis!$AB16=$D10,0,Analysis!AC16)</f>
        <v>0</v>
      </c>
      <c r="H10">
        <f>Analysis!AN42</f>
        <v>-3.4966188421649016</v>
      </c>
      <c r="I10">
        <f>Analysis!AO42</f>
        <v>2.900078512534789</v>
      </c>
      <c r="J10">
        <f>Analysis!AN16</f>
        <v>-2.2541165205452378</v>
      </c>
      <c r="K10">
        <f>Analysis!AO16</f>
        <v>2.1395736363621336</v>
      </c>
    </row>
    <row r="11" spans="3:11" x14ac:dyDescent="0.35">
      <c r="C11" t="str">
        <f>Analysis!Q43</f>
        <v>BRA</v>
      </c>
      <c r="D11">
        <f>Analysis!AB43</f>
        <v>4.3828840846686887</v>
      </c>
      <c r="E11">
        <f>Analysis!AC43</f>
        <v>3.9968495881580886</v>
      </c>
      <c r="F11">
        <f>IF(Analysis!AB17=D11,0,Analysis!AB17)</f>
        <v>8.9584652049752786E-2</v>
      </c>
      <c r="G11">
        <f>IF(Analysis!$AB17=$D11,0,Analysis!AC17)</f>
        <v>0.21907045610234196</v>
      </c>
      <c r="H11">
        <f>Analysis!AN43</f>
        <v>0.89811443487276132</v>
      </c>
      <c r="I11">
        <f>Analysis!AO43</f>
        <v>1.026092981263852</v>
      </c>
      <c r="J11">
        <f>Analysis!AN17</f>
        <v>6.0369052327975126E-3</v>
      </c>
      <c r="K11">
        <f>Analysis!AO17</f>
        <v>0.23751674097690928</v>
      </c>
    </row>
    <row r="12" spans="3:11" x14ac:dyDescent="0.35">
      <c r="C12" t="str">
        <f>Analysis!Q44</f>
        <v>EU</v>
      </c>
      <c r="D12">
        <f>Analysis!AB44</f>
        <v>40.74179773166059</v>
      </c>
      <c r="E12">
        <f>Analysis!AC44</f>
        <v>24.075733801368905</v>
      </c>
      <c r="F12">
        <f>IF(Analysis!AB18=D12,0,Analysis!AB18)</f>
        <v>15.829870100976294</v>
      </c>
      <c r="G12">
        <f>IF(Analysis!$AB18=$D12,0,Analysis!AC18)</f>
        <v>13.228088275083834</v>
      </c>
      <c r="H12">
        <f>Analysis!AN44</f>
        <v>7.3438757498106888</v>
      </c>
      <c r="I12">
        <f>Analysis!AO44</f>
        <v>5.4792121921680783</v>
      </c>
      <c r="J12">
        <f>Analysis!AN18</f>
        <v>3.8447655137861037</v>
      </c>
      <c r="K12">
        <f>Analysis!AO18</f>
        <v>3.4829721306106634</v>
      </c>
    </row>
    <row r="13" spans="3:11" x14ac:dyDescent="0.35">
      <c r="C13" t="str">
        <f>Analysis!Q45</f>
        <v>MEA</v>
      </c>
      <c r="D13">
        <f>Analysis!AB45</f>
        <v>0</v>
      </c>
      <c r="E13">
        <f>Analysis!AC45</f>
        <v>0</v>
      </c>
      <c r="F13">
        <f>IF(Analysis!AB19=D13,0,Analysis!AB19)</f>
        <v>0</v>
      </c>
      <c r="G13">
        <f>IF(Analysis!$AB19=$D13,0,Analysis!AC19)</f>
        <v>0</v>
      </c>
      <c r="H13">
        <f>Analysis!AN45</f>
        <v>-1.8659975112244152</v>
      </c>
      <c r="I13">
        <f>Analysis!AO45</f>
        <v>1.5693200143785559</v>
      </c>
      <c r="J13">
        <f>Analysis!AN19</f>
        <v>-1.196463080663031</v>
      </c>
      <c r="K13">
        <f>Analysis!AO19</f>
        <v>1.1566168491684266</v>
      </c>
    </row>
    <row r="14" spans="3:11" x14ac:dyDescent="0.35">
      <c r="C14" t="str">
        <f>Analysis!Q46</f>
        <v>OAS</v>
      </c>
      <c r="D14">
        <f>Analysis!AB46</f>
        <v>1.8517799731076925E-4</v>
      </c>
      <c r="E14">
        <f>Analysis!AC46</f>
        <v>4.5359160500186023E-4</v>
      </c>
      <c r="F14">
        <f>IF(Analysis!AB20=D14,0,Analysis!AB20)</f>
        <v>0</v>
      </c>
      <c r="G14">
        <f>IF(Analysis!$AB20=$D14,0,Analysis!AC20)</f>
        <v>0</v>
      </c>
      <c r="H14">
        <f>Analysis!AN46</f>
        <v>-2.5040248023958069</v>
      </c>
      <c r="I14">
        <f>Analysis!AO46</f>
        <v>2.1318049061302449</v>
      </c>
      <c r="J14">
        <f>Analysis!AN20</f>
        <v>-1.601770087209309</v>
      </c>
      <c r="K14">
        <f>Analysis!AO20</f>
        <v>1.5678735259499927</v>
      </c>
    </row>
    <row r="15" spans="3:11" x14ac:dyDescent="0.35">
      <c r="C15" t="str">
        <f>Analysis!Q47</f>
        <v>ANZ</v>
      </c>
      <c r="D15">
        <f>Analysis!AB47</f>
        <v>3.6218990268877462</v>
      </c>
      <c r="E15">
        <f>Analysis!AC47</f>
        <v>2.2517791776309521</v>
      </c>
      <c r="F15">
        <f>IF(Analysis!AB21=D15,0,Analysis!AB21)</f>
        <v>2.887871365037137</v>
      </c>
      <c r="G15">
        <f>IF(Analysis!$AB21=$D15,0,Analysis!AC21)</f>
        <v>1.9684831958192222</v>
      </c>
      <c r="H15">
        <f>Analysis!AN47</f>
        <v>1.1551965719512176</v>
      </c>
      <c r="I15">
        <f>Analysis!AO47</f>
        <v>0.83933839412592803</v>
      </c>
      <c r="J15">
        <f>Analysis!AN21</f>
        <v>0.81364772290702325</v>
      </c>
      <c r="K15">
        <f>Analysis!AO21</f>
        <v>0.67180305386889694</v>
      </c>
    </row>
    <row r="16" spans="3:11" x14ac:dyDescent="0.35">
      <c r="C16" t="str">
        <f>Analysis!Q48</f>
        <v>OAM</v>
      </c>
      <c r="D16">
        <f>Analysis!AB48</f>
        <v>6.5281730382200531E-2</v>
      </c>
      <c r="E16">
        <f>Analysis!AC48</f>
        <v>0.15990692896233716</v>
      </c>
      <c r="F16">
        <f>IF(Analysis!AB22=D16,0,Analysis!AB22)</f>
        <v>0</v>
      </c>
      <c r="G16">
        <f>IF(Analysis!$AB22=$D16,0,Analysis!AC22)</f>
        <v>0</v>
      </c>
      <c r="H16">
        <f>Analysis!AN48</f>
        <v>-0.45051564453652276</v>
      </c>
      <c r="I16">
        <f>Analysis!AO48</f>
        <v>0.3677321850379659</v>
      </c>
      <c r="J16">
        <f>Analysis!AN22</f>
        <v>-0.22996978752485242</v>
      </c>
      <c r="K16">
        <f>Analysis!AO22</f>
        <v>0.3126591635061704</v>
      </c>
    </row>
    <row r="17" spans="3:11" x14ac:dyDescent="0.35">
      <c r="C17" t="str">
        <f>Analysis!Q49</f>
        <v>AFR</v>
      </c>
      <c r="D17">
        <f>Analysis!AB49</f>
        <v>0</v>
      </c>
      <c r="E17">
        <f>Analysis!AC49</f>
        <v>0</v>
      </c>
      <c r="F17">
        <f>IF(Analysis!AB23=D17,0,Analysis!AB23)</f>
        <v>0</v>
      </c>
      <c r="G17">
        <f>IF(Analysis!$AB23=$D17,0,Analysis!AC23)</f>
        <v>0</v>
      </c>
      <c r="H17">
        <f>Analysis!AN49</f>
        <v>-1.2806040986910139</v>
      </c>
      <c r="I17">
        <f>Analysis!AO49</f>
        <v>1.0423343392335773</v>
      </c>
      <c r="J17">
        <f>Analysis!AN23</f>
        <v>-0.82133990031342208</v>
      </c>
      <c r="K17">
        <f>Analysis!AO23</f>
        <v>0.77031992645625624</v>
      </c>
    </row>
    <row r="18" spans="3:11" x14ac:dyDescent="0.35">
      <c r="C18" t="str">
        <f>Analysis!Q50</f>
        <v>REU</v>
      </c>
      <c r="D18">
        <f>Analysis!AB50</f>
        <v>0.11941922773296049</v>
      </c>
      <c r="E18">
        <f>Analysis!AC50</f>
        <v>0.14722294286171433</v>
      </c>
      <c r="F18">
        <f>IF(Analysis!AB24=D18,0,Analysis!AB24)</f>
        <v>0</v>
      </c>
      <c r="G18">
        <f>IF(Analysis!$AB24=$D18,0,Analysis!AC24)</f>
        <v>0</v>
      </c>
      <c r="H18">
        <f>Analysis!AN50</f>
        <v>8.6580556106521309E-2</v>
      </c>
      <c r="I18">
        <f>Analysis!AO50</f>
        <v>0.14018731275036503</v>
      </c>
      <c r="J18">
        <f>Analysis!AN24</f>
        <v>9.8838762855413875E-2</v>
      </c>
      <c r="K18">
        <f>Analysis!AO24</f>
        <v>0.11875736972097764</v>
      </c>
    </row>
    <row r="30" spans="3:11" x14ac:dyDescent="0.35">
      <c r="C30" t="s">
        <v>51</v>
      </c>
    </row>
    <row r="31" spans="3:11" x14ac:dyDescent="0.35">
      <c r="C31" t="s">
        <v>90</v>
      </c>
      <c r="D31" t="s">
        <v>91</v>
      </c>
      <c r="E31" t="s">
        <v>92</v>
      </c>
      <c r="F31" t="s">
        <v>93</v>
      </c>
      <c r="G31" t="s">
        <v>92</v>
      </c>
      <c r="H31" t="s">
        <v>37</v>
      </c>
      <c r="I31" t="s">
        <v>92</v>
      </c>
      <c r="J31" t="s">
        <v>94</v>
      </c>
      <c r="K31" t="s">
        <v>95</v>
      </c>
    </row>
    <row r="32" spans="3:11" x14ac:dyDescent="0.35">
      <c r="C32" t="str">
        <f>Analysis!Q35</f>
        <v>USA</v>
      </c>
      <c r="D32">
        <f>Analysis!AD35</f>
        <v>35.812384436024161</v>
      </c>
      <c r="E32">
        <f>Analysis!AE35</f>
        <v>23.020914076401109</v>
      </c>
      <c r="F32">
        <f>IF(Analysis!$AD9=$D32,0,Analysis!AD9)</f>
        <v>26.723593700948765</v>
      </c>
      <c r="G32">
        <f>IF(Analysis!$AD9=$D32,0,Analysis!AE9)</f>
        <v>19.110858420072361</v>
      </c>
      <c r="H32">
        <f>Analysis!AP35</f>
        <v>19.07340388334126</v>
      </c>
      <c r="I32">
        <f>Analysis!AQ35</f>
        <v>12.841295627312778</v>
      </c>
      <c r="J32">
        <f>Analysis!AP9</f>
        <v>14.032314392554625</v>
      </c>
      <c r="K32">
        <f>Analysis!AQ9</f>
        <v>10.482750395882078</v>
      </c>
    </row>
    <row r="33" spans="3:11" x14ac:dyDescent="0.35">
      <c r="C33" t="str">
        <f>Analysis!Q36</f>
        <v>CAN</v>
      </c>
      <c r="D33">
        <f>Analysis!AD36</f>
        <v>15.224007212336124</v>
      </c>
      <c r="E33">
        <f>Analysis!AE36</f>
        <v>7.0052385115268532</v>
      </c>
      <c r="F33">
        <f>IF(Analysis!$AD10=$D33,0,Analysis!AD10)</f>
        <v>0</v>
      </c>
      <c r="G33">
        <f>IF(Analysis!$AD10=$D33,0,Analysis!AE10)</f>
        <v>0</v>
      </c>
      <c r="H33">
        <f>Analysis!AP36</f>
        <v>3.4770632417092657</v>
      </c>
      <c r="I33">
        <f>Analysis!AQ36</f>
        <v>2.1101576164978635</v>
      </c>
      <c r="J33">
        <f>Analysis!AP10</f>
        <v>2.8665248278657836</v>
      </c>
      <c r="K33">
        <f>Analysis!AQ10</f>
        <v>1.8892451709203579</v>
      </c>
    </row>
    <row r="34" spans="3:11" x14ac:dyDescent="0.35">
      <c r="C34" t="str">
        <f>Analysis!Q37</f>
        <v>JPN</v>
      </c>
      <c r="D34">
        <f>Analysis!AD37</f>
        <v>30.055903557093021</v>
      </c>
      <c r="E34">
        <f>Analysis!AE37</f>
        <v>17.699128157723457</v>
      </c>
      <c r="F34">
        <f>IF(Analysis!$AD11=$D34,0,Analysis!AD11)</f>
        <v>7.0576991632221935</v>
      </c>
      <c r="G34">
        <f>IF(Analysis!$AD11=$D34,0,Analysis!AE11)</f>
        <v>7.7396425729780489</v>
      </c>
      <c r="H34">
        <f>Analysis!AP37</f>
        <v>7.1217338615613484</v>
      </c>
      <c r="I34">
        <f>Analysis!AQ37</f>
        <v>4.4376828060074525</v>
      </c>
      <c r="J34">
        <f>Analysis!AP11</f>
        <v>3.0105042440189664</v>
      </c>
      <c r="K34">
        <f>Analysis!AQ11</f>
        <v>2.5827537110874772</v>
      </c>
    </row>
    <row r="35" spans="3:11" x14ac:dyDescent="0.35">
      <c r="C35" t="str">
        <f>Analysis!Q38</f>
        <v>KOR</v>
      </c>
      <c r="D35">
        <f>Analysis!AD38</f>
        <v>8.013564240410938</v>
      </c>
      <c r="E35">
        <f>Analysis!AE38</f>
        <v>8.414464729881594</v>
      </c>
      <c r="F35">
        <f>IF(Analysis!$AD12=$D35,0,Analysis!AD12)</f>
        <v>6.8229901888123825</v>
      </c>
      <c r="G35">
        <f>IF(Analysis!$AD12=$D35,0,Analysis!AE12)</f>
        <v>7.7758705738013498</v>
      </c>
      <c r="H35">
        <f>Analysis!AP38</f>
        <v>3.3825708546321791</v>
      </c>
      <c r="I35">
        <f>Analysis!AQ38</f>
        <v>2.6017494965937731</v>
      </c>
      <c r="J35">
        <f>Analysis!AP12</f>
        <v>2.6284516224951786</v>
      </c>
      <c r="K35">
        <f>Analysis!AQ12</f>
        <v>2.1848365664108274</v>
      </c>
    </row>
    <row r="36" spans="3:11" x14ac:dyDescent="0.35">
      <c r="C36" t="str">
        <f>Analysis!Q39</f>
        <v>RUS</v>
      </c>
      <c r="D36">
        <f>Analysis!AD39</f>
        <v>5.9981480050157264E-2</v>
      </c>
      <c r="E36">
        <f>Analysis!AE39</f>
        <v>0.11505471080031769</v>
      </c>
      <c r="F36">
        <f>IF(Analysis!$AD13=$D36,0,Analysis!AD13)</f>
        <v>0</v>
      </c>
      <c r="G36">
        <f>IF(Analysis!$AD13=$D36,0,Analysis!AE13)</f>
        <v>0</v>
      </c>
      <c r="H36">
        <f>Analysis!AP39</f>
        <v>-2.2475863013777739</v>
      </c>
      <c r="I36">
        <f>Analysis!AQ39</f>
        <v>1.5742609681252588</v>
      </c>
      <c r="J36">
        <f>Analysis!AP13</f>
        <v>-1.5117709250833651</v>
      </c>
      <c r="K36">
        <f>Analysis!AQ13</f>
        <v>1.2469746607341374</v>
      </c>
    </row>
    <row r="37" spans="3:11" x14ac:dyDescent="0.35">
      <c r="C37" t="str">
        <f>Analysis!Q40</f>
        <v>CHN</v>
      </c>
      <c r="D37">
        <f>Analysis!AD40</f>
        <v>5.3828821021158477</v>
      </c>
      <c r="E37">
        <f>Analysis!AE40</f>
        <v>5.3282642458292973</v>
      </c>
      <c r="F37">
        <f>IF(Analysis!$AD14=$D37,0,Analysis!AD14)</f>
        <v>0</v>
      </c>
      <c r="G37">
        <f>IF(Analysis!$AD14=$D37,0,Analysis!AE14)</f>
        <v>0</v>
      </c>
      <c r="H37">
        <f>Analysis!AP40</f>
        <v>-1.2366760986781056</v>
      </c>
      <c r="I37">
        <f>Analysis!AQ40</f>
        <v>7.5719229836321844</v>
      </c>
      <c r="J37">
        <f>Analysis!AP14</f>
        <v>2.0671975638561753</v>
      </c>
      <c r="K37">
        <f>Analysis!AQ14</f>
        <v>6.8036773246593354</v>
      </c>
    </row>
    <row r="38" spans="3:11" x14ac:dyDescent="0.35">
      <c r="C38" t="str">
        <f>Analysis!Q41</f>
        <v>GBR</v>
      </c>
      <c r="D38">
        <f>Analysis!AD41</f>
        <v>6.8301918621308078</v>
      </c>
      <c r="E38">
        <f>Analysis!AE41</f>
        <v>4.0064527621058703</v>
      </c>
      <c r="F38">
        <f>IF(Analysis!$AD15=$D38,0,Analysis!AD15)</f>
        <v>0</v>
      </c>
      <c r="G38">
        <f>IF(Analysis!$AD15=$D38,0,Analysis!AE15)</f>
        <v>0</v>
      </c>
      <c r="H38">
        <f>Analysis!AP41</f>
        <v>1.9261930384547397</v>
      </c>
      <c r="I38">
        <f>Analysis!AQ41</f>
        <v>1.2531573473713806</v>
      </c>
      <c r="J38">
        <f>Analysis!AP15</f>
        <v>1.5989996148811783</v>
      </c>
      <c r="K38">
        <f>Analysis!AQ15</f>
        <v>1.1155393165637413</v>
      </c>
    </row>
    <row r="39" spans="3:11" x14ac:dyDescent="0.35">
      <c r="C39" t="str">
        <f>Analysis!Q42</f>
        <v>IND</v>
      </c>
      <c r="D39">
        <f>Analysis!AD42</f>
        <v>0.11221196227495682</v>
      </c>
      <c r="E39">
        <f>Analysis!AE42</f>
        <v>0.27486205061007962</v>
      </c>
      <c r="F39">
        <f>IF(Analysis!$AD16=$D39,0,Analysis!AD16)</f>
        <v>0</v>
      </c>
      <c r="G39">
        <f>IF(Analysis!$AD16=$D39,0,Analysis!AE16)</f>
        <v>0</v>
      </c>
      <c r="H39">
        <f>Analysis!AP42</f>
        <v>-8.5662497749987683</v>
      </c>
      <c r="I39">
        <f>Analysis!AQ42</f>
        <v>6.8157693640379327</v>
      </c>
      <c r="J39">
        <f>Analysis!AP16</f>
        <v>-6.0522146743499627</v>
      </c>
      <c r="K39">
        <f>Analysis!AQ16</f>
        <v>5.5189285114384656</v>
      </c>
    </row>
    <row r="40" spans="3:11" x14ac:dyDescent="0.35">
      <c r="C40" t="str">
        <f>Analysis!Q43</f>
        <v>BRA</v>
      </c>
      <c r="D40">
        <f>Analysis!AD43</f>
        <v>25.471020428278731</v>
      </c>
      <c r="E40">
        <f>Analysis!AE43</f>
        <v>12.829625309471956</v>
      </c>
      <c r="F40">
        <f>IF(Analysis!$AD17=$D40,0,Analysis!AD17)</f>
        <v>3.2478952624986257</v>
      </c>
      <c r="G40">
        <f>IF(Analysis!$AD17=$D40,0,Analysis!AE17)</f>
        <v>3.2531771143104544</v>
      </c>
      <c r="H40">
        <f>Analysis!AP43</f>
        <v>3.7274748339045587</v>
      </c>
      <c r="I40">
        <f>Analysis!AQ43</f>
        <v>2.4989936089329077</v>
      </c>
      <c r="J40">
        <f>Analysis!AP17</f>
        <v>1.1298716340415975</v>
      </c>
      <c r="K40">
        <f>Analysis!AQ17</f>
        <v>1.4106858446335249</v>
      </c>
    </row>
    <row r="41" spans="3:11" x14ac:dyDescent="0.35">
      <c r="C41" t="str">
        <f>Analysis!Q44</f>
        <v>EU</v>
      </c>
      <c r="D41">
        <f>Analysis!AD44</f>
        <v>40.74179773166059</v>
      </c>
      <c r="E41">
        <f>Analysis!AE44</f>
        <v>24.075733801368905</v>
      </c>
      <c r="F41">
        <f>IF(Analysis!$AD18=$D41,0,Analysis!AD18)</f>
        <v>15.829870100976294</v>
      </c>
      <c r="G41">
        <f>IF(Analysis!$AD18=$D41,0,Analysis!AE18)</f>
        <v>13.228088275083834</v>
      </c>
      <c r="H41">
        <f>Analysis!AP44</f>
        <v>13.635139673658202</v>
      </c>
      <c r="I41">
        <f>Analysis!AQ44</f>
        <v>8.810173509951257</v>
      </c>
      <c r="J41">
        <f>Analysis!AP18</f>
        <v>7.3481361385412356</v>
      </c>
      <c r="K41">
        <f>Analysis!AQ18</f>
        <v>5.8519815194151601</v>
      </c>
    </row>
    <row r="42" spans="3:11" x14ac:dyDescent="0.35">
      <c r="C42" t="str">
        <f>Analysis!Q45</f>
        <v>MEA</v>
      </c>
      <c r="D42">
        <f>Analysis!AD45</f>
        <v>0.74076467886233488</v>
      </c>
      <c r="E42">
        <f>Analysis!AE45</f>
        <v>0.70184397769083606</v>
      </c>
      <c r="F42">
        <f>IF(Analysis!$AD19=$D42,0,Analysis!AD19)</f>
        <v>0</v>
      </c>
      <c r="G42">
        <f>IF(Analysis!$AD19=$D42,0,Analysis!AE19)</f>
        <v>0</v>
      </c>
      <c r="H42">
        <f>Analysis!AP45</f>
        <v>-0.82856751142348994</v>
      </c>
      <c r="I42">
        <f>Analysis!AQ45</f>
        <v>2.3558878190530814</v>
      </c>
      <c r="J42">
        <f>Analysis!AP19</f>
        <v>-0.2152605863680713</v>
      </c>
      <c r="K42">
        <f>Analysis!AQ19</f>
        <v>1.938797538891305</v>
      </c>
    </row>
    <row r="43" spans="3:11" x14ac:dyDescent="0.35">
      <c r="C43" t="str">
        <f>Analysis!Q46</f>
        <v>OAS</v>
      </c>
      <c r="D43">
        <f>Analysis!AD46</f>
        <v>4.2986654127019035</v>
      </c>
      <c r="E43">
        <f>Analysis!AE46</f>
        <v>3.3228281716331467</v>
      </c>
      <c r="F43">
        <f>IF(Analysis!$AD20=$D43,0,Analysis!AD20)</f>
        <v>0</v>
      </c>
      <c r="G43">
        <f>IF(Analysis!$AD20=$D43,0,Analysis!AE20)</f>
        <v>0</v>
      </c>
      <c r="H43">
        <f>Analysis!AP46</f>
        <v>4.0953901127534023</v>
      </c>
      <c r="I43">
        <f>Analysis!AQ46</f>
        <v>3.0114599131275259</v>
      </c>
      <c r="J43">
        <f>Analysis!AP20</f>
        <v>3.9140448627749103</v>
      </c>
      <c r="K43">
        <f>Analysis!AQ20</f>
        <v>2.826053857269855</v>
      </c>
    </row>
    <row r="44" spans="3:11" x14ac:dyDescent="0.35">
      <c r="C44" t="str">
        <f>Analysis!Q47</f>
        <v>ANZ</v>
      </c>
      <c r="D44">
        <f>Analysis!AD47</f>
        <v>3.6218990268877462</v>
      </c>
      <c r="E44">
        <f>Analysis!AE47</f>
        <v>2.2517791776309521</v>
      </c>
      <c r="F44">
        <f>IF(Analysis!$AD21=$D44,0,Analysis!AD21)</f>
        <v>2.887871365037137</v>
      </c>
      <c r="G44">
        <f>IF(Analysis!$AD21=$D44,0,Analysis!AE21)</f>
        <v>1.9684831958192222</v>
      </c>
      <c r="H44">
        <f>Analysis!AP47</f>
        <v>2.0266555603531029</v>
      </c>
      <c r="I44">
        <f>Analysis!AQ47</f>
        <v>1.2892235033279393</v>
      </c>
      <c r="J44">
        <f>Analysis!AP21</f>
        <v>1.5403053351807259</v>
      </c>
      <c r="K44">
        <f>Analysis!AQ21</f>
        <v>1.0793981066752627</v>
      </c>
    </row>
    <row r="45" spans="3:11" x14ac:dyDescent="0.35">
      <c r="C45" t="str">
        <f>Analysis!Q48</f>
        <v>OAM</v>
      </c>
      <c r="D45">
        <f>Analysis!AD48</f>
        <v>0.66735102908090038</v>
      </c>
      <c r="E45">
        <f>Analysis!AE48</f>
        <v>1.2214705030623547</v>
      </c>
      <c r="F45">
        <f>IF(Analysis!$AD22=$D45,0,Analysis!AD22)</f>
        <v>0</v>
      </c>
      <c r="G45">
        <f>IF(Analysis!$AD22=$D45,0,Analysis!AE22)</f>
        <v>0</v>
      </c>
      <c r="H45">
        <f>Analysis!AP48</f>
        <v>1.4480856517887627E-2</v>
      </c>
      <c r="I45">
        <f>Analysis!AQ48</f>
        <v>1.8512021640486678</v>
      </c>
      <c r="J45">
        <f>Analysis!AP22</f>
        <v>0.23416354138838422</v>
      </c>
      <c r="K45">
        <f>Analysis!AQ22</f>
        <v>1.6173675511578522</v>
      </c>
    </row>
    <row r="46" spans="3:11" x14ac:dyDescent="0.35">
      <c r="C46" t="str">
        <f>Analysis!Q49</f>
        <v>AFR</v>
      </c>
      <c r="D46">
        <f>Analysis!AD49</f>
        <v>1.102115279002706</v>
      </c>
      <c r="E46">
        <f>Analysis!AE49</f>
        <v>0.526516178732086</v>
      </c>
      <c r="F46">
        <f>IF(Analysis!$AD23=$D46,0,Analysis!AD23)</f>
        <v>0</v>
      </c>
      <c r="G46">
        <f>IF(Analysis!$AD23=$D46,0,Analysis!AE23)</f>
        <v>0</v>
      </c>
      <c r="H46">
        <f>Analysis!AP49</f>
        <v>0.88994553130962872</v>
      </c>
      <c r="I46">
        <f>Analysis!AQ49</f>
        <v>0.52574028480849344</v>
      </c>
      <c r="J46">
        <f>Analysis!AP23</f>
        <v>1.0083224362577938</v>
      </c>
      <c r="K46">
        <f>Analysis!AQ23</f>
        <v>0.49511871476765085</v>
      </c>
    </row>
    <row r="47" spans="3:11" x14ac:dyDescent="0.35">
      <c r="C47" t="str">
        <f>Analysis!Q50</f>
        <v>REU</v>
      </c>
      <c r="D47">
        <f>Analysis!AD50</f>
        <v>0.18018705359088086</v>
      </c>
      <c r="E47">
        <f>Analysis!AE50</f>
        <v>0.19097632532838515</v>
      </c>
      <c r="F47">
        <f>IF(Analysis!$AD24=$D47,0,Analysis!AD24)</f>
        <v>0</v>
      </c>
      <c r="G47">
        <f>IF(Analysis!$AD24=$D47,0,Analysis!AE24)</f>
        <v>0</v>
      </c>
      <c r="H47">
        <f>Analysis!AP50</f>
        <v>4.0655556410141618E-2</v>
      </c>
      <c r="I47">
        <f>Analysis!AQ50</f>
        <v>0.25120567025985419</v>
      </c>
      <c r="J47">
        <f>Analysis!AP24</f>
        <v>0.11111648524573385</v>
      </c>
      <c r="K47">
        <f>Analysis!AQ24</f>
        <v>0.21281554260557201</v>
      </c>
    </row>
  </sheetData>
  <sheetProtection algorithmName="SHA-512" hashValue="k78puSpF20Sdr6/gnGIPQFUaXQga1aV2twCzoC4AM5gM9CGuzMcP1b5lIvRmV3XSGh95FkzT9SqgTCGguUmxsA==" saltValue="ealpNR8sgEjog6y7Cg9Dag==" spinCount="100000" sheet="1" objects="1" scenarios="1"/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91B81-8F0E-4ED9-976C-F1D85649C3C7}">
  <dimension ref="A1:AA186"/>
  <sheetViews>
    <sheetView topLeftCell="D1" workbookViewId="0">
      <pane ySplit="3" topLeftCell="A4" activePane="bottomLeft" state="frozen"/>
      <selection activeCell="M1" sqref="M1"/>
      <selection pane="bottomLeft" activeCell="AC28" sqref="AC28"/>
    </sheetView>
  </sheetViews>
  <sheetFormatPr baseColWidth="10" defaultColWidth="11.453125" defaultRowHeight="14.5" x14ac:dyDescent="0.35"/>
  <cols>
    <col min="23" max="23" width="3.26953125" style="117" customWidth="1"/>
    <col min="24" max="26" width="11.453125" style="117" hidden="1" customWidth="1"/>
  </cols>
  <sheetData>
    <row r="1" spans="1:27" s="2" customFormat="1" x14ac:dyDescent="0.35">
      <c r="A1" s="2" t="s">
        <v>96</v>
      </c>
      <c r="B1" s="2" t="s">
        <v>97</v>
      </c>
      <c r="C1" s="2" t="s">
        <v>98</v>
      </c>
      <c r="D1" s="2" t="s">
        <v>99</v>
      </c>
      <c r="E1" s="2" t="s">
        <v>100</v>
      </c>
      <c r="F1" s="2" t="s">
        <v>101</v>
      </c>
      <c r="G1" s="2" t="s">
        <v>102</v>
      </c>
      <c r="H1" s="2" t="s">
        <v>103</v>
      </c>
      <c r="I1" s="2" t="s">
        <v>104</v>
      </c>
      <c r="J1" s="2" t="s">
        <v>105</v>
      </c>
      <c r="K1" s="2" t="s">
        <v>106</v>
      </c>
      <c r="Q1" s="2" t="s">
        <v>107</v>
      </c>
      <c r="W1" s="116" t="s">
        <v>108</v>
      </c>
      <c r="X1" s="116"/>
      <c r="Y1" s="116" t="s">
        <v>109</v>
      </c>
      <c r="Z1" s="116"/>
      <c r="AA1" s="2" t="s">
        <v>110</v>
      </c>
    </row>
    <row r="2" spans="1:27" s="2" customFormat="1" x14ac:dyDescent="0.35">
      <c r="W2" s="116"/>
      <c r="X2" s="116"/>
      <c r="Y2" s="116"/>
      <c r="Z2" s="116"/>
    </row>
    <row r="3" spans="1:27" s="2" customFormat="1" x14ac:dyDescent="0.35">
      <c r="H3" s="2">
        <v>2020</v>
      </c>
      <c r="J3" s="2">
        <v>2020</v>
      </c>
      <c r="K3" s="2" t="s">
        <v>111</v>
      </c>
      <c r="L3" s="2" t="s">
        <v>112</v>
      </c>
      <c r="M3" s="2" t="s">
        <v>113</v>
      </c>
      <c r="N3" s="2" t="s">
        <v>114</v>
      </c>
      <c r="O3" s="2" t="s">
        <v>115</v>
      </c>
      <c r="P3" s="2" t="s">
        <v>116</v>
      </c>
      <c r="Q3" s="2" t="s">
        <v>111</v>
      </c>
      <c r="R3" s="2" t="s">
        <v>112</v>
      </c>
      <c r="S3" s="2" t="s">
        <v>113</v>
      </c>
      <c r="T3" s="2" t="s">
        <v>114</v>
      </c>
      <c r="U3" s="2" t="s">
        <v>115</v>
      </c>
      <c r="V3" s="2" t="s">
        <v>116</v>
      </c>
      <c r="W3" s="116" t="s">
        <v>117</v>
      </c>
      <c r="X3" s="116" t="s">
        <v>118</v>
      </c>
      <c r="Y3" s="116" t="s">
        <v>117</v>
      </c>
      <c r="Z3" s="116" t="s">
        <v>118</v>
      </c>
      <c r="AA3" s="2" t="s">
        <v>119</v>
      </c>
    </row>
    <row r="4" spans="1:27" x14ac:dyDescent="0.35">
      <c r="A4" t="s">
        <v>120</v>
      </c>
      <c r="B4" t="s">
        <v>121</v>
      </c>
      <c r="C4" t="s">
        <v>122</v>
      </c>
      <c r="D4" t="s">
        <v>120</v>
      </c>
      <c r="E4" t="s">
        <v>123</v>
      </c>
      <c r="F4" t="s">
        <v>124</v>
      </c>
      <c r="G4">
        <v>2.9863984230625112E-3</v>
      </c>
      <c r="H4">
        <v>2990.2329064362998</v>
      </c>
      <c r="I4">
        <v>10956.213369182602</v>
      </c>
      <c r="J4">
        <v>14687.673892881985</v>
      </c>
      <c r="K4">
        <v>1.5578423880644019</v>
      </c>
      <c r="L4">
        <v>2.0489306940081149</v>
      </c>
      <c r="M4">
        <v>1.9187833095795355</v>
      </c>
      <c r="N4">
        <v>1.5661000541957077</v>
      </c>
      <c r="O4">
        <v>1.9187253721058406</v>
      </c>
      <c r="P4">
        <v>2.162413361753833</v>
      </c>
      <c r="Q4">
        <v>1.1970479120810882</v>
      </c>
      <c r="R4">
        <v>1.154133732123878</v>
      </c>
      <c r="S4">
        <v>1.2154822023485663</v>
      </c>
      <c r="T4">
        <v>1.2953811605285075</v>
      </c>
      <c r="U4">
        <v>1.2357210310006459</v>
      </c>
      <c r="V4">
        <v>1.3448954049704989</v>
      </c>
      <c r="W4" s="117">
        <v>1.1264702445918657</v>
      </c>
      <c r="X4" s="117">
        <v>1.0566514331964798</v>
      </c>
      <c r="Y4" s="117">
        <v>12341.848353783795</v>
      </c>
      <c r="Z4" s="117">
        <v>11576.898558953229</v>
      </c>
      <c r="AA4">
        <v>1</v>
      </c>
    </row>
    <row r="5" spans="1:27" x14ac:dyDescent="0.35">
      <c r="A5" t="s">
        <v>125</v>
      </c>
      <c r="B5" t="s">
        <v>126</v>
      </c>
      <c r="C5" t="s">
        <v>127</v>
      </c>
      <c r="D5" t="s">
        <v>125</v>
      </c>
      <c r="E5" t="s">
        <v>128</v>
      </c>
      <c r="F5" t="s">
        <v>129</v>
      </c>
      <c r="G5">
        <v>5.953305611064651E-3</v>
      </c>
      <c r="H5">
        <v>1287.0335996726301</v>
      </c>
      <c r="I5">
        <v>4715.6911092005166</v>
      </c>
      <c r="J5">
        <v>20893.743833</v>
      </c>
      <c r="K5">
        <v>1.2065015262820036</v>
      </c>
      <c r="L5">
        <v>1.2959589889889573</v>
      </c>
      <c r="M5">
        <v>1.2657121856098954</v>
      </c>
      <c r="N5">
        <v>1.1823970624118154</v>
      </c>
      <c r="O5">
        <v>1.2835096943553725</v>
      </c>
      <c r="P5">
        <v>1.3539260844451486</v>
      </c>
      <c r="Q5">
        <v>1.1893129134488205</v>
      </c>
      <c r="R5">
        <v>0.90947003354549738</v>
      </c>
      <c r="S5">
        <v>1.0160301239037073</v>
      </c>
      <c r="T5">
        <v>1.0683930558484569</v>
      </c>
      <c r="U5">
        <v>1.0727560349127803</v>
      </c>
      <c r="V5">
        <v>1.2137481184144505</v>
      </c>
      <c r="W5" s="117">
        <v>0.70611589566275779</v>
      </c>
      <c r="X5" s="117">
        <v>0.68479975300378959</v>
      </c>
      <c r="Y5" s="117">
        <v>3329.8244512420265</v>
      </c>
      <c r="Z5" s="117">
        <v>3229.3041068226803</v>
      </c>
      <c r="AA5">
        <v>1</v>
      </c>
    </row>
    <row r="6" spans="1:27" x14ac:dyDescent="0.35">
      <c r="A6" t="s">
        <v>130</v>
      </c>
      <c r="B6" t="s">
        <v>131</v>
      </c>
      <c r="C6" t="s">
        <v>130</v>
      </c>
      <c r="D6" t="s">
        <v>130</v>
      </c>
      <c r="E6" t="s">
        <v>128</v>
      </c>
      <c r="F6" t="s">
        <v>132</v>
      </c>
      <c r="G6">
        <v>1.2389401307264044E-2</v>
      </c>
      <c r="H6">
        <v>718.11352411118924</v>
      </c>
      <c r="I6">
        <v>2631.1679523433972</v>
      </c>
      <c r="J6">
        <v>15258.169414533266</v>
      </c>
      <c r="K6">
        <v>1.1543200760601662</v>
      </c>
      <c r="L6">
        <v>1.2067690036967176</v>
      </c>
      <c r="M6">
        <v>1.1866174178280724</v>
      </c>
      <c r="N6">
        <v>1.1300269287366023</v>
      </c>
      <c r="O6">
        <v>1.1919270064378424</v>
      </c>
      <c r="P6">
        <v>1.2529274166703845</v>
      </c>
      <c r="Q6">
        <v>1.2264947460114872</v>
      </c>
      <c r="R6">
        <v>0.90947003354549738</v>
      </c>
      <c r="S6">
        <v>1.0160301239037073</v>
      </c>
      <c r="T6">
        <v>1.0683930558484569</v>
      </c>
      <c r="U6">
        <v>1.0727560349127803</v>
      </c>
      <c r="V6">
        <v>1.2137481184144505</v>
      </c>
      <c r="W6" s="117">
        <v>0.66223689747419612</v>
      </c>
      <c r="X6" s="117">
        <v>0.66223689747419612</v>
      </c>
      <c r="Y6" s="117">
        <v>1742.4565014934249</v>
      </c>
      <c r="Z6" s="117">
        <v>1742.4565014934249</v>
      </c>
      <c r="AA6">
        <v>1</v>
      </c>
    </row>
    <row r="7" spans="1:27" x14ac:dyDescent="0.35">
      <c r="A7" t="s">
        <v>133</v>
      </c>
      <c r="B7" t="s">
        <v>134</v>
      </c>
      <c r="C7" t="s">
        <v>135</v>
      </c>
      <c r="D7" t="s">
        <v>133</v>
      </c>
      <c r="E7" t="s">
        <v>123</v>
      </c>
      <c r="F7" t="s">
        <v>124</v>
      </c>
      <c r="G7">
        <v>1.2662713963945825E-2</v>
      </c>
      <c r="H7">
        <v>667.30675284223901</v>
      </c>
      <c r="I7">
        <v>2445.0119424139639</v>
      </c>
      <c r="J7">
        <v>2667.6879517965649</v>
      </c>
      <c r="K7">
        <v>1.6630240731533636</v>
      </c>
      <c r="L7">
        <v>1.9071796568781729</v>
      </c>
      <c r="M7">
        <v>1.8280399678759807</v>
      </c>
      <c r="N7">
        <v>1.6196120949624275</v>
      </c>
      <c r="O7">
        <v>1.7903278371845399</v>
      </c>
      <c r="P7">
        <v>1.9852971043624874</v>
      </c>
      <c r="Q7">
        <v>1.5927315472174508</v>
      </c>
      <c r="R7">
        <v>1.154133732123878</v>
      </c>
      <c r="S7">
        <v>1.2154822023485663</v>
      </c>
      <c r="T7">
        <v>1.2953811605285075</v>
      </c>
      <c r="U7">
        <v>1.2357210310006459</v>
      </c>
      <c r="V7">
        <v>1.3448954049704989</v>
      </c>
      <c r="W7" s="117">
        <v>1.6277430684313015</v>
      </c>
      <c r="X7" s="117">
        <v>1.2351388397787808</v>
      </c>
      <c r="Y7" s="117">
        <v>3979.8512414960819</v>
      </c>
      <c r="Z7" s="117">
        <v>3019.9292137984467</v>
      </c>
      <c r="AA7">
        <v>1</v>
      </c>
    </row>
    <row r="8" spans="1:27" x14ac:dyDescent="0.35">
      <c r="A8" t="s">
        <v>136</v>
      </c>
      <c r="B8" t="s">
        <v>137</v>
      </c>
      <c r="C8" t="s">
        <v>132</v>
      </c>
      <c r="D8" t="s">
        <v>136</v>
      </c>
      <c r="E8" t="s">
        <v>138</v>
      </c>
      <c r="F8" t="s">
        <v>132</v>
      </c>
      <c r="G8">
        <v>8.1395048509893472E-2</v>
      </c>
      <c r="H8">
        <v>443.29187530584198</v>
      </c>
      <c r="I8">
        <v>1624.2214311206051</v>
      </c>
      <c r="J8">
        <v>1488.3218754897377</v>
      </c>
      <c r="K8">
        <v>1.1171967272754229</v>
      </c>
      <c r="L8">
        <v>1.4548504041547623</v>
      </c>
      <c r="M8">
        <v>1.4065686993567248</v>
      </c>
      <c r="N8">
        <v>1.3021366919447381</v>
      </c>
      <c r="O8">
        <v>1.4080920055580388</v>
      </c>
      <c r="P8">
        <v>1.5342057301372536</v>
      </c>
      <c r="Q8">
        <v>1.201997037475719</v>
      </c>
      <c r="R8">
        <v>1.0901307546951258</v>
      </c>
      <c r="S8">
        <v>1.0599826962241754</v>
      </c>
      <c r="T8">
        <v>1.1372607799723293</v>
      </c>
      <c r="U8">
        <v>1.0615175586333341</v>
      </c>
      <c r="V8">
        <v>1.1250789639924195</v>
      </c>
      <c r="W8" s="117">
        <v>1.0388489184495355</v>
      </c>
      <c r="X8" s="117">
        <v>1.0388489184495355</v>
      </c>
      <c r="Y8" s="117">
        <v>1687.3206770421973</v>
      </c>
      <c r="Z8" s="117">
        <v>1687.3206770421973</v>
      </c>
      <c r="AA8">
        <v>1</v>
      </c>
    </row>
    <row r="9" spans="1:27" x14ac:dyDescent="0.35">
      <c r="A9" t="s">
        <v>139</v>
      </c>
      <c r="B9" t="s">
        <v>140</v>
      </c>
      <c r="C9" t="s">
        <v>122</v>
      </c>
      <c r="D9" t="s">
        <v>139</v>
      </c>
      <c r="E9" t="s">
        <v>128</v>
      </c>
      <c r="F9" t="s">
        <v>124</v>
      </c>
      <c r="G9">
        <v>3.9810327665964554E-2</v>
      </c>
      <c r="H9">
        <v>284.44978592059601</v>
      </c>
      <c r="I9">
        <v>1042.2240156130638</v>
      </c>
      <c r="J9">
        <v>5040.1077540841061</v>
      </c>
      <c r="K9">
        <v>1.0840055778407973</v>
      </c>
      <c r="L9">
        <v>1.1349615360611738</v>
      </c>
      <c r="M9">
        <v>1.1053817683783378</v>
      </c>
      <c r="N9">
        <v>1.0472951333306078</v>
      </c>
      <c r="O9">
        <v>1.1243943381743213</v>
      </c>
      <c r="P9">
        <v>1.1748329442559264</v>
      </c>
      <c r="Q9">
        <v>1.3561674241042658</v>
      </c>
      <c r="R9">
        <v>0.90947003354549738</v>
      </c>
      <c r="S9">
        <v>1.0160301239037073</v>
      </c>
      <c r="T9">
        <v>1.0683930558484569</v>
      </c>
      <c r="U9">
        <v>1.0727560349127803</v>
      </c>
      <c r="V9">
        <v>1.2137481184144505</v>
      </c>
      <c r="W9" s="117">
        <v>0.62331429392812865</v>
      </c>
      <c r="X9" s="117">
        <v>0.58700431620661819</v>
      </c>
      <c r="Y9" s="117">
        <v>649.63312640679578</v>
      </c>
      <c r="Z9" s="117">
        <v>611.78999561906232</v>
      </c>
      <c r="AA9">
        <v>1</v>
      </c>
    </row>
    <row r="10" spans="1:27" x14ac:dyDescent="0.35">
      <c r="A10" t="s">
        <v>141</v>
      </c>
      <c r="B10" t="s">
        <v>142</v>
      </c>
      <c r="C10" t="s">
        <v>143</v>
      </c>
      <c r="D10" t="s">
        <v>144</v>
      </c>
      <c r="E10" t="s">
        <v>145</v>
      </c>
      <c r="F10" t="s">
        <v>143</v>
      </c>
      <c r="G10">
        <v>0.14646843425587033</v>
      </c>
      <c r="H10">
        <v>199.229778060429</v>
      </c>
      <c r="I10">
        <v>729.97790681341189</v>
      </c>
      <c r="J10">
        <v>231.54757124046938</v>
      </c>
      <c r="K10">
        <v>1.1944928429090393</v>
      </c>
      <c r="L10">
        <v>1.2870572221337064</v>
      </c>
      <c r="M10">
        <v>1.2898253066055629</v>
      </c>
      <c r="N10">
        <v>1.3304888529001009</v>
      </c>
      <c r="O10">
        <v>1.2763629039972568</v>
      </c>
      <c r="P10">
        <v>1.3478994621342211</v>
      </c>
      <c r="Q10">
        <v>1.1620756490513198</v>
      </c>
      <c r="R10">
        <v>1.2095558465202498</v>
      </c>
      <c r="S10">
        <v>1.2971210859341129</v>
      </c>
      <c r="T10">
        <v>1.3393743599143302</v>
      </c>
      <c r="U10">
        <v>1.3313443191676493</v>
      </c>
      <c r="V10">
        <v>1.3335057494131222</v>
      </c>
      <c r="W10" s="117">
        <v>1.1684353489106247</v>
      </c>
      <c r="X10" s="117">
        <v>1.0807943012330399</v>
      </c>
      <c r="Y10" s="117">
        <v>852.93199024457647</v>
      </c>
      <c r="Z10" s="117">
        <v>788.95596170995861</v>
      </c>
      <c r="AA10">
        <v>1</v>
      </c>
    </row>
    <row r="11" spans="1:27" x14ac:dyDescent="0.35">
      <c r="A11" t="s">
        <v>146</v>
      </c>
      <c r="B11" t="s">
        <v>147</v>
      </c>
      <c r="C11" t="s">
        <v>148</v>
      </c>
      <c r="D11" t="s">
        <v>149</v>
      </c>
      <c r="E11" t="s">
        <v>123</v>
      </c>
      <c r="F11" t="s">
        <v>150</v>
      </c>
      <c r="G11" t="s">
        <v>149</v>
      </c>
      <c r="H11" t="s">
        <v>149</v>
      </c>
      <c r="I11" t="s">
        <v>149</v>
      </c>
      <c r="J11">
        <v>0.70899999999999996</v>
      </c>
      <c r="K11" t="s">
        <v>149</v>
      </c>
      <c r="L11">
        <v>1.2385981682627154</v>
      </c>
      <c r="M11">
        <v>1.2157310073334064</v>
      </c>
      <c r="N11">
        <v>1.1641185092236064</v>
      </c>
      <c r="O11">
        <v>1.2237446676811887</v>
      </c>
      <c r="P11">
        <v>1.277363372111487</v>
      </c>
      <c r="Q11" t="s">
        <v>149</v>
      </c>
      <c r="R11">
        <v>1.154133732123878</v>
      </c>
      <c r="S11">
        <v>1.2154822023485663</v>
      </c>
      <c r="T11">
        <v>1.2953811605285075</v>
      </c>
      <c r="U11">
        <v>1.2357210310006459</v>
      </c>
      <c r="V11">
        <v>1.3448954049704989</v>
      </c>
      <c r="W11" s="117" t="s">
        <v>149</v>
      </c>
      <c r="X11" s="117" t="s">
        <v>149</v>
      </c>
      <c r="Y11" s="117" t="s">
        <v>149</v>
      </c>
      <c r="Z11" s="117" t="s">
        <v>149</v>
      </c>
      <c r="AA11">
        <v>0</v>
      </c>
    </row>
    <row r="12" spans="1:27" x14ac:dyDescent="0.35">
      <c r="A12" t="s">
        <v>151</v>
      </c>
      <c r="B12" t="s">
        <v>152</v>
      </c>
      <c r="C12" t="s">
        <v>143</v>
      </c>
      <c r="D12" t="s">
        <v>144</v>
      </c>
      <c r="E12" t="s">
        <v>145</v>
      </c>
      <c r="F12" t="s">
        <v>143</v>
      </c>
      <c r="G12">
        <v>0.21451536477245461</v>
      </c>
      <c r="H12">
        <v>180.456593592161</v>
      </c>
      <c r="I12">
        <v>661.19295892167793</v>
      </c>
      <c r="J12">
        <v>703.36784122255472</v>
      </c>
      <c r="K12">
        <v>1.1944928429090393</v>
      </c>
      <c r="L12">
        <v>1.5346388692347559</v>
      </c>
      <c r="M12">
        <v>1.531106363941926</v>
      </c>
      <c r="N12">
        <v>1.465195955468062</v>
      </c>
      <c r="O12">
        <v>1.5950467745372401</v>
      </c>
      <c r="P12">
        <v>1.6178910328267226</v>
      </c>
      <c r="Q12">
        <v>1.1620756490513198</v>
      </c>
      <c r="R12">
        <v>1.2095558465202498</v>
      </c>
      <c r="S12">
        <v>1.2971210859341129</v>
      </c>
      <c r="T12">
        <v>1.3393743599143302</v>
      </c>
      <c r="U12">
        <v>1.3313443191676493</v>
      </c>
      <c r="V12">
        <v>1.3335057494131222</v>
      </c>
      <c r="W12" s="117">
        <v>1.2656114985926106</v>
      </c>
      <c r="X12" s="117">
        <v>0.57894998318427904</v>
      </c>
      <c r="Y12" s="117">
        <v>836.81341159974716</v>
      </c>
      <c r="Z12" s="117">
        <v>382.79765244926915</v>
      </c>
      <c r="AA12">
        <v>1</v>
      </c>
    </row>
    <row r="13" spans="1:27" x14ac:dyDescent="0.35">
      <c r="A13" t="s">
        <v>153</v>
      </c>
      <c r="B13" t="s">
        <v>154</v>
      </c>
      <c r="C13" t="s">
        <v>155</v>
      </c>
      <c r="D13" t="s">
        <v>156</v>
      </c>
      <c r="E13" t="s">
        <v>123</v>
      </c>
      <c r="F13" t="s">
        <v>124</v>
      </c>
      <c r="G13">
        <v>7.1073442165040579E-2</v>
      </c>
      <c r="H13">
        <v>166.426344744359</v>
      </c>
      <c r="I13">
        <v>609.78612714333144</v>
      </c>
      <c r="J13">
        <v>1058.6889354547823</v>
      </c>
      <c r="K13">
        <v>1.4311390552424275</v>
      </c>
      <c r="L13">
        <v>1.9171024739849107</v>
      </c>
      <c r="M13">
        <v>1.8096007634355347</v>
      </c>
      <c r="N13">
        <v>1.6149584749572756</v>
      </c>
      <c r="O13">
        <v>1.7901677805046978</v>
      </c>
      <c r="P13">
        <v>2.0008120498200963</v>
      </c>
      <c r="Q13">
        <v>1.39378218396165</v>
      </c>
      <c r="R13">
        <v>1.154133732123878</v>
      </c>
      <c r="S13">
        <v>1.2154822023485663</v>
      </c>
      <c r="T13">
        <v>1.2953811605285075</v>
      </c>
      <c r="U13">
        <v>1.2357210310006459</v>
      </c>
      <c r="V13">
        <v>1.3448954049704989</v>
      </c>
      <c r="W13" s="117">
        <v>1.0346027573415066</v>
      </c>
      <c r="X13" s="117">
        <v>0.77161892452664493</v>
      </c>
      <c r="Y13" s="117">
        <v>630.88640853108927</v>
      </c>
      <c r="Z13" s="117">
        <v>470.52251561760539</v>
      </c>
      <c r="AA13">
        <v>1</v>
      </c>
    </row>
    <row r="14" spans="1:27" x14ac:dyDescent="0.35">
      <c r="A14" t="s">
        <v>157</v>
      </c>
      <c r="B14" t="s">
        <v>158</v>
      </c>
      <c r="C14" t="s">
        <v>122</v>
      </c>
      <c r="D14" t="s">
        <v>157</v>
      </c>
      <c r="E14" t="s">
        <v>128</v>
      </c>
      <c r="F14" t="s">
        <v>124</v>
      </c>
      <c r="G14">
        <v>5.4078714664034654E-2</v>
      </c>
      <c r="H14">
        <v>163.10978222217801</v>
      </c>
      <c r="I14">
        <v>597.63424206206025</v>
      </c>
      <c r="J14">
        <v>1637.8958027928966</v>
      </c>
      <c r="K14">
        <v>1.3574837009651797</v>
      </c>
      <c r="L14">
        <v>1.414085880774504</v>
      </c>
      <c r="M14">
        <v>1.3874143085954995</v>
      </c>
      <c r="N14">
        <v>1.2685211094221291</v>
      </c>
      <c r="O14">
        <v>1.4018620593009103</v>
      </c>
      <c r="P14">
        <v>1.4576633159732433</v>
      </c>
      <c r="Q14">
        <v>1.6054218992238367</v>
      </c>
      <c r="R14">
        <v>0.90947003354549738</v>
      </c>
      <c r="S14">
        <v>1.0160301239037073</v>
      </c>
      <c r="T14">
        <v>1.0683930558484569</v>
      </c>
      <c r="U14">
        <v>1.0727560349127803</v>
      </c>
      <c r="V14">
        <v>1.2137481184144505</v>
      </c>
      <c r="W14" s="117">
        <v>0.65086388879205448</v>
      </c>
      <c r="X14" s="117">
        <v>0.65086388879205448</v>
      </c>
      <c r="Y14" s="117">
        <v>388.97854686380452</v>
      </c>
      <c r="Z14" s="117">
        <v>388.97854686380452</v>
      </c>
      <c r="AA14">
        <v>1</v>
      </c>
    </row>
    <row r="15" spans="1:27" x14ac:dyDescent="0.35">
      <c r="A15" t="s">
        <v>159</v>
      </c>
      <c r="B15" t="s">
        <v>160</v>
      </c>
      <c r="C15" t="s">
        <v>127</v>
      </c>
      <c r="D15" t="s">
        <v>159</v>
      </c>
      <c r="E15" t="s">
        <v>128</v>
      </c>
      <c r="F15" t="s">
        <v>129</v>
      </c>
      <c r="G15">
        <v>0.12240284074761253</v>
      </c>
      <c r="H15">
        <v>145.97811797064199</v>
      </c>
      <c r="I15">
        <v>534.86382424443229</v>
      </c>
      <c r="J15">
        <v>1645.4234075683632</v>
      </c>
      <c r="K15">
        <v>1.221996946945836</v>
      </c>
      <c r="L15">
        <v>1.2391220415267794</v>
      </c>
      <c r="M15">
        <v>1.2445356347615457</v>
      </c>
      <c r="N15">
        <v>1.175175430934486</v>
      </c>
      <c r="O15">
        <v>1.2391918716841661</v>
      </c>
      <c r="P15">
        <v>1.326252900883599</v>
      </c>
      <c r="Q15">
        <v>1.1885119402079378</v>
      </c>
      <c r="R15">
        <v>0.90947003354549738</v>
      </c>
      <c r="S15">
        <v>1.0160301239037073</v>
      </c>
      <c r="T15">
        <v>1.0683930558484569</v>
      </c>
      <c r="U15">
        <v>1.0727560349127803</v>
      </c>
      <c r="V15">
        <v>1.2137481184144505</v>
      </c>
      <c r="W15" s="117">
        <v>0.61042167142882731</v>
      </c>
      <c r="X15" s="117">
        <v>0.56970077523221718</v>
      </c>
      <c r="Y15" s="117">
        <v>326.49246958210091</v>
      </c>
      <c r="Z15" s="117">
        <v>304.71233531572142</v>
      </c>
      <c r="AA15">
        <v>1</v>
      </c>
    </row>
    <row r="16" spans="1:27" x14ac:dyDescent="0.35">
      <c r="A16" t="s">
        <v>161</v>
      </c>
      <c r="B16" t="s">
        <v>162</v>
      </c>
      <c r="C16" t="s">
        <v>163</v>
      </c>
      <c r="D16" t="s">
        <v>161</v>
      </c>
      <c r="E16" t="s">
        <v>164</v>
      </c>
      <c r="F16" t="s">
        <v>129</v>
      </c>
      <c r="G16">
        <v>0.1505082450206115</v>
      </c>
      <c r="H16">
        <v>120.716703817211</v>
      </c>
      <c r="I16">
        <v>442.3060027862611</v>
      </c>
      <c r="J16">
        <v>1448.5659367395608</v>
      </c>
      <c r="K16">
        <v>1.1803659741701291</v>
      </c>
      <c r="L16">
        <v>1.4251424909653105</v>
      </c>
      <c r="M16">
        <v>1.3853642884230055</v>
      </c>
      <c r="N16">
        <v>1.2886432636576071</v>
      </c>
      <c r="O16">
        <v>1.3701462151588106</v>
      </c>
      <c r="P16">
        <v>1.4678092081060481</v>
      </c>
      <c r="Q16">
        <v>0.91680152185618657</v>
      </c>
      <c r="R16">
        <v>1.1523297796771568</v>
      </c>
      <c r="S16">
        <v>1.261678755528314</v>
      </c>
      <c r="T16">
        <v>1.2456836932865165</v>
      </c>
      <c r="U16">
        <v>1.2512749062312558</v>
      </c>
      <c r="V16">
        <v>1.4406165004533091</v>
      </c>
      <c r="W16" s="117">
        <v>0.89804826144114391</v>
      </c>
      <c r="X16" s="117">
        <v>0.60046520379977852</v>
      </c>
      <c r="Y16" s="117">
        <v>397.21213682718354</v>
      </c>
      <c r="Z16" s="117">
        <v>265.58936410491771</v>
      </c>
      <c r="AA16">
        <v>1</v>
      </c>
    </row>
    <row r="17" spans="1:27" x14ac:dyDescent="0.35">
      <c r="A17" t="s">
        <v>165</v>
      </c>
      <c r="B17" t="s">
        <v>166</v>
      </c>
      <c r="C17" t="s">
        <v>167</v>
      </c>
      <c r="D17" t="s">
        <v>168</v>
      </c>
      <c r="E17" t="s">
        <v>145</v>
      </c>
      <c r="F17" t="s">
        <v>167</v>
      </c>
      <c r="G17">
        <v>9.0745210519853556E-2</v>
      </c>
      <c r="H17">
        <v>118.949743631362</v>
      </c>
      <c r="I17">
        <v>435.83186066531039</v>
      </c>
      <c r="J17">
        <v>335.44210136641738</v>
      </c>
      <c r="K17">
        <v>1.3263572562220902</v>
      </c>
      <c r="L17">
        <v>1.5130388658170604</v>
      </c>
      <c r="M17">
        <v>1.4688388823193628</v>
      </c>
      <c r="N17">
        <v>1.3470756869614104</v>
      </c>
      <c r="O17">
        <v>1.4402600418770772</v>
      </c>
      <c r="P17">
        <v>1.5607448869251273</v>
      </c>
      <c r="Q17">
        <v>1.3070253557120981</v>
      </c>
      <c r="R17">
        <v>1.2095558465202498</v>
      </c>
      <c r="S17">
        <v>1.2971210859341129</v>
      </c>
      <c r="T17">
        <v>1.3393743599143302</v>
      </c>
      <c r="U17">
        <v>1.3313443191676493</v>
      </c>
      <c r="V17">
        <v>1.3335057494131222</v>
      </c>
      <c r="W17" s="117">
        <v>1.3101217016507531</v>
      </c>
      <c r="X17" s="117">
        <v>0.70227555698095923</v>
      </c>
      <c r="Y17" s="117">
        <v>570.99277892845043</v>
      </c>
      <c r="Z17" s="117">
        <v>306.07406269877868</v>
      </c>
      <c r="AA17">
        <v>1</v>
      </c>
    </row>
    <row r="18" spans="1:27" x14ac:dyDescent="0.35">
      <c r="A18" t="s">
        <v>169</v>
      </c>
      <c r="B18" t="s">
        <v>170</v>
      </c>
      <c r="C18" t="s">
        <v>171</v>
      </c>
      <c r="D18" t="s">
        <v>144</v>
      </c>
      <c r="E18" t="s">
        <v>128</v>
      </c>
      <c r="F18" t="s">
        <v>124</v>
      </c>
      <c r="G18">
        <v>0.32586384604840052</v>
      </c>
      <c r="H18">
        <v>112.836540779225</v>
      </c>
      <c r="I18">
        <v>413.43308541508043</v>
      </c>
      <c r="J18">
        <v>719.95482168330955</v>
      </c>
      <c r="K18">
        <v>1.1944928429090393</v>
      </c>
      <c r="L18">
        <v>1.4937215532922161</v>
      </c>
      <c r="M18">
        <v>1.4718149467763058</v>
      </c>
      <c r="N18">
        <v>1.349162437691366</v>
      </c>
      <c r="O18">
        <v>1.4492722128252091</v>
      </c>
      <c r="P18">
        <v>1.5294160618030606</v>
      </c>
      <c r="Q18">
        <v>1.1620756490513198</v>
      </c>
      <c r="R18">
        <v>0.90947003354549738</v>
      </c>
      <c r="S18">
        <v>1.0160301239037073</v>
      </c>
      <c r="T18">
        <v>1.0683930558484569</v>
      </c>
      <c r="U18">
        <v>1.0727560349127803</v>
      </c>
      <c r="V18">
        <v>1.2137481184144505</v>
      </c>
      <c r="W18" s="117">
        <v>1.7234870633260206</v>
      </c>
      <c r="X18" s="117">
        <v>1.7234870633260206</v>
      </c>
      <c r="Y18" s="117">
        <v>712.54657426385279</v>
      </c>
      <c r="Z18" s="117">
        <v>712.54657426385279</v>
      </c>
      <c r="AA18">
        <v>1</v>
      </c>
    </row>
    <row r="19" spans="1:27" x14ac:dyDescent="0.35">
      <c r="A19" t="s">
        <v>172</v>
      </c>
      <c r="B19" t="s">
        <v>173</v>
      </c>
      <c r="C19" t="s">
        <v>174</v>
      </c>
      <c r="D19" t="s">
        <v>174</v>
      </c>
      <c r="E19" t="s">
        <v>128</v>
      </c>
      <c r="F19" t="s">
        <v>150</v>
      </c>
      <c r="G19">
        <v>5.295665407885098E-2</v>
      </c>
      <c r="H19">
        <v>109.14905249728</v>
      </c>
      <c r="I19">
        <v>399.92212835003392</v>
      </c>
      <c r="J19">
        <v>1327.8361710685078</v>
      </c>
      <c r="K19">
        <v>1.3140408296254169</v>
      </c>
      <c r="L19">
        <v>1.3689127732720097</v>
      </c>
      <c r="M19">
        <v>1.3430362658763892</v>
      </c>
      <c r="N19">
        <v>1.2182472109394913</v>
      </c>
      <c r="O19">
        <v>1.3573742830063797</v>
      </c>
      <c r="P19">
        <v>1.4503905628513354</v>
      </c>
      <c r="Q19">
        <v>1.2691639629937483</v>
      </c>
      <c r="R19">
        <v>0.90947003354549738</v>
      </c>
      <c r="S19">
        <v>1.0160301239037073</v>
      </c>
      <c r="T19">
        <v>1.0683930558484569</v>
      </c>
      <c r="U19">
        <v>1.0727560349127803</v>
      </c>
      <c r="V19">
        <v>1.2137481184144505</v>
      </c>
      <c r="W19" s="117">
        <v>0.65234900440418175</v>
      </c>
      <c r="X19" s="117">
        <v>0.65234900440418175</v>
      </c>
      <c r="Y19" s="117">
        <v>260.88880226834601</v>
      </c>
      <c r="Z19" s="117">
        <v>260.88880226834601</v>
      </c>
      <c r="AA19">
        <v>1</v>
      </c>
    </row>
    <row r="20" spans="1:27" x14ac:dyDescent="0.35">
      <c r="A20" t="s">
        <v>175</v>
      </c>
      <c r="B20" t="s">
        <v>176</v>
      </c>
      <c r="C20" t="s">
        <v>177</v>
      </c>
      <c r="D20" t="s">
        <v>178</v>
      </c>
      <c r="E20" t="s">
        <v>164</v>
      </c>
      <c r="F20" t="s">
        <v>129</v>
      </c>
      <c r="G20">
        <v>0.10104665213956322</v>
      </c>
      <c r="H20">
        <v>106.90671613308299</v>
      </c>
      <c r="I20">
        <v>391.7062079116161</v>
      </c>
      <c r="J20">
        <v>1087.1177830733141</v>
      </c>
      <c r="K20">
        <v>1.2214137182566644</v>
      </c>
      <c r="L20">
        <v>1.3895127096540436</v>
      </c>
      <c r="M20">
        <v>1.3757789100144835</v>
      </c>
      <c r="N20">
        <v>1.3240925186599217</v>
      </c>
      <c r="O20">
        <v>1.3577562476789509</v>
      </c>
      <c r="P20">
        <v>1.4138769447685346</v>
      </c>
      <c r="Q20">
        <v>1.1137228775074144</v>
      </c>
      <c r="R20">
        <v>1.1523297796771568</v>
      </c>
      <c r="S20">
        <v>1.261678755528314</v>
      </c>
      <c r="T20">
        <v>1.2456836932865165</v>
      </c>
      <c r="U20">
        <v>1.2512749062312558</v>
      </c>
      <c r="V20">
        <v>1.4406165004533091</v>
      </c>
      <c r="W20" s="117">
        <v>1.0999495480082806</v>
      </c>
      <c r="X20" s="117">
        <v>0.94342727382003466</v>
      </c>
      <c r="Y20" s="117">
        <v>430.85706634441971</v>
      </c>
      <c r="Z20" s="117">
        <v>369.5463198684397</v>
      </c>
      <c r="AA20">
        <v>1</v>
      </c>
    </row>
    <row r="21" spans="1:27" x14ac:dyDescent="0.35">
      <c r="A21" t="s">
        <v>179</v>
      </c>
      <c r="B21" t="s">
        <v>180</v>
      </c>
      <c r="C21" t="s">
        <v>155</v>
      </c>
      <c r="D21" t="s">
        <v>156</v>
      </c>
      <c r="E21" t="s">
        <v>123</v>
      </c>
      <c r="F21" t="s">
        <v>124</v>
      </c>
      <c r="G21">
        <v>0.17375498310551341</v>
      </c>
      <c r="H21">
        <v>89.765210591723402</v>
      </c>
      <c r="I21">
        <v>328.89973160807455</v>
      </c>
      <c r="J21">
        <v>343.24257082735113</v>
      </c>
      <c r="K21">
        <v>1.4311390552424275</v>
      </c>
      <c r="L21">
        <v>1.85678697718037</v>
      </c>
      <c r="M21">
        <v>1.7747896107634937</v>
      </c>
      <c r="N21">
        <v>1.6108976410794889</v>
      </c>
      <c r="O21">
        <v>1.7599630736939897</v>
      </c>
      <c r="P21">
        <v>1.9378019928727448</v>
      </c>
      <c r="Q21">
        <v>1.39378218396165</v>
      </c>
      <c r="R21">
        <v>1.154133732123878</v>
      </c>
      <c r="S21">
        <v>1.2154822023485663</v>
      </c>
      <c r="T21">
        <v>1.2953811605285075</v>
      </c>
      <c r="U21">
        <v>1.2357210310006459</v>
      </c>
      <c r="V21">
        <v>1.3448954049704989</v>
      </c>
      <c r="W21" s="117">
        <v>1.8586372000488189</v>
      </c>
      <c r="X21" s="117">
        <v>1.4793188804766229</v>
      </c>
      <c r="Y21" s="117">
        <v>611.30527625283969</v>
      </c>
      <c r="Z21" s="117">
        <v>486.54758275151858</v>
      </c>
      <c r="AA21">
        <v>1</v>
      </c>
    </row>
    <row r="22" spans="1:27" x14ac:dyDescent="0.35">
      <c r="A22" t="s">
        <v>181</v>
      </c>
      <c r="B22" t="s">
        <v>182</v>
      </c>
      <c r="C22" t="s">
        <v>183</v>
      </c>
      <c r="D22" t="s">
        <v>178</v>
      </c>
      <c r="E22" t="s">
        <v>164</v>
      </c>
      <c r="F22" t="s">
        <v>129</v>
      </c>
      <c r="G22">
        <v>78.431734234639762</v>
      </c>
      <c r="H22">
        <v>0.135754529701301</v>
      </c>
      <c r="I22">
        <v>0.49740459682556687</v>
      </c>
      <c r="J22">
        <v>6.8816620000000004</v>
      </c>
      <c r="K22">
        <v>1.2214137182566644</v>
      </c>
      <c r="L22">
        <v>1.4904316059472853</v>
      </c>
      <c r="M22">
        <v>1.4610847772130751</v>
      </c>
      <c r="N22">
        <v>1.3701392224490256</v>
      </c>
      <c r="O22">
        <v>1.4354696297925016</v>
      </c>
      <c r="P22">
        <v>1.5281407979197132</v>
      </c>
      <c r="Q22">
        <v>1.1137228775074144</v>
      </c>
      <c r="R22">
        <v>1.1523297796771568</v>
      </c>
      <c r="S22">
        <v>1.261678755528314</v>
      </c>
      <c r="T22">
        <v>1.2456836932865165</v>
      </c>
      <c r="U22">
        <v>1.2512749062312558</v>
      </c>
      <c r="V22">
        <v>1.4406165004533091</v>
      </c>
      <c r="W22" s="117" t="s">
        <v>149</v>
      </c>
      <c r="X22" s="117" t="s">
        <v>149</v>
      </c>
      <c r="Y22" s="117" t="s">
        <v>149</v>
      </c>
      <c r="Z22" s="117" t="s">
        <v>149</v>
      </c>
      <c r="AA22">
        <v>0</v>
      </c>
    </row>
    <row r="23" spans="1:27" x14ac:dyDescent="0.35">
      <c r="A23" t="s">
        <v>184</v>
      </c>
      <c r="B23" t="s">
        <v>185</v>
      </c>
      <c r="C23" t="s">
        <v>132</v>
      </c>
      <c r="D23" t="s">
        <v>184</v>
      </c>
      <c r="E23" t="s">
        <v>128</v>
      </c>
      <c r="F23" t="s">
        <v>132</v>
      </c>
      <c r="G23">
        <v>7.2649426010716542E-2</v>
      </c>
      <c r="H23">
        <v>89.045632967835004</v>
      </c>
      <c r="I23">
        <v>326.26319919414749</v>
      </c>
      <c r="J23">
        <v>2756.9002141073197</v>
      </c>
      <c r="K23">
        <v>1.1319269378849495</v>
      </c>
      <c r="L23">
        <v>1.2440087029484874</v>
      </c>
      <c r="M23">
        <v>1.2183320387691865</v>
      </c>
      <c r="N23">
        <v>1.1561879111962881</v>
      </c>
      <c r="O23">
        <v>1.2281598595161767</v>
      </c>
      <c r="P23">
        <v>1.2968761429987921</v>
      </c>
      <c r="Q23">
        <v>1.2256428748258887</v>
      </c>
      <c r="R23">
        <v>0.90947003354549738</v>
      </c>
      <c r="S23">
        <v>1.0160301239037073</v>
      </c>
      <c r="T23">
        <v>1.0683930558484569</v>
      </c>
      <c r="U23">
        <v>1.0727560349127803</v>
      </c>
      <c r="V23">
        <v>1.2137481184144505</v>
      </c>
      <c r="W23" s="117">
        <v>0.60405924079451867</v>
      </c>
      <c r="X23" s="117">
        <v>0.60405924079451867</v>
      </c>
      <c r="Y23" s="117">
        <v>197.08230040440756</v>
      </c>
      <c r="Z23" s="117">
        <v>197.08230040440756</v>
      </c>
      <c r="AA23">
        <v>1</v>
      </c>
    </row>
    <row r="24" spans="1:27" x14ac:dyDescent="0.35">
      <c r="A24" t="s">
        <v>186</v>
      </c>
      <c r="B24" t="s">
        <v>187</v>
      </c>
      <c r="C24" t="s">
        <v>188</v>
      </c>
      <c r="D24" t="s">
        <v>156</v>
      </c>
      <c r="E24" t="s">
        <v>138</v>
      </c>
      <c r="F24" t="s">
        <v>124</v>
      </c>
      <c r="G24">
        <v>0.12972812144069551</v>
      </c>
      <c r="H24">
        <v>75.983786225892402</v>
      </c>
      <c r="I24">
        <v>278.40459273166977</v>
      </c>
      <c r="J24">
        <v>171.08237953298834</v>
      </c>
      <c r="K24">
        <v>1.4311390552424275</v>
      </c>
      <c r="L24">
        <v>1.7400810087931013</v>
      </c>
      <c r="M24">
        <v>1.7003990868804379</v>
      </c>
      <c r="N24">
        <v>1.6024901485445977</v>
      </c>
      <c r="O24">
        <v>1.7217713484942401</v>
      </c>
      <c r="P24">
        <v>1.8235328888328461</v>
      </c>
      <c r="Q24">
        <v>1.39378218396165</v>
      </c>
      <c r="R24">
        <v>1.0901307546951258</v>
      </c>
      <c r="S24">
        <v>1.0599826962241754</v>
      </c>
      <c r="T24">
        <v>1.1372607799723293</v>
      </c>
      <c r="U24">
        <v>1.0615175586333341</v>
      </c>
      <c r="V24">
        <v>1.1250789639924195</v>
      </c>
      <c r="W24" s="117">
        <v>0.86343420122105063</v>
      </c>
      <c r="X24" s="117">
        <v>0.77449322572056689</v>
      </c>
      <c r="Y24" s="117">
        <v>240.3840471415412</v>
      </c>
      <c r="Z24" s="117">
        <v>215.62247108017161</v>
      </c>
      <c r="AA24">
        <v>1</v>
      </c>
    </row>
    <row r="25" spans="1:27" x14ac:dyDescent="0.35">
      <c r="A25" t="s">
        <v>189</v>
      </c>
      <c r="B25" t="s">
        <v>190</v>
      </c>
      <c r="C25" t="s">
        <v>155</v>
      </c>
      <c r="D25" t="s">
        <v>156</v>
      </c>
      <c r="E25" t="s">
        <v>123</v>
      </c>
      <c r="F25" t="s">
        <v>124</v>
      </c>
      <c r="G25">
        <v>0.15297908677175012</v>
      </c>
      <c r="H25">
        <v>75.700989211011404</v>
      </c>
      <c r="I25">
        <v>277.36842446914579</v>
      </c>
      <c r="J25">
        <v>499.6817570309679</v>
      </c>
      <c r="K25">
        <v>1.4311390552424275</v>
      </c>
      <c r="L25">
        <v>1.6245298021461605</v>
      </c>
      <c r="M25">
        <v>1.5649475213979509</v>
      </c>
      <c r="N25">
        <v>1.4265022187397769</v>
      </c>
      <c r="O25">
        <v>1.5369573340282388</v>
      </c>
      <c r="P25">
        <v>1.6965568138875875</v>
      </c>
      <c r="Q25">
        <v>1.39378218396165</v>
      </c>
      <c r="R25">
        <v>1.154133732123878</v>
      </c>
      <c r="S25">
        <v>1.2154822023485663</v>
      </c>
      <c r="T25">
        <v>1.2953811605285075</v>
      </c>
      <c r="U25">
        <v>1.2357210310006459</v>
      </c>
      <c r="V25">
        <v>1.3448954049704989</v>
      </c>
      <c r="W25" s="117">
        <v>0.95114373740481495</v>
      </c>
      <c r="X25" s="117">
        <v>0.83167119161323033</v>
      </c>
      <c r="Y25" s="117">
        <v>263.81723988766845</v>
      </c>
      <c r="Z25" s="117">
        <v>230.67932809413875</v>
      </c>
      <c r="AA25">
        <v>1</v>
      </c>
    </row>
    <row r="26" spans="1:27" x14ac:dyDescent="0.35">
      <c r="A26" t="s">
        <v>191</v>
      </c>
      <c r="B26" t="s">
        <v>192</v>
      </c>
      <c r="C26" t="s">
        <v>155</v>
      </c>
      <c r="D26" t="s">
        <v>156</v>
      </c>
      <c r="E26" t="s">
        <v>123</v>
      </c>
      <c r="F26" t="s">
        <v>124</v>
      </c>
      <c r="G26">
        <v>0.17040190744692213</v>
      </c>
      <c r="H26">
        <v>70.819148087430506</v>
      </c>
      <c r="I26">
        <v>259.48135859234537</v>
      </c>
      <c r="J26">
        <v>337.00602378969904</v>
      </c>
      <c r="K26">
        <v>1.4311390552424275</v>
      </c>
      <c r="L26">
        <v>1.5836579629936087</v>
      </c>
      <c r="M26">
        <v>1.5514052338346025</v>
      </c>
      <c r="N26">
        <v>1.4462616938454582</v>
      </c>
      <c r="O26">
        <v>1.5273690995665312</v>
      </c>
      <c r="P26">
        <v>1.6253993365119814</v>
      </c>
      <c r="Q26">
        <v>1.39378218396165</v>
      </c>
      <c r="R26">
        <v>1.154133732123878</v>
      </c>
      <c r="S26">
        <v>1.2154822023485663</v>
      </c>
      <c r="T26">
        <v>1.2953811605285075</v>
      </c>
      <c r="U26">
        <v>1.2357210310006459</v>
      </c>
      <c r="V26">
        <v>1.3448954049704989</v>
      </c>
      <c r="W26" s="117">
        <v>0.9625592356822682</v>
      </c>
      <c r="X26" s="117">
        <v>0.9625592356822682</v>
      </c>
      <c r="Y26" s="117">
        <v>249.76617820044453</v>
      </c>
      <c r="Z26" s="117">
        <v>249.76617820044453</v>
      </c>
      <c r="AA26">
        <v>1</v>
      </c>
    </row>
    <row r="27" spans="1:27" x14ac:dyDescent="0.35">
      <c r="A27" t="s">
        <v>193</v>
      </c>
      <c r="B27" t="s">
        <v>194</v>
      </c>
      <c r="C27" t="s">
        <v>167</v>
      </c>
      <c r="D27" t="s">
        <v>168</v>
      </c>
      <c r="E27" t="s">
        <v>145</v>
      </c>
      <c r="F27" t="s">
        <v>167</v>
      </c>
      <c r="G27">
        <v>0.18177049627659814</v>
      </c>
      <c r="H27">
        <v>64.361293620843895</v>
      </c>
      <c r="I27">
        <v>235.81977982677205</v>
      </c>
      <c r="J27">
        <v>365.25265127885211</v>
      </c>
      <c r="K27">
        <v>1.3263572562220902</v>
      </c>
      <c r="L27">
        <v>1.6868882389134507</v>
      </c>
      <c r="M27">
        <v>1.6420950952590123</v>
      </c>
      <c r="N27">
        <v>1.6062666055808335</v>
      </c>
      <c r="O27">
        <v>1.6034667123040618</v>
      </c>
      <c r="P27">
        <v>1.7367689942309377</v>
      </c>
      <c r="Q27">
        <v>1.3070253557120981</v>
      </c>
      <c r="R27">
        <v>1.2095558465202498</v>
      </c>
      <c r="S27">
        <v>1.2971210859341129</v>
      </c>
      <c r="T27">
        <v>1.3393743599143302</v>
      </c>
      <c r="U27">
        <v>1.3313443191676493</v>
      </c>
      <c r="V27">
        <v>1.3335057494131222</v>
      </c>
      <c r="W27" s="117">
        <v>2.0110668775665541</v>
      </c>
      <c r="X27" s="117">
        <v>1.7847212077541534</v>
      </c>
      <c r="Y27" s="117">
        <v>474.24934828465871</v>
      </c>
      <c r="Z27" s="117">
        <v>420.87256226475517</v>
      </c>
      <c r="AA27">
        <v>1</v>
      </c>
    </row>
    <row r="28" spans="1:27" x14ac:dyDescent="0.35">
      <c r="A28" t="s">
        <v>195</v>
      </c>
      <c r="B28" t="s">
        <v>196</v>
      </c>
      <c r="C28" t="s">
        <v>188</v>
      </c>
      <c r="D28" t="s">
        <v>156</v>
      </c>
      <c r="E28" t="s">
        <v>123</v>
      </c>
      <c r="F28" t="s">
        <v>124</v>
      </c>
      <c r="G28">
        <v>0.1695543249047281</v>
      </c>
      <c r="H28">
        <v>57.419194311182302</v>
      </c>
      <c r="I28">
        <v>210.38392795617196</v>
      </c>
      <c r="J28">
        <v>300.30633169766844</v>
      </c>
      <c r="K28">
        <v>1.4311390552424275</v>
      </c>
      <c r="L28">
        <v>1.5590906226493308</v>
      </c>
      <c r="M28">
        <v>1.5207489654651676</v>
      </c>
      <c r="N28">
        <v>1.4824189028512682</v>
      </c>
      <c r="O28">
        <v>1.4596647419781903</v>
      </c>
      <c r="P28">
        <v>1.602762287911623</v>
      </c>
      <c r="Q28">
        <v>1.39378218396165</v>
      </c>
      <c r="R28">
        <v>1.154133732123878</v>
      </c>
      <c r="S28">
        <v>1.2154822023485663</v>
      </c>
      <c r="T28">
        <v>1.2953811605285075</v>
      </c>
      <c r="U28">
        <v>1.2357210310006459</v>
      </c>
      <c r="V28">
        <v>1.3448954049704989</v>
      </c>
      <c r="W28" s="117">
        <v>2.3405928107482445</v>
      </c>
      <c r="X28" s="117">
        <v>1.4210774592891802</v>
      </c>
      <c r="Y28" s="117">
        <v>492.42310927119269</v>
      </c>
      <c r="Z28" s="117">
        <v>298.97185781523478</v>
      </c>
      <c r="AA28">
        <v>1</v>
      </c>
    </row>
    <row r="29" spans="1:27" x14ac:dyDescent="0.35">
      <c r="A29" t="s">
        <v>197</v>
      </c>
      <c r="B29" t="s">
        <v>198</v>
      </c>
      <c r="C29" t="s">
        <v>132</v>
      </c>
      <c r="D29" t="s">
        <v>199</v>
      </c>
      <c r="E29" t="s">
        <v>138</v>
      </c>
      <c r="F29" t="s">
        <v>132</v>
      </c>
      <c r="G29">
        <v>0.40959036300600199</v>
      </c>
      <c r="H29">
        <v>56.479573953814302</v>
      </c>
      <c r="I29">
        <v>206.94115896677562</v>
      </c>
      <c r="J29">
        <v>156.61786144857649</v>
      </c>
      <c r="K29">
        <v>1.1764228653088502</v>
      </c>
      <c r="L29">
        <v>1.5000220183242754</v>
      </c>
      <c r="M29">
        <v>1.4224168230413041</v>
      </c>
      <c r="N29">
        <v>1.3009434478508175</v>
      </c>
      <c r="O29">
        <v>1.4153954913268705</v>
      </c>
      <c r="P29">
        <v>1.5806723452598861</v>
      </c>
      <c r="Q29">
        <v>1.234033450224737</v>
      </c>
      <c r="R29">
        <v>1.0901307546951258</v>
      </c>
      <c r="S29">
        <v>1.0599826962241754</v>
      </c>
      <c r="T29">
        <v>1.1372607799723293</v>
      </c>
      <c r="U29">
        <v>1.0615175586333341</v>
      </c>
      <c r="V29">
        <v>1.1250789639924195</v>
      </c>
      <c r="W29" s="117">
        <v>1.0492594548534875</v>
      </c>
      <c r="X29" s="117">
        <v>1.0492594548534875</v>
      </c>
      <c r="Y29" s="117">
        <v>217.13496764422788</v>
      </c>
      <c r="Z29" s="117">
        <v>217.13496764422788</v>
      </c>
      <c r="AA29">
        <v>1</v>
      </c>
    </row>
    <row r="30" spans="1:27" x14ac:dyDescent="0.35">
      <c r="A30" t="s">
        <v>200</v>
      </c>
      <c r="B30" t="s">
        <v>201</v>
      </c>
      <c r="C30" t="s">
        <v>143</v>
      </c>
      <c r="D30" t="s">
        <v>144</v>
      </c>
      <c r="E30" t="s">
        <v>145</v>
      </c>
      <c r="F30" t="s">
        <v>143</v>
      </c>
      <c r="G30">
        <v>0.70168810889250244</v>
      </c>
      <c r="H30">
        <v>54.3352733998207</v>
      </c>
      <c r="I30">
        <v>199.08444173694306</v>
      </c>
      <c r="J30">
        <v>358.86876517492442</v>
      </c>
      <c r="K30">
        <v>1.1944928429090393</v>
      </c>
      <c r="L30">
        <v>1.5735873996934853</v>
      </c>
      <c r="M30">
        <v>1.5562201237641937</v>
      </c>
      <c r="N30">
        <v>1.3616009103478384</v>
      </c>
      <c r="O30">
        <v>1.5822993764082389</v>
      </c>
      <c r="P30">
        <v>1.7021209442071665</v>
      </c>
      <c r="Q30">
        <v>1.1620756490513198</v>
      </c>
      <c r="R30">
        <v>1.2095558465202498</v>
      </c>
      <c r="S30">
        <v>1.2971210859341129</v>
      </c>
      <c r="T30">
        <v>1.3393743599143302</v>
      </c>
      <c r="U30">
        <v>1.3313443191676493</v>
      </c>
      <c r="V30">
        <v>1.3335057494131222</v>
      </c>
      <c r="W30" s="117">
        <v>0.89266640448548773</v>
      </c>
      <c r="X30" s="117">
        <v>0.89266640448548773</v>
      </c>
      <c r="Y30" s="117">
        <v>177.71599279431754</v>
      </c>
      <c r="Z30" s="117">
        <v>177.71599279431754</v>
      </c>
      <c r="AA30">
        <v>1</v>
      </c>
    </row>
    <row r="31" spans="1:27" x14ac:dyDescent="0.35">
      <c r="A31" t="s">
        <v>202</v>
      </c>
      <c r="B31" t="s">
        <v>203</v>
      </c>
      <c r="C31" t="s">
        <v>171</v>
      </c>
      <c r="D31" t="s">
        <v>144</v>
      </c>
      <c r="E31" t="s">
        <v>145</v>
      </c>
      <c r="F31" t="s">
        <v>124</v>
      </c>
      <c r="G31">
        <v>0.52379601968952705</v>
      </c>
      <c r="H31">
        <v>47.354540393879098</v>
      </c>
      <c r="I31">
        <v>173.50703600317303</v>
      </c>
      <c r="J31">
        <v>184.36979731543624</v>
      </c>
      <c r="K31">
        <v>1.1944928429090393</v>
      </c>
      <c r="L31">
        <v>1.6075990253515033</v>
      </c>
      <c r="M31">
        <v>1.5477783159783653</v>
      </c>
      <c r="N31">
        <v>1.4279094998340851</v>
      </c>
      <c r="O31">
        <v>1.5230249577532384</v>
      </c>
      <c r="P31">
        <v>1.6751514690397891</v>
      </c>
      <c r="Q31">
        <v>1.1620756490513198</v>
      </c>
      <c r="R31">
        <v>1.2095558465202498</v>
      </c>
      <c r="S31">
        <v>1.2971210859341129</v>
      </c>
      <c r="T31">
        <v>1.3393743599143302</v>
      </c>
      <c r="U31">
        <v>1.3313443191676493</v>
      </c>
      <c r="V31">
        <v>1.3335057494131222</v>
      </c>
      <c r="W31" s="117">
        <v>1.4974890322265209</v>
      </c>
      <c r="X31" s="117">
        <v>1.4974890322265209</v>
      </c>
      <c r="Y31" s="117">
        <v>259.82488342888371</v>
      </c>
      <c r="Z31" s="117">
        <v>259.82488342888371</v>
      </c>
      <c r="AA31">
        <v>1</v>
      </c>
    </row>
    <row r="32" spans="1:27" x14ac:dyDescent="0.35">
      <c r="A32" t="s">
        <v>204</v>
      </c>
      <c r="B32" t="s">
        <v>205</v>
      </c>
      <c r="C32" t="s">
        <v>206</v>
      </c>
      <c r="D32" t="s">
        <v>168</v>
      </c>
      <c r="E32" t="s">
        <v>145</v>
      </c>
      <c r="F32" t="s">
        <v>167</v>
      </c>
      <c r="G32">
        <v>0.25410453300362873</v>
      </c>
      <c r="H32">
        <v>47.080916107150998</v>
      </c>
      <c r="I32">
        <v>172.50447661660127</v>
      </c>
      <c r="J32">
        <v>145.00918149061974</v>
      </c>
      <c r="K32">
        <v>1.3263572562220902</v>
      </c>
      <c r="L32">
        <v>1.5963240717558658</v>
      </c>
      <c r="M32">
        <v>1.5284720537489731</v>
      </c>
      <c r="N32">
        <v>1.3785984406327738</v>
      </c>
      <c r="O32">
        <v>1.5276666559417871</v>
      </c>
      <c r="P32">
        <v>1.6721470135847669</v>
      </c>
      <c r="Q32">
        <v>1.3070253557120981</v>
      </c>
      <c r="R32">
        <v>1.2095558465202498</v>
      </c>
      <c r="S32">
        <v>1.2971210859341129</v>
      </c>
      <c r="T32">
        <v>1.3393743599143302</v>
      </c>
      <c r="U32">
        <v>1.3313443191676493</v>
      </c>
      <c r="V32">
        <v>1.3335057494131222</v>
      </c>
      <c r="W32" s="117">
        <v>1.2060322238022494</v>
      </c>
      <c r="X32" s="117">
        <v>1.0316468885890282</v>
      </c>
      <c r="Y32" s="117">
        <v>208.04595754976276</v>
      </c>
      <c r="Z32" s="117">
        <v>177.96370656919547</v>
      </c>
      <c r="AA32">
        <v>1</v>
      </c>
    </row>
    <row r="33" spans="1:27" x14ac:dyDescent="0.35">
      <c r="A33" t="s">
        <v>207</v>
      </c>
      <c r="B33" t="s">
        <v>208</v>
      </c>
      <c r="C33" t="s">
        <v>177</v>
      </c>
      <c r="D33" t="s">
        <v>178</v>
      </c>
      <c r="E33" t="s">
        <v>164</v>
      </c>
      <c r="F33" t="s">
        <v>129</v>
      </c>
      <c r="G33">
        <v>0.23712605547018081</v>
      </c>
      <c r="H33">
        <v>46.196150810688899</v>
      </c>
      <c r="I33">
        <v>169.26269657036414</v>
      </c>
      <c r="J33">
        <v>389.59103552067506</v>
      </c>
      <c r="K33">
        <v>1.2214137182566644</v>
      </c>
      <c r="L33">
        <v>1.4586528301297053</v>
      </c>
      <c r="M33">
        <v>1.4367945107767355</v>
      </c>
      <c r="N33">
        <v>1.3258426173823386</v>
      </c>
      <c r="O33">
        <v>1.4121251534290682</v>
      </c>
      <c r="P33">
        <v>1.4968111682388674</v>
      </c>
      <c r="Q33">
        <v>1.1137228775074144</v>
      </c>
      <c r="R33">
        <v>1.1523297796771568</v>
      </c>
      <c r="S33">
        <v>1.261678755528314</v>
      </c>
      <c r="T33">
        <v>1.2456836932865165</v>
      </c>
      <c r="U33">
        <v>1.2512749062312558</v>
      </c>
      <c r="V33">
        <v>1.4406165004533091</v>
      </c>
      <c r="W33" s="117">
        <v>0.93211708588385855</v>
      </c>
      <c r="X33" s="117">
        <v>0.93211708588385855</v>
      </c>
      <c r="Y33" s="117">
        <v>157.77265147601162</v>
      </c>
      <c r="Z33" s="117">
        <v>157.77265147601162</v>
      </c>
      <c r="AA33">
        <v>1</v>
      </c>
    </row>
    <row r="34" spans="1:27" x14ac:dyDescent="0.35">
      <c r="A34" t="s">
        <v>209</v>
      </c>
      <c r="B34" t="s">
        <v>210</v>
      </c>
      <c r="C34" t="s">
        <v>155</v>
      </c>
      <c r="D34" t="s">
        <v>156</v>
      </c>
      <c r="E34" t="s">
        <v>123</v>
      </c>
      <c r="F34" t="s">
        <v>124</v>
      </c>
      <c r="G34">
        <v>0.3189247945723761</v>
      </c>
      <c r="H34">
        <v>37.0255642867577</v>
      </c>
      <c r="I34">
        <v>135.66166754668021</v>
      </c>
      <c r="J34">
        <v>361.75111629254133</v>
      </c>
      <c r="K34">
        <v>1.4311390552424275</v>
      </c>
      <c r="L34">
        <v>1.6203493187870361</v>
      </c>
      <c r="M34">
        <v>1.5704100834907153</v>
      </c>
      <c r="N34">
        <v>1.4697469672222818</v>
      </c>
      <c r="O34">
        <v>1.5084669160426112</v>
      </c>
      <c r="P34">
        <v>1.6826258544766286</v>
      </c>
      <c r="Q34">
        <v>1.39378218396165</v>
      </c>
      <c r="R34">
        <v>1.154133732123878</v>
      </c>
      <c r="S34">
        <v>1.2154822023485663</v>
      </c>
      <c r="T34">
        <v>1.2953811605285075</v>
      </c>
      <c r="U34">
        <v>1.2357210310006459</v>
      </c>
      <c r="V34">
        <v>1.3448954049704989</v>
      </c>
      <c r="W34" s="117">
        <v>1.3421977263240095</v>
      </c>
      <c r="X34" s="117">
        <v>0</v>
      </c>
      <c r="Y34" s="117">
        <v>182.08478173047783</v>
      </c>
      <c r="Z34" s="117">
        <v>0</v>
      </c>
      <c r="AA34">
        <v>1</v>
      </c>
    </row>
    <row r="35" spans="1:27" x14ac:dyDescent="0.35">
      <c r="A35" t="s">
        <v>211</v>
      </c>
      <c r="B35" t="s">
        <v>212</v>
      </c>
      <c r="C35" t="s">
        <v>148</v>
      </c>
      <c r="D35" t="s">
        <v>149</v>
      </c>
      <c r="E35" t="s">
        <v>123</v>
      </c>
      <c r="F35" t="s">
        <v>150</v>
      </c>
      <c r="G35" t="s">
        <v>149</v>
      </c>
      <c r="H35">
        <v>2.4274582473411601E-2</v>
      </c>
      <c r="I35">
        <v>8.8942070182580116E-2</v>
      </c>
      <c r="J35" t="s">
        <v>149</v>
      </c>
      <c r="K35" t="s">
        <v>149</v>
      </c>
      <c r="L35">
        <v>1.2385981682627154</v>
      </c>
      <c r="M35">
        <v>1.2157310073334064</v>
      </c>
      <c r="N35">
        <v>1.1641185092236064</v>
      </c>
      <c r="O35">
        <v>1.2237446676811887</v>
      </c>
      <c r="P35">
        <v>1.277363372111487</v>
      </c>
      <c r="Q35" t="s">
        <v>149</v>
      </c>
      <c r="R35">
        <v>1.154133732123878</v>
      </c>
      <c r="S35">
        <v>1.2154822023485663</v>
      </c>
      <c r="T35">
        <v>1.2953811605285075</v>
      </c>
      <c r="U35">
        <v>1.2357210310006459</v>
      </c>
      <c r="V35">
        <v>1.3448954049704989</v>
      </c>
      <c r="W35" s="117">
        <v>1.0414638990962359</v>
      </c>
      <c r="X35" s="117">
        <v>0.92705333200913709</v>
      </c>
      <c r="Y35" s="117">
        <v>9.2629955206040948E-2</v>
      </c>
      <c r="Z35" s="117">
        <v>8.2454042518551415E-2</v>
      </c>
      <c r="AA35">
        <v>1</v>
      </c>
    </row>
    <row r="36" spans="1:27" x14ac:dyDescent="0.35">
      <c r="A36" t="s">
        <v>213</v>
      </c>
      <c r="B36" t="s">
        <v>214</v>
      </c>
      <c r="C36" t="s">
        <v>167</v>
      </c>
      <c r="D36" t="s">
        <v>168</v>
      </c>
      <c r="E36" t="s">
        <v>145</v>
      </c>
      <c r="F36" t="s">
        <v>167</v>
      </c>
      <c r="G36">
        <v>0.34446963698454119</v>
      </c>
      <c r="H36">
        <v>35.528593273079103</v>
      </c>
      <c r="I36">
        <v>130.17676575256183</v>
      </c>
      <c r="J36">
        <v>432.29377626239796</v>
      </c>
      <c r="K36">
        <v>1.3263572562220902</v>
      </c>
      <c r="L36">
        <v>1.9532400574063462</v>
      </c>
      <c r="M36">
        <v>1.8778800779360663</v>
      </c>
      <c r="N36">
        <v>1.739105240335457</v>
      </c>
      <c r="O36">
        <v>1.8036050986595438</v>
      </c>
      <c r="P36">
        <v>2.0349296607553882</v>
      </c>
      <c r="Q36">
        <v>1.3070253557120981</v>
      </c>
      <c r="R36">
        <v>1.2095558465202498</v>
      </c>
      <c r="S36">
        <v>1.2971210859341129</v>
      </c>
      <c r="T36">
        <v>1.3393743599143302</v>
      </c>
      <c r="U36">
        <v>1.3313443191676493</v>
      </c>
      <c r="V36">
        <v>1.3335057494131222</v>
      </c>
      <c r="W36" s="117">
        <v>0.98683993196130393</v>
      </c>
      <c r="X36" s="117">
        <v>0.69234112812659943</v>
      </c>
      <c r="Y36" s="117">
        <v>128.46363065820071</v>
      </c>
      <c r="Z36" s="117">
        <v>90.126728857000728</v>
      </c>
      <c r="AA36">
        <v>1</v>
      </c>
    </row>
    <row r="37" spans="1:27" x14ac:dyDescent="0.35">
      <c r="A37" t="s">
        <v>215</v>
      </c>
      <c r="B37" t="s">
        <v>216</v>
      </c>
      <c r="C37" t="s">
        <v>217</v>
      </c>
      <c r="D37" t="s">
        <v>156</v>
      </c>
      <c r="E37" t="s">
        <v>138</v>
      </c>
      <c r="F37" t="s">
        <v>124</v>
      </c>
      <c r="G37">
        <v>0.36732748869002818</v>
      </c>
      <c r="H37">
        <v>32.270660219523201</v>
      </c>
      <c r="I37">
        <v>118.23969904433301</v>
      </c>
      <c r="J37">
        <v>59.894305352895493</v>
      </c>
      <c r="K37">
        <v>1.4311390552424275</v>
      </c>
      <c r="L37">
        <v>1.8501313366274361</v>
      </c>
      <c r="M37">
        <v>1.7939909474351292</v>
      </c>
      <c r="N37">
        <v>1.6150580951761699</v>
      </c>
      <c r="O37">
        <v>1.7812912950026807</v>
      </c>
      <c r="P37">
        <v>1.8693260877594882</v>
      </c>
      <c r="Q37">
        <v>1.39378218396165</v>
      </c>
      <c r="R37">
        <v>1.0901307546951258</v>
      </c>
      <c r="S37">
        <v>1.0599826962241754</v>
      </c>
      <c r="T37">
        <v>1.1372607799723293</v>
      </c>
      <c r="U37">
        <v>1.0615175586333341</v>
      </c>
      <c r="V37">
        <v>1.1250789639924195</v>
      </c>
      <c r="W37" s="117">
        <v>1.6081383502168556</v>
      </c>
      <c r="X37" s="117">
        <v>1.6081383502168556</v>
      </c>
      <c r="Y37" s="117">
        <v>190.1457945512912</v>
      </c>
      <c r="Z37" s="117">
        <v>190.1457945512912</v>
      </c>
      <c r="AA37">
        <v>1</v>
      </c>
    </row>
    <row r="38" spans="1:27" x14ac:dyDescent="0.35">
      <c r="A38" t="s">
        <v>218</v>
      </c>
      <c r="B38" t="s">
        <v>219</v>
      </c>
      <c r="C38" t="s">
        <v>143</v>
      </c>
      <c r="D38" t="s">
        <v>144</v>
      </c>
      <c r="E38" t="s">
        <v>145</v>
      </c>
      <c r="F38" t="s">
        <v>143</v>
      </c>
      <c r="G38">
        <v>1.1115573068952875</v>
      </c>
      <c r="H38">
        <v>27.232195498837601</v>
      </c>
      <c r="I38">
        <v>99.778764307740971</v>
      </c>
      <c r="J38">
        <v>105.96022568814533</v>
      </c>
      <c r="K38">
        <v>1.1944928429090393</v>
      </c>
      <c r="L38">
        <v>1.5235246534634574</v>
      </c>
      <c r="M38">
        <v>1.5174723438427427</v>
      </c>
      <c r="N38">
        <v>1.4590864716211196</v>
      </c>
      <c r="O38">
        <v>1.5522101351335562</v>
      </c>
      <c r="P38">
        <v>1.6271708427773068</v>
      </c>
      <c r="Q38">
        <v>1.1620756490513198</v>
      </c>
      <c r="R38">
        <v>1.2095558465202498</v>
      </c>
      <c r="S38">
        <v>1.2971210859341129</v>
      </c>
      <c r="T38">
        <v>1.3393743599143302</v>
      </c>
      <c r="U38">
        <v>1.3313443191676493</v>
      </c>
      <c r="V38">
        <v>1.3335057494131222</v>
      </c>
      <c r="W38" s="117">
        <v>0.93677683591414407</v>
      </c>
      <c r="X38" s="117">
        <v>0.93677683591414407</v>
      </c>
      <c r="Y38" s="117">
        <v>93.470435119628718</v>
      </c>
      <c r="Z38" s="117">
        <v>93.470435119628718</v>
      </c>
      <c r="AA38">
        <v>1</v>
      </c>
    </row>
    <row r="39" spans="1:27" x14ac:dyDescent="0.35">
      <c r="A39" t="s">
        <v>220</v>
      </c>
      <c r="B39" t="s">
        <v>221</v>
      </c>
      <c r="C39" t="s">
        <v>143</v>
      </c>
      <c r="D39" t="s">
        <v>144</v>
      </c>
      <c r="E39" t="s">
        <v>145</v>
      </c>
      <c r="F39" t="s">
        <v>143</v>
      </c>
      <c r="G39">
        <v>1.17470735488832</v>
      </c>
      <c r="H39">
        <v>25.3440852924608</v>
      </c>
      <c r="I39">
        <v>92.860728511576369</v>
      </c>
      <c r="J39">
        <v>144.41136334527008</v>
      </c>
      <c r="K39">
        <v>1.1944928429090393</v>
      </c>
      <c r="L39">
        <v>1.6387247185420255</v>
      </c>
      <c r="M39">
        <v>1.7013832947554322</v>
      </c>
      <c r="N39">
        <v>1.3412731796773212</v>
      </c>
      <c r="O39">
        <v>1.7878021588363144</v>
      </c>
      <c r="P39">
        <v>1.9623866145983511</v>
      </c>
      <c r="Q39">
        <v>1.1620756490513198</v>
      </c>
      <c r="R39">
        <v>1.2095558465202498</v>
      </c>
      <c r="S39">
        <v>1.2971210859341129</v>
      </c>
      <c r="T39">
        <v>1.3393743599143302</v>
      </c>
      <c r="U39">
        <v>1.3313443191676493</v>
      </c>
      <c r="V39">
        <v>1.3335057494131222</v>
      </c>
      <c r="W39" s="117">
        <v>0.98574742514669444</v>
      </c>
      <c r="X39" s="117">
        <v>0.98574742514669444</v>
      </c>
      <c r="Y39" s="117">
        <v>91.537224027532645</v>
      </c>
      <c r="Z39" s="117">
        <v>91.537224027532645</v>
      </c>
      <c r="AA39">
        <v>1</v>
      </c>
    </row>
    <row r="40" spans="1:27" x14ac:dyDescent="0.35">
      <c r="A40" t="s">
        <v>222</v>
      </c>
      <c r="B40" t="s">
        <v>223</v>
      </c>
      <c r="C40" t="s">
        <v>155</v>
      </c>
      <c r="D40" t="s">
        <v>156</v>
      </c>
      <c r="E40" t="s">
        <v>123</v>
      </c>
      <c r="F40" t="s">
        <v>124</v>
      </c>
      <c r="G40">
        <v>0.46695751768413374</v>
      </c>
      <c r="H40">
        <v>24.7885644384098</v>
      </c>
      <c r="I40">
        <v>90.825300102333514</v>
      </c>
      <c r="J40">
        <v>373.90213470040959</v>
      </c>
      <c r="K40">
        <v>1.4311390552424275</v>
      </c>
      <c r="L40">
        <v>1.9494033760257934</v>
      </c>
      <c r="M40">
        <v>1.8418273419218341</v>
      </c>
      <c r="N40">
        <v>1.6581178041985869</v>
      </c>
      <c r="O40">
        <v>1.7180757415610215</v>
      </c>
      <c r="P40">
        <v>2.0365164366031654</v>
      </c>
      <c r="Q40">
        <v>1.39378218396165</v>
      </c>
      <c r="R40">
        <v>1.154133732123878</v>
      </c>
      <c r="S40">
        <v>1.2154822023485663</v>
      </c>
      <c r="T40">
        <v>1.2953811605285075</v>
      </c>
      <c r="U40">
        <v>1.2357210310006459</v>
      </c>
      <c r="V40">
        <v>1.3448954049704989</v>
      </c>
      <c r="W40" s="117">
        <v>1.5978419173136733</v>
      </c>
      <c r="X40" s="117">
        <v>1.3461248114437743</v>
      </c>
      <c r="Y40" s="117">
        <v>145.12447165610234</v>
      </c>
      <c r="Z40" s="117">
        <v>122.26218997457791</v>
      </c>
      <c r="AA40">
        <v>1</v>
      </c>
    </row>
    <row r="41" spans="1:27" x14ac:dyDescent="0.35">
      <c r="A41" t="s">
        <v>224</v>
      </c>
      <c r="B41" t="s">
        <v>225</v>
      </c>
      <c r="C41" t="s">
        <v>177</v>
      </c>
      <c r="D41" t="s">
        <v>178</v>
      </c>
      <c r="E41" t="s">
        <v>164</v>
      </c>
      <c r="F41" t="s">
        <v>129</v>
      </c>
      <c r="G41">
        <v>0.4408868318871515</v>
      </c>
      <c r="H41">
        <v>23.342149225126199</v>
      </c>
      <c r="I41">
        <v>85.525634760862403</v>
      </c>
      <c r="J41">
        <v>270.29998288701034</v>
      </c>
      <c r="K41">
        <v>1.2214137182566644</v>
      </c>
      <c r="L41">
        <v>1.4898270927432544</v>
      </c>
      <c r="M41">
        <v>1.4538955441214303</v>
      </c>
      <c r="N41">
        <v>1.3372606709259682</v>
      </c>
      <c r="O41">
        <v>1.4340172779407794</v>
      </c>
      <c r="P41">
        <v>1.536888989863423</v>
      </c>
      <c r="Q41">
        <v>1.1137228775074144</v>
      </c>
      <c r="R41">
        <v>1.1523297796771568</v>
      </c>
      <c r="S41">
        <v>1.261678755528314</v>
      </c>
      <c r="T41">
        <v>1.2456836932865165</v>
      </c>
      <c r="U41">
        <v>1.2512749062312558</v>
      </c>
      <c r="V41">
        <v>1.4406165004533091</v>
      </c>
      <c r="W41" s="117">
        <v>0.73011051575064967</v>
      </c>
      <c r="X41" s="117">
        <v>0.73011051575064967</v>
      </c>
      <c r="Y41" s="117">
        <v>62.443165305154942</v>
      </c>
      <c r="Z41" s="117">
        <v>62.443165305154942</v>
      </c>
      <c r="AA41">
        <v>1</v>
      </c>
    </row>
    <row r="42" spans="1:27" x14ac:dyDescent="0.35">
      <c r="A42" t="s">
        <v>226</v>
      </c>
      <c r="B42" t="s">
        <v>227</v>
      </c>
      <c r="C42" t="s">
        <v>177</v>
      </c>
      <c r="D42" t="s">
        <v>178</v>
      </c>
      <c r="E42" t="s">
        <v>164</v>
      </c>
      <c r="F42" t="s">
        <v>129</v>
      </c>
      <c r="G42">
        <v>0.54809607776898561</v>
      </c>
      <c r="H42">
        <v>22.880404040571602</v>
      </c>
      <c r="I42">
        <v>83.833800404654355</v>
      </c>
      <c r="J42">
        <v>252.72719371001776</v>
      </c>
      <c r="K42">
        <v>1.2214137182566644</v>
      </c>
      <c r="L42">
        <v>1.507805559081399</v>
      </c>
      <c r="M42">
        <v>1.4799116689546188</v>
      </c>
      <c r="N42">
        <v>1.3323821282387132</v>
      </c>
      <c r="O42">
        <v>1.4599717473456029</v>
      </c>
      <c r="P42">
        <v>1.5513027592962154</v>
      </c>
      <c r="Q42">
        <v>1.1137228775074144</v>
      </c>
      <c r="R42">
        <v>1.1523297796771568</v>
      </c>
      <c r="S42">
        <v>1.261678755528314</v>
      </c>
      <c r="T42">
        <v>1.2456836932865165</v>
      </c>
      <c r="U42">
        <v>1.2512749062312558</v>
      </c>
      <c r="V42">
        <v>1.4406165004533091</v>
      </c>
      <c r="W42" s="117">
        <v>0.79861997612749069</v>
      </c>
      <c r="X42" s="117">
        <v>0.79861997612749069</v>
      </c>
      <c r="Y42" s="117">
        <v>66.951347677841881</v>
      </c>
      <c r="Z42" s="117">
        <v>66.951347677841881</v>
      </c>
      <c r="AA42">
        <v>1</v>
      </c>
    </row>
    <row r="43" spans="1:27" x14ac:dyDescent="0.35">
      <c r="A43" t="s">
        <v>228</v>
      </c>
      <c r="B43" t="s">
        <v>229</v>
      </c>
      <c r="C43" t="s">
        <v>177</v>
      </c>
      <c r="D43" t="s">
        <v>178</v>
      </c>
      <c r="E43" t="s">
        <v>164</v>
      </c>
      <c r="F43" t="s">
        <v>129</v>
      </c>
      <c r="G43">
        <v>0.40868198287588947</v>
      </c>
      <c r="H43">
        <v>20.869941625776299</v>
      </c>
      <c r="I43">
        <v>76.467466116844363</v>
      </c>
      <c r="J43">
        <v>482.35931876770314</v>
      </c>
      <c r="K43">
        <v>1.2214137182566644</v>
      </c>
      <c r="L43">
        <v>1.3928953515629789</v>
      </c>
      <c r="M43">
        <v>1.3856255460399025</v>
      </c>
      <c r="N43">
        <v>1.3827710067445129</v>
      </c>
      <c r="O43">
        <v>1.3715315330663911</v>
      </c>
      <c r="P43">
        <v>1.444625005284057</v>
      </c>
      <c r="Q43">
        <v>1.1137228775074144</v>
      </c>
      <c r="R43">
        <v>1.1523297796771568</v>
      </c>
      <c r="S43">
        <v>1.261678755528314</v>
      </c>
      <c r="T43">
        <v>1.2456836932865165</v>
      </c>
      <c r="U43">
        <v>1.2512749062312558</v>
      </c>
      <c r="V43">
        <v>1.4406165004533091</v>
      </c>
      <c r="W43" s="117">
        <v>2.9702408429391736</v>
      </c>
      <c r="X43" s="117">
        <v>2.3961022197830619</v>
      </c>
      <c r="Y43" s="117">
        <v>227.12679101631849</v>
      </c>
      <c r="Z43" s="117">
        <v>183.22386530375687</v>
      </c>
      <c r="AA43">
        <v>1</v>
      </c>
    </row>
    <row r="44" spans="1:27" x14ac:dyDescent="0.35">
      <c r="A44" t="s">
        <v>230</v>
      </c>
      <c r="B44" t="s">
        <v>231</v>
      </c>
      <c r="C44" t="s">
        <v>143</v>
      </c>
      <c r="D44" t="s">
        <v>144</v>
      </c>
      <c r="E44" t="s">
        <v>145</v>
      </c>
      <c r="F44" t="s">
        <v>143</v>
      </c>
      <c r="G44">
        <v>1.717189218922216</v>
      </c>
      <c r="H44">
        <v>19.7888063363222</v>
      </c>
      <c r="I44">
        <v>72.506186416284535</v>
      </c>
      <c r="J44">
        <v>73.971391417425238</v>
      </c>
      <c r="K44">
        <v>1.1944928429090393</v>
      </c>
      <c r="L44">
        <v>1.4971607552042105</v>
      </c>
      <c r="M44">
        <v>1.456986121404485</v>
      </c>
      <c r="N44">
        <v>1.3394121590976666</v>
      </c>
      <c r="O44">
        <v>1.459860898171909</v>
      </c>
      <c r="P44">
        <v>1.5142613332872639</v>
      </c>
      <c r="Q44">
        <v>1.1620756490513198</v>
      </c>
      <c r="R44">
        <v>1.2095558465202498</v>
      </c>
      <c r="S44">
        <v>1.2971210859341129</v>
      </c>
      <c r="T44">
        <v>1.3393743599143302</v>
      </c>
      <c r="U44">
        <v>1.3313443191676493</v>
      </c>
      <c r="V44">
        <v>1.3335057494131222</v>
      </c>
      <c r="W44" s="117">
        <v>1.1917664499221059</v>
      </c>
      <c r="X44" s="117">
        <v>1.1917664499221059</v>
      </c>
      <c r="Y44" s="117">
        <v>86.410440382725838</v>
      </c>
      <c r="Z44" s="117">
        <v>86.410440382725838</v>
      </c>
      <c r="AA44">
        <v>1</v>
      </c>
    </row>
    <row r="45" spans="1:27" x14ac:dyDescent="0.35">
      <c r="A45" t="s">
        <v>232</v>
      </c>
      <c r="B45" t="s">
        <v>233</v>
      </c>
      <c r="C45" t="s">
        <v>167</v>
      </c>
      <c r="D45" t="s">
        <v>168</v>
      </c>
      <c r="E45" t="s">
        <v>145</v>
      </c>
      <c r="F45" t="s">
        <v>167</v>
      </c>
      <c r="G45">
        <v>0.62607011889556463</v>
      </c>
      <c r="H45">
        <v>17.663843396627101</v>
      </c>
      <c r="I45">
        <v>64.7203222052417</v>
      </c>
      <c r="J45">
        <v>114.72506528514869</v>
      </c>
      <c r="K45">
        <v>1.3263572562220902</v>
      </c>
      <c r="L45">
        <v>1.7146546716480204</v>
      </c>
      <c r="M45">
        <v>1.6563066774101389</v>
      </c>
      <c r="N45">
        <v>1.5616094759122905</v>
      </c>
      <c r="O45">
        <v>1.6151960954844096</v>
      </c>
      <c r="P45">
        <v>1.749767296564829</v>
      </c>
      <c r="Q45">
        <v>1.3070253557120981</v>
      </c>
      <c r="R45">
        <v>1.2095558465202498</v>
      </c>
      <c r="S45">
        <v>1.2971210859341129</v>
      </c>
      <c r="T45">
        <v>1.3393743599143302</v>
      </c>
      <c r="U45">
        <v>1.3313443191676493</v>
      </c>
      <c r="V45">
        <v>1.3335057494131222</v>
      </c>
      <c r="W45" s="117">
        <v>1.0157490380704326</v>
      </c>
      <c r="X45" s="117">
        <v>0.68991953780722692</v>
      </c>
      <c r="Y45" s="117">
        <v>65.739605023582712</v>
      </c>
      <c r="Z45" s="117">
        <v>44.651814782575158</v>
      </c>
      <c r="AA45">
        <v>1</v>
      </c>
    </row>
    <row r="46" spans="1:27" x14ac:dyDescent="0.35">
      <c r="A46" t="s">
        <v>234</v>
      </c>
      <c r="B46" t="s">
        <v>235</v>
      </c>
      <c r="C46" t="s">
        <v>206</v>
      </c>
      <c r="D46" t="s">
        <v>149</v>
      </c>
      <c r="E46" t="s">
        <v>145</v>
      </c>
      <c r="F46" t="s">
        <v>167</v>
      </c>
      <c r="G46" t="s">
        <v>149</v>
      </c>
      <c r="H46" t="s">
        <v>149</v>
      </c>
      <c r="I46" t="s">
        <v>149</v>
      </c>
      <c r="J46" t="s">
        <v>149</v>
      </c>
      <c r="K46" t="s">
        <v>149</v>
      </c>
      <c r="L46">
        <v>1.5963240717558658</v>
      </c>
      <c r="M46">
        <v>1.5284720537489731</v>
      </c>
      <c r="N46">
        <v>1.3785984406327738</v>
      </c>
      <c r="O46">
        <v>1.5276666559417871</v>
      </c>
      <c r="P46">
        <v>1.6721470135847669</v>
      </c>
      <c r="Q46" t="s">
        <v>149</v>
      </c>
      <c r="R46">
        <v>1.2095558465202498</v>
      </c>
      <c r="S46">
        <v>1.2971210859341129</v>
      </c>
      <c r="T46">
        <v>1.3393743599143302</v>
      </c>
      <c r="U46">
        <v>1.3313443191676493</v>
      </c>
      <c r="V46">
        <v>1.3335057494131222</v>
      </c>
      <c r="W46" s="117" t="s">
        <v>149</v>
      </c>
      <c r="X46" s="117" t="s">
        <v>149</v>
      </c>
      <c r="Y46" s="117" t="s">
        <v>149</v>
      </c>
      <c r="Z46" s="117" t="s">
        <v>149</v>
      </c>
      <c r="AA46">
        <v>0</v>
      </c>
    </row>
    <row r="47" spans="1:27" x14ac:dyDescent="0.35">
      <c r="A47" t="s">
        <v>236</v>
      </c>
      <c r="B47" t="s">
        <v>237</v>
      </c>
      <c r="C47" t="s">
        <v>132</v>
      </c>
      <c r="D47" t="s">
        <v>199</v>
      </c>
      <c r="E47" t="s">
        <v>138</v>
      </c>
      <c r="F47" t="s">
        <v>132</v>
      </c>
      <c r="G47">
        <v>1.5431155266742627</v>
      </c>
      <c r="H47">
        <v>15.991277547626</v>
      </c>
      <c r="I47">
        <v>58.592040934501668</v>
      </c>
      <c r="J47">
        <v>61.489588894821146</v>
      </c>
      <c r="K47">
        <v>1.1764228653088502</v>
      </c>
      <c r="L47">
        <v>1.4515456786799863</v>
      </c>
      <c r="M47">
        <v>1.4056370405918437</v>
      </c>
      <c r="N47">
        <v>1.2777435896485161</v>
      </c>
      <c r="O47">
        <v>1.3916866148718126</v>
      </c>
      <c r="P47">
        <v>1.4976084335418094</v>
      </c>
      <c r="Q47">
        <v>1.234033450224737</v>
      </c>
      <c r="R47">
        <v>1.0901307546951258</v>
      </c>
      <c r="S47">
        <v>1.0599826962241754</v>
      </c>
      <c r="T47">
        <v>1.1372607799723293</v>
      </c>
      <c r="U47">
        <v>1.0615175586333341</v>
      </c>
      <c r="V47">
        <v>1.1250789639924195</v>
      </c>
      <c r="W47" s="117">
        <v>0.89144787391422353</v>
      </c>
      <c r="X47" s="117">
        <v>0.85066774505209797</v>
      </c>
      <c r="Y47" s="117">
        <v>52.231750319356664</v>
      </c>
      <c r="Z47" s="117">
        <v>49.842359339752754</v>
      </c>
      <c r="AA47">
        <v>1</v>
      </c>
    </row>
    <row r="48" spans="1:27" x14ac:dyDescent="0.35">
      <c r="A48" t="s">
        <v>238</v>
      </c>
      <c r="B48" t="s">
        <v>239</v>
      </c>
      <c r="C48" t="s">
        <v>171</v>
      </c>
      <c r="D48" t="s">
        <v>144</v>
      </c>
      <c r="E48" t="s">
        <v>145</v>
      </c>
      <c r="F48" t="s">
        <v>124</v>
      </c>
      <c r="G48">
        <v>2.1406186709348205</v>
      </c>
      <c r="H48">
        <v>15.0131275761004</v>
      </c>
      <c r="I48">
        <v>55.00809943883187</v>
      </c>
      <c r="J48">
        <v>407.10073659406441</v>
      </c>
      <c r="K48">
        <v>1.1944928429090393</v>
      </c>
      <c r="L48">
        <v>1.4960174068023075</v>
      </c>
      <c r="M48">
        <v>1.4743185821721583</v>
      </c>
      <c r="N48">
        <v>1.3476626414713073</v>
      </c>
      <c r="O48">
        <v>1.4708331217092694</v>
      </c>
      <c r="P48">
        <v>1.5703622186591302</v>
      </c>
      <c r="Q48">
        <v>1.1620756490513198</v>
      </c>
      <c r="R48">
        <v>1.2095558465202498</v>
      </c>
      <c r="S48">
        <v>1.2971210859341129</v>
      </c>
      <c r="T48">
        <v>1.3393743599143302</v>
      </c>
      <c r="U48">
        <v>1.3313443191676493</v>
      </c>
      <c r="V48">
        <v>1.3335057494131222</v>
      </c>
      <c r="W48" s="117">
        <v>0.7364114656373264</v>
      </c>
      <c r="X48" s="117">
        <v>0.7364114656373264</v>
      </c>
      <c r="Y48" s="117">
        <v>40.508595129673971</v>
      </c>
      <c r="Z48" s="117">
        <v>40.508595129673971</v>
      </c>
      <c r="AA48">
        <v>1</v>
      </c>
    </row>
    <row r="49" spans="1:27" x14ac:dyDescent="0.35">
      <c r="A49" t="s">
        <v>240</v>
      </c>
      <c r="B49" t="s">
        <v>241</v>
      </c>
      <c r="C49" t="s">
        <v>188</v>
      </c>
      <c r="D49" t="s">
        <v>156</v>
      </c>
      <c r="E49" t="s">
        <v>123</v>
      </c>
      <c r="F49" t="s">
        <v>124</v>
      </c>
      <c r="G49">
        <v>0.61489979103310954</v>
      </c>
      <c r="H49">
        <v>13.5385341341463</v>
      </c>
      <c r="I49">
        <v>49.605189067512043</v>
      </c>
      <c r="J49">
        <v>13.312981594573015</v>
      </c>
      <c r="K49">
        <v>1.4311390552424275</v>
      </c>
      <c r="L49">
        <v>2.4565789207729871</v>
      </c>
      <c r="M49">
        <v>2.3129427835413163</v>
      </c>
      <c r="N49">
        <v>1.8256550717794335</v>
      </c>
      <c r="O49">
        <v>2.2913042514903292</v>
      </c>
      <c r="P49">
        <v>2.5917077348073265</v>
      </c>
      <c r="Q49">
        <v>1.39378218396165</v>
      </c>
      <c r="R49">
        <v>1.154133732123878</v>
      </c>
      <c r="S49">
        <v>1.2154822023485663</v>
      </c>
      <c r="T49">
        <v>1.2953811605285075</v>
      </c>
      <c r="U49">
        <v>1.2357210310006459</v>
      </c>
      <c r="V49">
        <v>1.3448954049704989</v>
      </c>
      <c r="W49" s="117">
        <v>0.73110628825121426</v>
      </c>
      <c r="X49" s="117">
        <v>0.69523650573967699</v>
      </c>
      <c r="Y49" s="117">
        <v>36.266665657148444</v>
      </c>
      <c r="Z49" s="117">
        <v>34.487338313853101</v>
      </c>
      <c r="AA49">
        <v>1</v>
      </c>
    </row>
    <row r="50" spans="1:27" x14ac:dyDescent="0.35">
      <c r="A50" t="s">
        <v>242</v>
      </c>
      <c r="B50" t="s">
        <v>243</v>
      </c>
      <c r="C50" t="s">
        <v>244</v>
      </c>
      <c r="D50" t="s">
        <v>149</v>
      </c>
      <c r="E50" t="s">
        <v>123</v>
      </c>
      <c r="F50" t="s">
        <v>129</v>
      </c>
      <c r="G50" t="s">
        <v>149</v>
      </c>
      <c r="H50" t="s">
        <v>149</v>
      </c>
      <c r="I50" t="s">
        <v>149</v>
      </c>
      <c r="J50" t="s">
        <v>149</v>
      </c>
      <c r="K50" t="s">
        <v>149</v>
      </c>
      <c r="L50">
        <v>1.4904316059472853</v>
      </c>
      <c r="M50">
        <v>1.4610847772130751</v>
      </c>
      <c r="N50">
        <v>1.3701392224490256</v>
      </c>
      <c r="O50">
        <v>1.4354696297925016</v>
      </c>
      <c r="P50">
        <v>1.5281407979197132</v>
      </c>
      <c r="Q50" t="s">
        <v>149</v>
      </c>
      <c r="R50">
        <v>1.154133732123878</v>
      </c>
      <c r="S50">
        <v>1.2154822023485663</v>
      </c>
      <c r="T50">
        <v>1.2953811605285075</v>
      </c>
      <c r="U50">
        <v>1.2357210310006459</v>
      </c>
      <c r="V50">
        <v>1.3448954049704989</v>
      </c>
      <c r="W50" s="117" t="s">
        <v>149</v>
      </c>
      <c r="X50" s="117" t="s">
        <v>149</v>
      </c>
      <c r="Y50" s="117" t="s">
        <v>149</v>
      </c>
      <c r="Z50" s="117" t="s">
        <v>149</v>
      </c>
      <c r="AA50">
        <v>0</v>
      </c>
    </row>
    <row r="51" spans="1:27" x14ac:dyDescent="0.35">
      <c r="A51" t="s">
        <v>245</v>
      </c>
      <c r="B51" t="s">
        <v>246</v>
      </c>
      <c r="C51" t="s">
        <v>132</v>
      </c>
      <c r="D51" t="s">
        <v>199</v>
      </c>
      <c r="E51" t="s">
        <v>128</v>
      </c>
      <c r="F51" t="s">
        <v>132</v>
      </c>
      <c r="G51">
        <v>148.80239199717218</v>
      </c>
      <c r="H51">
        <v>0.18891181483659</v>
      </c>
      <c r="I51">
        <v>0.69217288956126577</v>
      </c>
      <c r="J51">
        <v>3.2407599889945278</v>
      </c>
      <c r="K51">
        <v>1.1764228653088502</v>
      </c>
      <c r="L51">
        <v>1.2067690036967176</v>
      </c>
      <c r="M51">
        <v>1.1866174178280724</v>
      </c>
      <c r="N51">
        <v>1.1300269287366023</v>
      </c>
      <c r="O51">
        <v>1.1919270064378424</v>
      </c>
      <c r="P51">
        <v>1.2529274166703845</v>
      </c>
      <c r="Q51">
        <v>1.234033450224737</v>
      </c>
      <c r="R51">
        <v>0.90947003354549738</v>
      </c>
      <c r="S51">
        <v>1.0160301239037073</v>
      </c>
      <c r="T51">
        <v>1.0683930558484569</v>
      </c>
      <c r="U51">
        <v>1.0727560349127803</v>
      </c>
      <c r="V51">
        <v>1.2137481184144505</v>
      </c>
      <c r="W51" s="117" t="s">
        <v>149</v>
      </c>
      <c r="X51" s="117" t="s">
        <v>149</v>
      </c>
      <c r="Y51" s="117" t="s">
        <v>149</v>
      </c>
      <c r="Z51" s="117" t="s">
        <v>149</v>
      </c>
      <c r="AA51">
        <v>0</v>
      </c>
    </row>
    <row r="52" spans="1:27" x14ac:dyDescent="0.35">
      <c r="A52" t="s">
        <v>247</v>
      </c>
      <c r="B52" t="s">
        <v>248</v>
      </c>
      <c r="C52" t="s">
        <v>177</v>
      </c>
      <c r="D52" t="s">
        <v>178</v>
      </c>
      <c r="E52" t="s">
        <v>164</v>
      </c>
      <c r="F52" t="s">
        <v>129</v>
      </c>
      <c r="G52">
        <v>0.85382342397850353</v>
      </c>
      <c r="H52">
        <v>12.961009578628101</v>
      </c>
      <c r="I52">
        <v>47.489139096093361</v>
      </c>
      <c r="J52">
        <v>201.70505593865346</v>
      </c>
      <c r="K52">
        <v>1.2214137182566644</v>
      </c>
      <c r="L52">
        <v>1.6676203936354244</v>
      </c>
      <c r="M52">
        <v>1.6207897881546598</v>
      </c>
      <c r="N52">
        <v>1.4823395986581496</v>
      </c>
      <c r="O52">
        <v>1.6027361403491527</v>
      </c>
      <c r="P52">
        <v>1.6970475607930409</v>
      </c>
      <c r="Q52">
        <v>1.1137228775074144</v>
      </c>
      <c r="R52">
        <v>1.1523297796771568</v>
      </c>
      <c r="S52">
        <v>1.261678755528314</v>
      </c>
      <c r="T52">
        <v>1.2456836932865165</v>
      </c>
      <c r="U52">
        <v>1.2512749062312558</v>
      </c>
      <c r="V52">
        <v>1.4406165004533091</v>
      </c>
      <c r="W52" s="117">
        <v>1.0779402204541424</v>
      </c>
      <c r="X52" s="117">
        <v>0.82988212204296063</v>
      </c>
      <c r="Y52" s="117">
        <v>51.190453066420311</v>
      </c>
      <c r="Z52" s="117">
        <v>39.410387527059285</v>
      </c>
      <c r="AA52">
        <v>1</v>
      </c>
    </row>
    <row r="53" spans="1:27" x14ac:dyDescent="0.35">
      <c r="A53" t="s">
        <v>249</v>
      </c>
      <c r="B53" t="s">
        <v>250</v>
      </c>
      <c r="C53" t="s">
        <v>132</v>
      </c>
      <c r="D53" t="s">
        <v>199</v>
      </c>
      <c r="E53" t="s">
        <v>128</v>
      </c>
      <c r="F53" t="s">
        <v>132</v>
      </c>
      <c r="G53">
        <v>1.7333673629005359</v>
      </c>
      <c r="H53">
        <v>12.1586123761127</v>
      </c>
      <c r="I53">
        <v>44.549155746076934</v>
      </c>
      <c r="J53">
        <v>53.33501642541485</v>
      </c>
      <c r="K53">
        <v>1.1764228653088502</v>
      </c>
      <c r="L53">
        <v>1.2067690036967176</v>
      </c>
      <c r="M53">
        <v>1.1866174178280724</v>
      </c>
      <c r="N53">
        <v>1.1300269287366023</v>
      </c>
      <c r="O53">
        <v>1.1919270064378424</v>
      </c>
      <c r="P53">
        <v>1.2529274166703845</v>
      </c>
      <c r="Q53">
        <v>1.234033450224737</v>
      </c>
      <c r="R53">
        <v>0.90947003354549738</v>
      </c>
      <c r="S53">
        <v>1.0160301239037073</v>
      </c>
      <c r="T53">
        <v>1.0683930558484569</v>
      </c>
      <c r="U53">
        <v>1.0727560349127803</v>
      </c>
      <c r="V53">
        <v>1.2137481184144505</v>
      </c>
      <c r="W53" s="117">
        <v>0.74027951145059068</v>
      </c>
      <c r="X53" s="117">
        <v>0.74027951145059068</v>
      </c>
      <c r="Y53" s="117">
        <v>32.978827251242109</v>
      </c>
      <c r="Z53" s="117">
        <v>32.978827251242109</v>
      </c>
      <c r="AA53">
        <v>1</v>
      </c>
    </row>
    <row r="54" spans="1:27" x14ac:dyDescent="0.35">
      <c r="A54" t="s">
        <v>251</v>
      </c>
      <c r="B54" t="s">
        <v>252</v>
      </c>
      <c r="C54" t="s">
        <v>143</v>
      </c>
      <c r="D54" t="s">
        <v>144</v>
      </c>
      <c r="E54" t="s">
        <v>145</v>
      </c>
      <c r="F54" t="s">
        <v>143</v>
      </c>
      <c r="G54">
        <v>3.5312008897917204</v>
      </c>
      <c r="H54">
        <v>10.2627591589728</v>
      </c>
      <c r="I54">
        <v>37.60274955847634</v>
      </c>
      <c r="J54">
        <v>34.723357446808507</v>
      </c>
      <c r="K54">
        <v>1.1944928429090393</v>
      </c>
      <c r="L54">
        <v>1.6351403058170351</v>
      </c>
      <c r="M54">
        <v>1.6300917395136718</v>
      </c>
      <c r="N54">
        <v>1.41531017388275</v>
      </c>
      <c r="O54">
        <v>1.6034301799182651</v>
      </c>
      <c r="P54">
        <v>1.7340860073348798</v>
      </c>
      <c r="Q54">
        <v>1.1620756490513198</v>
      </c>
      <c r="R54">
        <v>1.2095558465202498</v>
      </c>
      <c r="S54">
        <v>1.2971210859341129</v>
      </c>
      <c r="T54">
        <v>1.3393743599143302</v>
      </c>
      <c r="U54">
        <v>1.3313443191676493</v>
      </c>
      <c r="V54">
        <v>1.3335057494131222</v>
      </c>
      <c r="W54" s="117">
        <v>1.3975069648747829</v>
      </c>
      <c r="X54" s="117">
        <v>1.3975069648747829</v>
      </c>
      <c r="Y54" s="117">
        <v>52.550104406412849</v>
      </c>
      <c r="Z54" s="117">
        <v>52.550104406412849</v>
      </c>
      <c r="AA54">
        <v>1</v>
      </c>
    </row>
    <row r="55" spans="1:27" x14ac:dyDescent="0.35">
      <c r="A55" t="s">
        <v>253</v>
      </c>
      <c r="B55" t="s">
        <v>254</v>
      </c>
      <c r="C55" t="s">
        <v>217</v>
      </c>
      <c r="D55" t="s">
        <v>156</v>
      </c>
      <c r="E55" t="s">
        <v>138</v>
      </c>
      <c r="F55" t="s">
        <v>124</v>
      </c>
      <c r="G55">
        <v>1.0489315365235836</v>
      </c>
      <c r="H55">
        <v>10.236904009800901</v>
      </c>
      <c r="I55">
        <v>37.508016291910501</v>
      </c>
      <c r="J55">
        <v>42.692999999999998</v>
      </c>
      <c r="K55">
        <v>1.4311390552424275</v>
      </c>
      <c r="L55">
        <v>1.2637368522614396</v>
      </c>
      <c r="M55">
        <v>1.2505822972063263</v>
      </c>
      <c r="N55">
        <v>1.1869553158141655</v>
      </c>
      <c r="O55">
        <v>1.2567602464439012</v>
      </c>
      <c r="P55">
        <v>1.3109200778009629</v>
      </c>
      <c r="Q55">
        <v>1.39378218396165</v>
      </c>
      <c r="R55">
        <v>1.0901307546951258</v>
      </c>
      <c r="S55">
        <v>1.0599826962241754</v>
      </c>
      <c r="T55">
        <v>1.1372607799723293</v>
      </c>
      <c r="U55">
        <v>1.0615175586333341</v>
      </c>
      <c r="V55">
        <v>1.1250789639924195</v>
      </c>
      <c r="W55" s="117">
        <v>1.024970774942477</v>
      </c>
      <c r="X55" s="117">
        <v>1.024970774942477</v>
      </c>
      <c r="Y55" s="117">
        <v>38.444620525274559</v>
      </c>
      <c r="Z55" s="117">
        <v>38.444620525274559</v>
      </c>
      <c r="AA55">
        <v>1</v>
      </c>
    </row>
    <row r="56" spans="1:27" x14ac:dyDescent="0.35">
      <c r="A56" t="s">
        <v>255</v>
      </c>
      <c r="B56" t="s">
        <v>256</v>
      </c>
      <c r="C56" t="s">
        <v>132</v>
      </c>
      <c r="D56" t="s">
        <v>149</v>
      </c>
      <c r="E56" t="s">
        <v>128</v>
      </c>
      <c r="F56" t="s">
        <v>132</v>
      </c>
      <c r="G56" t="s">
        <v>149</v>
      </c>
      <c r="H56" t="s">
        <v>149</v>
      </c>
      <c r="I56" t="s">
        <v>149</v>
      </c>
      <c r="J56" t="s">
        <v>149</v>
      </c>
      <c r="K56" t="s">
        <v>149</v>
      </c>
      <c r="L56">
        <v>1.2067690036967176</v>
      </c>
      <c r="M56">
        <v>1.1866174178280724</v>
      </c>
      <c r="N56">
        <v>1.1300269287366023</v>
      </c>
      <c r="O56">
        <v>1.1919270064378424</v>
      </c>
      <c r="P56">
        <v>1.2529274166703845</v>
      </c>
      <c r="Q56" t="s">
        <v>149</v>
      </c>
      <c r="R56">
        <v>0.90947003354549738</v>
      </c>
      <c r="S56">
        <v>1.0160301239037073</v>
      </c>
      <c r="T56">
        <v>1.0683930558484569</v>
      </c>
      <c r="U56">
        <v>1.0727560349127803</v>
      </c>
      <c r="V56">
        <v>1.2137481184144505</v>
      </c>
      <c r="W56" s="117" t="s">
        <v>149</v>
      </c>
      <c r="X56" s="117" t="s">
        <v>149</v>
      </c>
      <c r="Y56" s="117" t="s">
        <v>149</v>
      </c>
      <c r="Z56" s="117" t="s">
        <v>149</v>
      </c>
      <c r="AA56">
        <v>0</v>
      </c>
    </row>
    <row r="57" spans="1:27" x14ac:dyDescent="0.35">
      <c r="A57" t="s">
        <v>257</v>
      </c>
      <c r="B57" t="s">
        <v>258</v>
      </c>
      <c r="C57" t="s">
        <v>259</v>
      </c>
      <c r="D57" t="s">
        <v>156</v>
      </c>
      <c r="E57" t="s">
        <v>123</v>
      </c>
      <c r="F57" t="s">
        <v>124</v>
      </c>
      <c r="G57">
        <v>1.7862850497718989</v>
      </c>
      <c r="H57">
        <v>9.8495893809246606</v>
      </c>
      <c r="I57">
        <v>36.088895491707959</v>
      </c>
      <c r="J57">
        <v>78.930257227090834</v>
      </c>
      <c r="K57">
        <v>1.4311390552424275</v>
      </c>
      <c r="L57">
        <v>1.6075990253515033</v>
      </c>
      <c r="M57">
        <v>1.5477783159783653</v>
      </c>
      <c r="N57">
        <v>1.4279094998340851</v>
      </c>
      <c r="O57">
        <v>1.5230249577532384</v>
      </c>
      <c r="P57">
        <v>1.6751514690397891</v>
      </c>
      <c r="Q57">
        <v>1.39378218396165</v>
      </c>
      <c r="R57">
        <v>1.154133732123878</v>
      </c>
      <c r="S57">
        <v>1.2154822023485663</v>
      </c>
      <c r="T57">
        <v>1.2953811605285075</v>
      </c>
      <c r="U57">
        <v>1.2357210310006459</v>
      </c>
      <c r="V57">
        <v>1.3448954049704989</v>
      </c>
      <c r="W57" s="117">
        <v>0.89226919942772476</v>
      </c>
      <c r="X57" s="117">
        <v>0.70593403574392943</v>
      </c>
      <c r="Y57" s="117">
        <v>32.201009888617087</v>
      </c>
      <c r="Z57" s="117">
        <v>25.4763796400023</v>
      </c>
      <c r="AA57">
        <v>1</v>
      </c>
    </row>
    <row r="58" spans="1:27" x14ac:dyDescent="0.35">
      <c r="A58" t="s">
        <v>260</v>
      </c>
      <c r="B58" t="s">
        <v>261</v>
      </c>
      <c r="C58" t="s">
        <v>132</v>
      </c>
      <c r="D58" t="s">
        <v>149</v>
      </c>
      <c r="E58" t="s">
        <v>128</v>
      </c>
      <c r="F58" t="s">
        <v>132</v>
      </c>
      <c r="G58" t="s">
        <v>149</v>
      </c>
      <c r="H58" t="s">
        <v>149</v>
      </c>
      <c r="I58" t="s">
        <v>149</v>
      </c>
      <c r="J58" t="s">
        <v>149</v>
      </c>
      <c r="K58" t="s">
        <v>149</v>
      </c>
      <c r="L58">
        <v>1.2067690036967176</v>
      </c>
      <c r="M58">
        <v>1.1866174178280724</v>
      </c>
      <c r="N58">
        <v>1.1300269287366023</v>
      </c>
      <c r="O58">
        <v>1.1919270064378424</v>
      </c>
      <c r="P58">
        <v>1.2529274166703845</v>
      </c>
      <c r="Q58" t="s">
        <v>149</v>
      </c>
      <c r="R58">
        <v>0.90947003354549738</v>
      </c>
      <c r="S58">
        <v>1.0160301239037073</v>
      </c>
      <c r="T58">
        <v>1.0683930558484569</v>
      </c>
      <c r="U58">
        <v>1.0727560349127803</v>
      </c>
      <c r="V58">
        <v>1.2137481184144505</v>
      </c>
      <c r="W58" s="117" t="s">
        <v>149</v>
      </c>
      <c r="X58" s="117" t="s">
        <v>149</v>
      </c>
      <c r="Y58" s="117" t="s">
        <v>149</v>
      </c>
      <c r="Z58" s="117" t="s">
        <v>149</v>
      </c>
      <c r="AA58">
        <v>0</v>
      </c>
    </row>
    <row r="59" spans="1:27" x14ac:dyDescent="0.35">
      <c r="A59" t="s">
        <v>262</v>
      </c>
      <c r="B59" t="s">
        <v>263</v>
      </c>
      <c r="C59" t="s">
        <v>177</v>
      </c>
      <c r="D59" t="s">
        <v>178</v>
      </c>
      <c r="E59" t="s">
        <v>164</v>
      </c>
      <c r="F59" t="s">
        <v>129</v>
      </c>
      <c r="G59">
        <v>1.0809570837942291</v>
      </c>
      <c r="H59">
        <v>9.7587923077949998</v>
      </c>
      <c r="I59">
        <v>35.75621501576088</v>
      </c>
      <c r="J59">
        <v>21.392536137772371</v>
      </c>
      <c r="K59">
        <v>1.2214137182566644</v>
      </c>
      <c r="L59">
        <v>1.256278674491804</v>
      </c>
      <c r="M59">
        <v>1.2332340328321749</v>
      </c>
      <c r="N59">
        <v>1.2089068811349239</v>
      </c>
      <c r="O59">
        <v>1.2404141925030392</v>
      </c>
      <c r="P59">
        <v>1.2768812354217789</v>
      </c>
      <c r="Q59">
        <v>1.1137228775074144</v>
      </c>
      <c r="R59">
        <v>1.1523297796771568</v>
      </c>
      <c r="S59">
        <v>1.261678755528314</v>
      </c>
      <c r="T59">
        <v>1.2456836932865165</v>
      </c>
      <c r="U59">
        <v>1.2512749062312558</v>
      </c>
      <c r="V59">
        <v>1.4406165004533091</v>
      </c>
      <c r="W59" s="117">
        <v>1.5015409328408353</v>
      </c>
      <c r="X59" s="117">
        <v>1.3116914551922461</v>
      </c>
      <c r="Y59" s="117">
        <v>53.689420449623078</v>
      </c>
      <c r="Z59" s="117">
        <v>46.901121706190224</v>
      </c>
      <c r="AA59">
        <v>1</v>
      </c>
    </row>
    <row r="60" spans="1:27" x14ac:dyDescent="0.35">
      <c r="A60" t="s">
        <v>264</v>
      </c>
      <c r="B60" t="s">
        <v>265</v>
      </c>
      <c r="C60" t="s">
        <v>132</v>
      </c>
      <c r="D60" t="s">
        <v>184</v>
      </c>
      <c r="E60" t="s">
        <v>128</v>
      </c>
      <c r="F60" t="s">
        <v>132</v>
      </c>
      <c r="G60">
        <v>0.75677209088651043</v>
      </c>
      <c r="H60">
        <v>9.5942145519397695</v>
      </c>
      <c r="I60">
        <v>35.15320211830732</v>
      </c>
      <c r="J60">
        <v>425.88895099200272</v>
      </c>
      <c r="K60">
        <v>1.1319269378849495</v>
      </c>
      <c r="L60">
        <v>1.2543536472670986</v>
      </c>
      <c r="M60">
        <v>1.2455373155202163</v>
      </c>
      <c r="N60">
        <v>1.1779226760876587</v>
      </c>
      <c r="O60">
        <v>1.2422663152689704</v>
      </c>
      <c r="P60">
        <v>1.3072171083698778</v>
      </c>
      <c r="Q60">
        <v>1.2256428748258887</v>
      </c>
      <c r="R60">
        <v>0.90947003354549738</v>
      </c>
      <c r="S60">
        <v>1.0160301239037073</v>
      </c>
      <c r="T60">
        <v>1.0683930558484569</v>
      </c>
      <c r="U60">
        <v>1.0727560349127803</v>
      </c>
      <c r="V60">
        <v>1.2137481184144505</v>
      </c>
      <c r="W60" s="117">
        <v>0.72850882447287946</v>
      </c>
      <c r="X60" s="117">
        <v>0.72850882447287946</v>
      </c>
      <c r="Y60" s="117">
        <v>25.609417951665602</v>
      </c>
      <c r="Z60" s="117">
        <v>25.609417951665602</v>
      </c>
      <c r="AA60">
        <v>1</v>
      </c>
    </row>
    <row r="61" spans="1:27" x14ac:dyDescent="0.35">
      <c r="A61" t="s">
        <v>266</v>
      </c>
      <c r="B61" t="s">
        <v>267</v>
      </c>
      <c r="C61" t="s">
        <v>177</v>
      </c>
      <c r="D61" t="s">
        <v>178</v>
      </c>
      <c r="E61" t="s">
        <v>164</v>
      </c>
      <c r="F61" t="s">
        <v>129</v>
      </c>
      <c r="G61">
        <v>1.0836929899880243</v>
      </c>
      <c r="H61">
        <v>9.4043281747331005</v>
      </c>
      <c r="I61">
        <v>34.457458432222083</v>
      </c>
      <c r="J61">
        <v>99.291123999999996</v>
      </c>
      <c r="K61">
        <v>1.2214137182566644</v>
      </c>
      <c r="L61">
        <v>1.463955041153655</v>
      </c>
      <c r="M61">
        <v>1.4373801960361747</v>
      </c>
      <c r="N61">
        <v>1.352473943297881</v>
      </c>
      <c r="O61">
        <v>1.4123148574338578</v>
      </c>
      <c r="P61">
        <v>1.5003327843854148</v>
      </c>
      <c r="Q61">
        <v>1.1137228775074144</v>
      </c>
      <c r="R61">
        <v>1.1523297796771568</v>
      </c>
      <c r="S61">
        <v>1.261678755528314</v>
      </c>
      <c r="T61">
        <v>1.2456836932865165</v>
      </c>
      <c r="U61">
        <v>1.2512749062312558</v>
      </c>
      <c r="V61">
        <v>1.4406165004533091</v>
      </c>
      <c r="W61" s="117">
        <v>0.95870349226033713</v>
      </c>
      <c r="X61" s="117">
        <v>0.70189027438755414</v>
      </c>
      <c r="Y61" s="117">
        <v>33.03448573338671</v>
      </c>
      <c r="Z61" s="117">
        <v>24.185354953690098</v>
      </c>
      <c r="AA61">
        <v>1</v>
      </c>
    </row>
    <row r="62" spans="1:27" x14ac:dyDescent="0.35">
      <c r="A62" t="s">
        <v>268</v>
      </c>
      <c r="B62" t="s">
        <v>269</v>
      </c>
      <c r="C62" t="s">
        <v>174</v>
      </c>
      <c r="D62" t="s">
        <v>174</v>
      </c>
      <c r="E62" t="s">
        <v>128</v>
      </c>
      <c r="F62" t="s">
        <v>150</v>
      </c>
      <c r="G62">
        <v>0.65836178483737273</v>
      </c>
      <c r="H62">
        <v>9.4041356345380596</v>
      </c>
      <c r="I62">
        <v>34.456752964947455</v>
      </c>
      <c r="J62">
        <v>211.73453230801283</v>
      </c>
      <c r="K62">
        <v>1.3140408296254169</v>
      </c>
      <c r="L62">
        <v>1.2630931434734716</v>
      </c>
      <c r="M62">
        <v>1.2399370392334121</v>
      </c>
      <c r="N62">
        <v>1.1604438413191878</v>
      </c>
      <c r="O62">
        <v>1.249868777268939</v>
      </c>
      <c r="P62">
        <v>1.3153193954005027</v>
      </c>
      <c r="Q62">
        <v>1.2691639629937483</v>
      </c>
      <c r="R62">
        <v>0.90947003354549738</v>
      </c>
      <c r="S62">
        <v>1.0160301239037073</v>
      </c>
      <c r="T62">
        <v>1.0683930558484569</v>
      </c>
      <c r="U62">
        <v>1.0727560349127803</v>
      </c>
      <c r="V62">
        <v>1.2137481184144505</v>
      </c>
      <c r="W62" s="117">
        <v>0.66619635922452691</v>
      </c>
      <c r="X62" s="117">
        <v>0.66619635922452691</v>
      </c>
      <c r="Y62" s="117">
        <v>22.954963375946917</v>
      </c>
      <c r="Z62" s="117">
        <v>22.954963375946917</v>
      </c>
      <c r="AA62">
        <v>1</v>
      </c>
    </row>
    <row r="63" spans="1:27" x14ac:dyDescent="0.35">
      <c r="A63" t="s">
        <v>270</v>
      </c>
      <c r="B63" t="s">
        <v>271</v>
      </c>
      <c r="C63" t="s">
        <v>183</v>
      </c>
      <c r="D63" t="s">
        <v>149</v>
      </c>
      <c r="E63" t="s">
        <v>145</v>
      </c>
      <c r="F63" t="s">
        <v>129</v>
      </c>
      <c r="G63" t="s">
        <v>149</v>
      </c>
      <c r="H63">
        <v>0.13659321170324301</v>
      </c>
      <c r="I63">
        <v>0.50047752768068243</v>
      </c>
      <c r="J63">
        <v>3.0759683286967689</v>
      </c>
      <c r="K63" t="s">
        <v>149</v>
      </c>
      <c r="L63">
        <v>1.4904316059472853</v>
      </c>
      <c r="M63">
        <v>1.4610847772130751</v>
      </c>
      <c r="N63">
        <v>1.3701392224490256</v>
      </c>
      <c r="O63">
        <v>1.4354696297925016</v>
      </c>
      <c r="P63">
        <v>1.5281407979197132</v>
      </c>
      <c r="Q63" t="s">
        <v>149</v>
      </c>
      <c r="R63">
        <v>1.2095558465202498</v>
      </c>
      <c r="S63">
        <v>1.2971210859341129</v>
      </c>
      <c r="T63">
        <v>1.3393743599143302</v>
      </c>
      <c r="U63">
        <v>1.3313443191676493</v>
      </c>
      <c r="V63">
        <v>1.3335057494131222</v>
      </c>
      <c r="W63" s="117" t="s">
        <v>149</v>
      </c>
      <c r="X63" s="117" t="s">
        <v>149</v>
      </c>
      <c r="Y63" s="117" t="s">
        <v>149</v>
      </c>
      <c r="Z63" s="117" t="s">
        <v>149</v>
      </c>
      <c r="AA63">
        <v>0</v>
      </c>
    </row>
    <row r="64" spans="1:27" x14ac:dyDescent="0.35">
      <c r="A64" t="s">
        <v>272</v>
      </c>
      <c r="B64" t="s">
        <v>273</v>
      </c>
      <c r="C64" t="s">
        <v>155</v>
      </c>
      <c r="D64" t="s">
        <v>156</v>
      </c>
      <c r="E64" t="s">
        <v>123</v>
      </c>
      <c r="F64" t="s">
        <v>124</v>
      </c>
      <c r="G64">
        <v>1.2521639687833588</v>
      </c>
      <c r="H64">
        <v>8.1630716621814603</v>
      </c>
      <c r="I64">
        <v>29.909494570232873</v>
      </c>
      <c r="J64">
        <v>345.29593389867364</v>
      </c>
      <c r="K64">
        <v>1.4311390552424275</v>
      </c>
      <c r="L64">
        <v>1.3504950199107952</v>
      </c>
      <c r="M64">
        <v>1.3502475693421048</v>
      </c>
      <c r="N64">
        <v>1.2064044537607197</v>
      </c>
      <c r="O64">
        <v>1.3336713736554202</v>
      </c>
      <c r="P64">
        <v>1.3958798180271219</v>
      </c>
      <c r="Q64">
        <v>1.39378218396165</v>
      </c>
      <c r="R64">
        <v>1.154133732123878</v>
      </c>
      <c r="S64">
        <v>1.2154822023485663</v>
      </c>
      <c r="T64">
        <v>1.2953811605285075</v>
      </c>
      <c r="U64">
        <v>1.2357210310006459</v>
      </c>
      <c r="V64">
        <v>1.3448954049704989</v>
      </c>
      <c r="W64" s="117">
        <v>0.7273311563526994</v>
      </c>
      <c r="X64" s="117">
        <v>0.7273311563526994</v>
      </c>
      <c r="Y64" s="117">
        <v>21.754107271692259</v>
      </c>
      <c r="Z64" s="117">
        <v>21.754107271692259</v>
      </c>
      <c r="AA64">
        <v>1</v>
      </c>
    </row>
    <row r="65" spans="1:27" x14ac:dyDescent="0.35">
      <c r="A65" t="s">
        <v>274</v>
      </c>
      <c r="B65" t="s">
        <v>275</v>
      </c>
      <c r="C65" t="s">
        <v>244</v>
      </c>
      <c r="D65" t="s">
        <v>149</v>
      </c>
      <c r="E65" t="s">
        <v>164</v>
      </c>
      <c r="F65" t="s">
        <v>129</v>
      </c>
      <c r="G65" t="s">
        <v>149</v>
      </c>
      <c r="H65">
        <v>0.177778946876644</v>
      </c>
      <c r="I65">
        <v>0.65138206135602361</v>
      </c>
      <c r="J65" t="s">
        <v>149</v>
      </c>
      <c r="K65" t="s">
        <v>149</v>
      </c>
      <c r="L65">
        <v>1.4904316059472853</v>
      </c>
      <c r="M65">
        <v>1.4610847772130751</v>
      </c>
      <c r="N65">
        <v>1.3701392224490256</v>
      </c>
      <c r="O65">
        <v>1.4354696297925016</v>
      </c>
      <c r="P65">
        <v>1.5281407979197132</v>
      </c>
      <c r="Q65" t="s">
        <v>149</v>
      </c>
      <c r="R65">
        <v>1.1523297796771568</v>
      </c>
      <c r="S65">
        <v>1.261678755528314</v>
      </c>
      <c r="T65">
        <v>1.2456836932865165</v>
      </c>
      <c r="U65">
        <v>1.2512749062312558</v>
      </c>
      <c r="V65">
        <v>1.4406165004533091</v>
      </c>
      <c r="W65" s="117" t="s">
        <v>149</v>
      </c>
      <c r="X65" s="117" t="s">
        <v>149</v>
      </c>
      <c r="Y65" s="117" t="s">
        <v>149</v>
      </c>
      <c r="Z65" s="117" t="s">
        <v>149</v>
      </c>
      <c r="AA65">
        <v>0</v>
      </c>
    </row>
    <row r="66" spans="1:27" x14ac:dyDescent="0.35">
      <c r="A66" t="s">
        <v>276</v>
      </c>
      <c r="B66" t="s">
        <v>277</v>
      </c>
      <c r="C66" t="s">
        <v>148</v>
      </c>
      <c r="D66" t="s">
        <v>149</v>
      </c>
      <c r="E66" t="s">
        <v>123</v>
      </c>
      <c r="F66" t="s">
        <v>150</v>
      </c>
      <c r="G66" t="s">
        <v>149</v>
      </c>
      <c r="H66" t="s">
        <v>149</v>
      </c>
      <c r="I66" t="s">
        <v>149</v>
      </c>
      <c r="J66">
        <v>5.8440000000000003</v>
      </c>
      <c r="K66" t="s">
        <v>149</v>
      </c>
      <c r="L66">
        <v>1.2385981682627154</v>
      </c>
      <c r="M66">
        <v>1.2157310073334064</v>
      </c>
      <c r="N66">
        <v>1.1641185092236064</v>
      </c>
      <c r="O66">
        <v>1.2237446676811887</v>
      </c>
      <c r="P66">
        <v>1.277363372111487</v>
      </c>
      <c r="Q66" t="s">
        <v>149</v>
      </c>
      <c r="R66">
        <v>1.154133732123878</v>
      </c>
      <c r="S66">
        <v>1.2154822023485663</v>
      </c>
      <c r="T66">
        <v>1.2953811605285075</v>
      </c>
      <c r="U66">
        <v>1.2357210310006459</v>
      </c>
      <c r="V66">
        <v>1.3448954049704989</v>
      </c>
      <c r="W66" s="117" t="s">
        <v>149</v>
      </c>
      <c r="X66" s="117" t="s">
        <v>149</v>
      </c>
      <c r="Y66" s="117" t="s">
        <v>149</v>
      </c>
      <c r="Z66" s="117" t="s">
        <v>149</v>
      </c>
      <c r="AA66">
        <v>0</v>
      </c>
    </row>
    <row r="67" spans="1:27" x14ac:dyDescent="0.35">
      <c r="A67" t="s">
        <v>278</v>
      </c>
      <c r="B67" t="s">
        <v>279</v>
      </c>
      <c r="C67" t="s">
        <v>167</v>
      </c>
      <c r="D67" t="s">
        <v>168</v>
      </c>
      <c r="E67" t="s">
        <v>145</v>
      </c>
      <c r="F67" t="s">
        <v>167</v>
      </c>
      <c r="G67">
        <v>1.4326969272239543</v>
      </c>
      <c r="H67">
        <v>7.5268228564482396</v>
      </c>
      <c r="I67">
        <v>27.578278946026352</v>
      </c>
      <c r="J67">
        <v>42.514151614279626</v>
      </c>
      <c r="K67">
        <v>1.3263572562220902</v>
      </c>
      <c r="L67">
        <v>1.6077455489573553</v>
      </c>
      <c r="M67">
        <v>1.5713688853361574</v>
      </c>
      <c r="N67">
        <v>1.5709609876177122</v>
      </c>
      <c r="O67">
        <v>1.5570990386403414</v>
      </c>
      <c r="P67">
        <v>1.6601798963467151</v>
      </c>
      <c r="Q67">
        <v>1.3070253557120981</v>
      </c>
      <c r="R67">
        <v>1.2095558465202498</v>
      </c>
      <c r="S67">
        <v>1.2971210859341129</v>
      </c>
      <c r="T67">
        <v>1.3393743599143302</v>
      </c>
      <c r="U67">
        <v>1.3313443191676493</v>
      </c>
      <c r="V67">
        <v>1.3335057494131222</v>
      </c>
      <c r="W67" s="117">
        <v>1.8174847345498748</v>
      </c>
      <c r="X67" s="117">
        <v>0.89820560095646895</v>
      </c>
      <c r="Y67" s="117">
        <v>50.123100989561102</v>
      </c>
      <c r="Z67" s="117">
        <v>24.770964614060734</v>
      </c>
      <c r="AA67">
        <v>1</v>
      </c>
    </row>
    <row r="68" spans="1:27" x14ac:dyDescent="0.35">
      <c r="A68" t="s">
        <v>280</v>
      </c>
      <c r="B68" t="s">
        <v>281</v>
      </c>
      <c r="C68" t="s">
        <v>177</v>
      </c>
      <c r="D68" t="s">
        <v>178</v>
      </c>
      <c r="E68" t="s">
        <v>164</v>
      </c>
      <c r="F68" t="s">
        <v>129</v>
      </c>
      <c r="G68">
        <v>1.6732181012069667</v>
      </c>
      <c r="H68">
        <v>7.1997366988918303</v>
      </c>
      <c r="I68">
        <v>26.379835264739668</v>
      </c>
      <c r="J68">
        <v>78.844702329078544</v>
      </c>
      <c r="K68">
        <v>1.2214137182566644</v>
      </c>
      <c r="L68">
        <v>1.4970866094245148</v>
      </c>
      <c r="M68">
        <v>1.4745376733023781</v>
      </c>
      <c r="N68">
        <v>1.3689608132878841</v>
      </c>
      <c r="O68">
        <v>1.4435448601105449</v>
      </c>
      <c r="P68">
        <v>1.5197198434561152</v>
      </c>
      <c r="Q68">
        <v>1.1137228775074144</v>
      </c>
      <c r="R68">
        <v>1.1523297796771568</v>
      </c>
      <c r="S68">
        <v>1.261678755528314</v>
      </c>
      <c r="T68">
        <v>1.2456836932865165</v>
      </c>
      <c r="U68">
        <v>1.2512749062312558</v>
      </c>
      <c r="V68">
        <v>1.4406165004533091</v>
      </c>
      <c r="W68" s="117">
        <v>1.1374958848467005</v>
      </c>
      <c r="X68" s="117">
        <v>0.91695491640007709</v>
      </c>
      <c r="Y68" s="117">
        <v>30.006954056575243</v>
      </c>
      <c r="Z68" s="117">
        <v>24.189119639827169</v>
      </c>
      <c r="AA68">
        <v>1</v>
      </c>
    </row>
    <row r="69" spans="1:27" x14ac:dyDescent="0.35">
      <c r="A69" t="s">
        <v>282</v>
      </c>
      <c r="B69" t="s">
        <v>283</v>
      </c>
      <c r="C69" t="s">
        <v>143</v>
      </c>
      <c r="D69" t="s">
        <v>144</v>
      </c>
      <c r="E69" t="s">
        <v>145</v>
      </c>
      <c r="F69" t="s">
        <v>143</v>
      </c>
      <c r="G69">
        <v>4.9951718440837931</v>
      </c>
      <c r="H69">
        <v>6.8073577203527798</v>
      </c>
      <c r="I69">
        <v>24.942158687372586</v>
      </c>
      <c r="J69">
        <v>43.697659295774649</v>
      </c>
      <c r="K69">
        <v>1.1944928429090393</v>
      </c>
      <c r="L69">
        <v>1.7707938009502617</v>
      </c>
      <c r="M69">
        <v>1.7439772513498573</v>
      </c>
      <c r="N69">
        <v>1.6896676128975483</v>
      </c>
      <c r="O69">
        <v>1.7373172333672524</v>
      </c>
      <c r="P69">
        <v>1.853837223058372</v>
      </c>
      <c r="Q69">
        <v>1.1620756490513198</v>
      </c>
      <c r="R69">
        <v>1.2095558465202498</v>
      </c>
      <c r="S69">
        <v>1.2971210859341129</v>
      </c>
      <c r="T69">
        <v>1.3393743599143302</v>
      </c>
      <c r="U69">
        <v>1.3313443191676493</v>
      </c>
      <c r="V69">
        <v>1.3335057494131222</v>
      </c>
      <c r="W69" s="117">
        <v>1.4838078243664046</v>
      </c>
      <c r="X69" s="117">
        <v>1.1080535912347445</v>
      </c>
      <c r="Y69" s="117">
        <v>37.009370216911933</v>
      </c>
      <c r="Z69" s="117">
        <v>27.637248506690074</v>
      </c>
      <c r="AA69">
        <v>1</v>
      </c>
    </row>
    <row r="70" spans="1:27" x14ac:dyDescent="0.35">
      <c r="A70" t="s">
        <v>284</v>
      </c>
      <c r="B70" t="s">
        <v>285</v>
      </c>
      <c r="C70" t="s">
        <v>132</v>
      </c>
      <c r="D70" t="s">
        <v>149</v>
      </c>
      <c r="E70" t="s">
        <v>128</v>
      </c>
      <c r="F70" t="s">
        <v>132</v>
      </c>
      <c r="G70" t="s">
        <v>149</v>
      </c>
      <c r="H70" t="s">
        <v>149</v>
      </c>
      <c r="I70" t="s">
        <v>149</v>
      </c>
      <c r="J70" t="s">
        <v>149</v>
      </c>
      <c r="K70" t="s">
        <v>149</v>
      </c>
      <c r="L70">
        <v>1.2067690036967176</v>
      </c>
      <c r="M70">
        <v>1.1866174178280724</v>
      </c>
      <c r="N70">
        <v>1.1300269287366023</v>
      </c>
      <c r="O70">
        <v>1.1919270064378424</v>
      </c>
      <c r="P70">
        <v>1.2529274166703845</v>
      </c>
      <c r="Q70" t="s">
        <v>149</v>
      </c>
      <c r="R70">
        <v>0.90947003354549738</v>
      </c>
      <c r="S70">
        <v>1.0160301239037073</v>
      </c>
      <c r="T70">
        <v>1.0683930558484569</v>
      </c>
      <c r="U70">
        <v>1.0727560349127803</v>
      </c>
      <c r="V70">
        <v>1.2137481184144505</v>
      </c>
      <c r="W70" s="117" t="s">
        <v>149</v>
      </c>
      <c r="X70" s="117" t="s">
        <v>149</v>
      </c>
      <c r="Y70" s="117" t="s">
        <v>149</v>
      </c>
      <c r="Z70" s="117" t="s">
        <v>149</v>
      </c>
      <c r="AA70">
        <v>0</v>
      </c>
    </row>
    <row r="71" spans="1:27" x14ac:dyDescent="0.35">
      <c r="A71" t="s">
        <v>286</v>
      </c>
      <c r="B71" t="s">
        <v>287</v>
      </c>
      <c r="C71" t="s">
        <v>171</v>
      </c>
      <c r="D71" t="s">
        <v>144</v>
      </c>
      <c r="E71" t="s">
        <v>145</v>
      </c>
      <c r="F71" t="s">
        <v>124</v>
      </c>
      <c r="G71">
        <v>4.1750136627441181</v>
      </c>
      <c r="H71">
        <v>6.6798982805330001</v>
      </c>
      <c r="I71">
        <v>24.475147299872912</v>
      </c>
      <c r="J71">
        <v>25.948915861198483</v>
      </c>
      <c r="K71">
        <v>1.1944928429090393</v>
      </c>
      <c r="L71">
        <v>1.6075990253515033</v>
      </c>
      <c r="M71">
        <v>1.5477783159783653</v>
      </c>
      <c r="N71">
        <v>1.4279094998340851</v>
      </c>
      <c r="O71">
        <v>1.5230249577532384</v>
      </c>
      <c r="P71">
        <v>1.6751514690397891</v>
      </c>
      <c r="Q71">
        <v>1.1620756490513198</v>
      </c>
      <c r="R71">
        <v>1.2095558465202498</v>
      </c>
      <c r="S71">
        <v>1.2971210859341129</v>
      </c>
      <c r="T71">
        <v>1.3393743599143302</v>
      </c>
      <c r="U71">
        <v>1.3313443191676493</v>
      </c>
      <c r="V71">
        <v>1.3335057494131222</v>
      </c>
      <c r="W71" s="117">
        <v>1.2387738930286094</v>
      </c>
      <c r="X71" s="117">
        <v>1.0842292270507488</v>
      </c>
      <c r="Y71" s="117">
        <v>30.319173503112225</v>
      </c>
      <c r="Z71" s="117">
        <v>26.536670038894428</v>
      </c>
      <c r="AA71">
        <v>1</v>
      </c>
    </row>
    <row r="72" spans="1:27" x14ac:dyDescent="0.35">
      <c r="A72" t="s">
        <v>288</v>
      </c>
      <c r="B72" t="s">
        <v>289</v>
      </c>
      <c r="C72" t="s">
        <v>188</v>
      </c>
      <c r="D72" t="s">
        <v>156</v>
      </c>
      <c r="E72" t="s">
        <v>123</v>
      </c>
      <c r="F72" t="s">
        <v>124</v>
      </c>
      <c r="G72">
        <v>1.8948031956455125</v>
      </c>
      <c r="H72">
        <v>5.92349352553095</v>
      </c>
      <c r="I72">
        <v>21.703680277545402</v>
      </c>
      <c r="J72">
        <v>80.969683537454088</v>
      </c>
      <c r="K72">
        <v>1.4311390552424275</v>
      </c>
      <c r="L72">
        <v>1.8087885513950135</v>
      </c>
      <c r="M72">
        <v>1.7614997695097183</v>
      </c>
      <c r="N72">
        <v>1.5385743798070441</v>
      </c>
      <c r="O72">
        <v>1.726406152980013</v>
      </c>
      <c r="P72">
        <v>1.8565961132056854</v>
      </c>
      <c r="Q72">
        <v>1.39378218396165</v>
      </c>
      <c r="R72">
        <v>1.154133732123878</v>
      </c>
      <c r="S72">
        <v>1.2154822023485663</v>
      </c>
      <c r="T72">
        <v>1.2953811605285075</v>
      </c>
      <c r="U72">
        <v>1.2357210310006459</v>
      </c>
      <c r="V72">
        <v>1.3448954049704989</v>
      </c>
      <c r="W72" s="117">
        <v>1.2494013661230949</v>
      </c>
      <c r="X72" s="117">
        <v>1.1076227248753345</v>
      </c>
      <c r="Y72" s="117">
        <v>27.116607788664098</v>
      </c>
      <c r="Z72" s="117">
        <v>24.039489488837894</v>
      </c>
      <c r="AA72">
        <v>1</v>
      </c>
    </row>
    <row r="73" spans="1:27" x14ac:dyDescent="0.35">
      <c r="A73" t="s">
        <v>290</v>
      </c>
      <c r="B73" t="s">
        <v>291</v>
      </c>
      <c r="C73" t="s">
        <v>177</v>
      </c>
      <c r="D73" t="s">
        <v>178</v>
      </c>
      <c r="E73" t="s">
        <v>164</v>
      </c>
      <c r="F73" t="s">
        <v>129</v>
      </c>
      <c r="G73">
        <v>1.846312673122076</v>
      </c>
      <c r="H73">
        <v>5.74989033176068</v>
      </c>
      <c r="I73">
        <v>21.067598175571131</v>
      </c>
      <c r="J73">
        <v>36.629843806078149</v>
      </c>
      <c r="K73">
        <v>1.2214137182566644</v>
      </c>
      <c r="L73">
        <v>1.6579318845559607</v>
      </c>
      <c r="M73">
        <v>1.6246181448862613</v>
      </c>
      <c r="N73">
        <v>1.5393784570152895</v>
      </c>
      <c r="O73">
        <v>1.6232708041875565</v>
      </c>
      <c r="P73">
        <v>1.6897605086290628</v>
      </c>
      <c r="Q73">
        <v>1.1137228775074144</v>
      </c>
      <c r="R73">
        <v>1.1523297796771568</v>
      </c>
      <c r="S73">
        <v>1.261678755528314</v>
      </c>
      <c r="T73">
        <v>1.2456836932865165</v>
      </c>
      <c r="U73">
        <v>1.2512749062312558</v>
      </c>
      <c r="V73">
        <v>1.4406165004533091</v>
      </c>
      <c r="W73" s="117">
        <v>1.5230877309343285</v>
      </c>
      <c r="X73" s="117">
        <v>1.5230877309343285</v>
      </c>
      <c r="Y73" s="117">
        <v>32.087800301466835</v>
      </c>
      <c r="Z73" s="117">
        <v>32.087800301466835</v>
      </c>
      <c r="AA73">
        <v>1</v>
      </c>
    </row>
    <row r="74" spans="1:27" x14ac:dyDescent="0.35">
      <c r="A74" t="s">
        <v>292</v>
      </c>
      <c r="B74" t="s">
        <v>293</v>
      </c>
      <c r="C74" t="s">
        <v>132</v>
      </c>
      <c r="D74" t="s">
        <v>199</v>
      </c>
      <c r="E74" t="s">
        <v>128</v>
      </c>
      <c r="F74" t="s">
        <v>132</v>
      </c>
      <c r="G74">
        <v>3.4970398160812275</v>
      </c>
      <c r="H74">
        <v>5.7131410482770804</v>
      </c>
      <c r="I74">
        <v>20.932948800887225</v>
      </c>
      <c r="J74">
        <v>19.955120004660376</v>
      </c>
      <c r="K74">
        <v>1.1764228653088502</v>
      </c>
      <c r="L74">
        <v>1.2067690036967176</v>
      </c>
      <c r="M74">
        <v>1.1866174178280724</v>
      </c>
      <c r="N74">
        <v>1.1300269287366023</v>
      </c>
      <c r="O74">
        <v>1.1919270064378424</v>
      </c>
      <c r="P74">
        <v>1.2529274166703845</v>
      </c>
      <c r="Q74">
        <v>1.234033450224737</v>
      </c>
      <c r="R74">
        <v>0.90947003354549738</v>
      </c>
      <c r="S74">
        <v>1.0160301239037073</v>
      </c>
      <c r="T74">
        <v>1.0683930558484569</v>
      </c>
      <c r="U74">
        <v>1.0727560349127803</v>
      </c>
      <c r="V74">
        <v>1.2137481184144505</v>
      </c>
      <c r="W74" s="117">
        <v>0.74797279246376014</v>
      </c>
      <c r="X74" s="117">
        <v>0.71277261916932666</v>
      </c>
      <c r="Y74" s="117">
        <v>15.657276169100538</v>
      </c>
      <c r="Z74" s="117">
        <v>14.920432743745803</v>
      </c>
      <c r="AA74">
        <v>1</v>
      </c>
    </row>
    <row r="75" spans="1:27" x14ac:dyDescent="0.35">
      <c r="A75" t="s">
        <v>294</v>
      </c>
      <c r="B75" t="s">
        <v>295</v>
      </c>
      <c r="C75" t="s">
        <v>155</v>
      </c>
      <c r="D75" t="s">
        <v>156</v>
      </c>
      <c r="E75" t="s">
        <v>123</v>
      </c>
      <c r="F75" t="s">
        <v>124</v>
      </c>
      <c r="G75">
        <v>1.2470119665746917</v>
      </c>
      <c r="H75">
        <v>5.5916487586139398</v>
      </c>
      <c r="I75">
        <v>20.487801051561476</v>
      </c>
      <c r="J75">
        <v>18.981800705079376</v>
      </c>
      <c r="K75">
        <v>1.4311390552424275</v>
      </c>
      <c r="L75">
        <v>2.0296271411120403</v>
      </c>
      <c r="M75">
        <v>1.9316060191224753</v>
      </c>
      <c r="N75">
        <v>1.6983616501964178</v>
      </c>
      <c r="O75">
        <v>1.8445328013429623</v>
      </c>
      <c r="P75">
        <v>2.1098824387060988</v>
      </c>
      <c r="Q75">
        <v>1.39378218396165</v>
      </c>
      <c r="R75">
        <v>1.154133732123878</v>
      </c>
      <c r="S75">
        <v>1.2154822023485663</v>
      </c>
      <c r="T75">
        <v>1.2953811605285075</v>
      </c>
      <c r="U75">
        <v>1.2357210310006459</v>
      </c>
      <c r="V75">
        <v>1.3448954049704989</v>
      </c>
      <c r="W75" s="117">
        <v>0.89729666023982035</v>
      </c>
      <c r="X75" s="117">
        <v>0.89729666023982035</v>
      </c>
      <c r="Y75" s="117">
        <v>18.383635459223992</v>
      </c>
      <c r="Z75" s="117">
        <v>18.383635459223992</v>
      </c>
      <c r="AA75">
        <v>1</v>
      </c>
    </row>
    <row r="76" spans="1:27" x14ac:dyDescent="0.35">
      <c r="A76" t="s">
        <v>296</v>
      </c>
      <c r="B76" t="s">
        <v>297</v>
      </c>
      <c r="C76" t="s">
        <v>298</v>
      </c>
      <c r="D76" t="s">
        <v>168</v>
      </c>
      <c r="E76" t="s">
        <v>145</v>
      </c>
      <c r="F76" t="s">
        <v>167</v>
      </c>
      <c r="G76">
        <v>1.1739061693301771</v>
      </c>
      <c r="H76">
        <v>5.5337696202614302</v>
      </c>
      <c r="I76">
        <v>20.275731888637882</v>
      </c>
      <c r="J76">
        <v>53.619071176139009</v>
      </c>
      <c r="K76">
        <v>1.3263572562220902</v>
      </c>
      <c r="L76">
        <v>1.5963240717558658</v>
      </c>
      <c r="M76">
        <v>1.5284720537489731</v>
      </c>
      <c r="N76">
        <v>1.3785984406327738</v>
      </c>
      <c r="O76">
        <v>1.5276666559417871</v>
      </c>
      <c r="P76">
        <v>1.6721470135847669</v>
      </c>
      <c r="Q76">
        <v>1.3070253557120981</v>
      </c>
      <c r="R76">
        <v>1.2095558465202498</v>
      </c>
      <c r="S76">
        <v>1.2971210859341129</v>
      </c>
      <c r="T76">
        <v>1.3393743599143302</v>
      </c>
      <c r="U76">
        <v>1.3313443191676493</v>
      </c>
      <c r="V76">
        <v>1.3335057494131222</v>
      </c>
      <c r="W76" s="117">
        <v>0.93376297843587652</v>
      </c>
      <c r="X76" s="117">
        <v>0.78150149628818011</v>
      </c>
      <c r="Y76" s="117">
        <v>18.932727798301787</v>
      </c>
      <c r="Z76" s="117">
        <v>15.845514809308472</v>
      </c>
      <c r="AA76">
        <v>1</v>
      </c>
    </row>
    <row r="77" spans="1:27" x14ac:dyDescent="0.35">
      <c r="A77" t="s">
        <v>299</v>
      </c>
      <c r="B77" t="s">
        <v>300</v>
      </c>
      <c r="C77" t="s">
        <v>132</v>
      </c>
      <c r="D77" t="s">
        <v>149</v>
      </c>
      <c r="E77" t="s">
        <v>128</v>
      </c>
      <c r="F77" t="s">
        <v>132</v>
      </c>
      <c r="G77" t="s">
        <v>149</v>
      </c>
      <c r="H77" t="s">
        <v>149</v>
      </c>
      <c r="I77" t="s">
        <v>149</v>
      </c>
      <c r="J77" t="s">
        <v>149</v>
      </c>
      <c r="K77" t="s">
        <v>149</v>
      </c>
      <c r="L77">
        <v>1.2067690036967176</v>
      </c>
      <c r="M77">
        <v>1.1866174178280724</v>
      </c>
      <c r="N77">
        <v>1.1300269287366023</v>
      </c>
      <c r="O77">
        <v>1.1919270064378424</v>
      </c>
      <c r="P77">
        <v>1.2529274166703845</v>
      </c>
      <c r="Q77" t="s">
        <v>149</v>
      </c>
      <c r="R77">
        <v>0.90947003354549738</v>
      </c>
      <c r="S77">
        <v>1.0160301239037073</v>
      </c>
      <c r="T77">
        <v>1.0683930558484569</v>
      </c>
      <c r="U77">
        <v>1.0727560349127803</v>
      </c>
      <c r="V77">
        <v>1.2137481184144505</v>
      </c>
      <c r="W77" s="117" t="s">
        <v>149</v>
      </c>
      <c r="X77" s="117" t="s">
        <v>149</v>
      </c>
      <c r="Y77" s="117" t="s">
        <v>149</v>
      </c>
      <c r="Z77" s="117" t="s">
        <v>149</v>
      </c>
      <c r="AA77">
        <v>0</v>
      </c>
    </row>
    <row r="78" spans="1:27" x14ac:dyDescent="0.35">
      <c r="A78" t="s">
        <v>301</v>
      </c>
      <c r="B78" t="s">
        <v>302</v>
      </c>
      <c r="C78" t="s">
        <v>167</v>
      </c>
      <c r="D78" t="s">
        <v>168</v>
      </c>
      <c r="E78" t="s">
        <v>145</v>
      </c>
      <c r="F78" t="s">
        <v>167</v>
      </c>
      <c r="G78">
        <v>3.3580618877049448</v>
      </c>
      <c r="H78">
        <v>5.36417880620521</v>
      </c>
      <c r="I78">
        <v>19.654351145935891</v>
      </c>
      <c r="J78">
        <v>70.043199813688531</v>
      </c>
      <c r="K78">
        <v>1.3263572562220902</v>
      </c>
      <c r="L78">
        <v>2.0979296596808372</v>
      </c>
      <c r="M78">
        <v>2.0136520356178611</v>
      </c>
      <c r="N78">
        <v>1.7093478279150662</v>
      </c>
      <c r="O78">
        <v>1.9043674208763655</v>
      </c>
      <c r="P78">
        <v>2.1813285449614694</v>
      </c>
      <c r="Q78">
        <v>1.3070253557120981</v>
      </c>
      <c r="R78">
        <v>1.2095558465202498</v>
      </c>
      <c r="S78">
        <v>1.2971210859341129</v>
      </c>
      <c r="T78">
        <v>1.3393743599143302</v>
      </c>
      <c r="U78">
        <v>1.3313443191676493</v>
      </c>
      <c r="V78">
        <v>1.3335057494131222</v>
      </c>
      <c r="W78" s="117">
        <v>1.6356756044978857</v>
      </c>
      <c r="X78" s="117">
        <v>1.4250231777516125</v>
      </c>
      <c r="Y78" s="117">
        <v>32.148142691642398</v>
      </c>
      <c r="Z78" s="117">
        <v>28.007905926627611</v>
      </c>
      <c r="AA78">
        <v>1</v>
      </c>
    </row>
    <row r="79" spans="1:27" x14ac:dyDescent="0.35">
      <c r="A79" t="s">
        <v>303</v>
      </c>
      <c r="B79" t="s">
        <v>304</v>
      </c>
      <c r="C79" t="s">
        <v>155</v>
      </c>
      <c r="D79" t="s">
        <v>156</v>
      </c>
      <c r="E79" t="s">
        <v>123</v>
      </c>
      <c r="F79" t="s">
        <v>124</v>
      </c>
      <c r="G79">
        <v>2.7252013767738013</v>
      </c>
      <c r="H79">
        <v>5.1046079890792901</v>
      </c>
      <c r="I79">
        <v>18.703283671986519</v>
      </c>
      <c r="J79">
        <v>25.872798012193755</v>
      </c>
      <c r="K79">
        <v>1.4311390552424275</v>
      </c>
      <c r="L79">
        <v>1.9197494835248701</v>
      </c>
      <c r="M79">
        <v>1.8266929962428891</v>
      </c>
      <c r="N79">
        <v>1.6384628905057175</v>
      </c>
      <c r="O79">
        <v>1.6979149740520523</v>
      </c>
      <c r="P79">
        <v>1.9859439222738493</v>
      </c>
      <c r="Q79">
        <v>1.39378218396165</v>
      </c>
      <c r="R79">
        <v>1.154133732123878</v>
      </c>
      <c r="S79">
        <v>1.2154822023485663</v>
      </c>
      <c r="T79">
        <v>1.2953811605285075</v>
      </c>
      <c r="U79">
        <v>1.2357210310006459</v>
      </c>
      <c r="V79">
        <v>1.3448954049704989</v>
      </c>
      <c r="W79" s="117">
        <v>1.6366449942320886</v>
      </c>
      <c r="X79" s="117">
        <v>1.1259342055372159</v>
      </c>
      <c r="Y79" s="117">
        <v>30.610635597459495</v>
      </c>
      <c r="Z79" s="117">
        <v>21.058666842155322</v>
      </c>
      <c r="AA79">
        <v>1</v>
      </c>
    </row>
    <row r="80" spans="1:27" x14ac:dyDescent="0.35">
      <c r="A80" t="s">
        <v>305</v>
      </c>
      <c r="B80" t="s">
        <v>306</v>
      </c>
      <c r="C80" t="s">
        <v>167</v>
      </c>
      <c r="D80" t="s">
        <v>168</v>
      </c>
      <c r="E80" t="s">
        <v>145</v>
      </c>
      <c r="F80" t="s">
        <v>167</v>
      </c>
      <c r="G80">
        <v>2.9821849453575018</v>
      </c>
      <c r="H80">
        <v>4.9879464126366502</v>
      </c>
      <c r="I80">
        <v>18.275835655900686</v>
      </c>
      <c r="J80">
        <v>100.66654266571975</v>
      </c>
      <c r="K80">
        <v>1.3263572562220902</v>
      </c>
      <c r="L80">
        <v>1.822465136135637</v>
      </c>
      <c r="M80">
        <v>1.732238414357423</v>
      </c>
      <c r="N80">
        <v>1.625699819132387</v>
      </c>
      <c r="O80">
        <v>1.6504389939139021</v>
      </c>
      <c r="P80">
        <v>1.8888622033605165</v>
      </c>
      <c r="Q80">
        <v>1.3070253557120981</v>
      </c>
      <c r="R80">
        <v>1.2095558465202498</v>
      </c>
      <c r="S80">
        <v>1.2971210859341129</v>
      </c>
      <c r="T80">
        <v>1.3393743599143302</v>
      </c>
      <c r="U80">
        <v>1.3313443191676493</v>
      </c>
      <c r="V80">
        <v>1.3335057494131222</v>
      </c>
      <c r="W80" s="117">
        <v>1.5664972014066689</v>
      </c>
      <c r="X80" s="117">
        <v>1.1723881517838088</v>
      </c>
      <c r="Y80" s="117">
        <v>28.629045408336637</v>
      </c>
      <c r="Z80" s="117">
        <v>21.426373186926039</v>
      </c>
      <c r="AA80">
        <v>1</v>
      </c>
    </row>
    <row r="81" spans="1:27" x14ac:dyDescent="0.35">
      <c r="A81" t="s">
        <v>307</v>
      </c>
      <c r="B81" t="s">
        <v>308</v>
      </c>
      <c r="C81" t="s">
        <v>177</v>
      </c>
      <c r="D81" t="s">
        <v>178</v>
      </c>
      <c r="E81" t="s">
        <v>164</v>
      </c>
      <c r="F81" t="s">
        <v>129</v>
      </c>
      <c r="G81">
        <v>2.2881194660552753</v>
      </c>
      <c r="H81">
        <v>4.8022867311649202</v>
      </c>
      <c r="I81">
        <v>17.595578582988267</v>
      </c>
      <c r="J81">
        <v>77.604632620647266</v>
      </c>
      <c r="K81">
        <v>1.2214137182566644</v>
      </c>
      <c r="L81">
        <v>1.5365066732899422</v>
      </c>
      <c r="M81">
        <v>1.4830073958208669</v>
      </c>
      <c r="N81">
        <v>1.454856850954938</v>
      </c>
      <c r="O81">
        <v>1.4052063622467872</v>
      </c>
      <c r="P81">
        <v>1.5711559849968426</v>
      </c>
      <c r="Q81">
        <v>1.1137228775074144</v>
      </c>
      <c r="R81">
        <v>1.1523297796771568</v>
      </c>
      <c r="S81">
        <v>1.261678755528314</v>
      </c>
      <c r="T81">
        <v>1.2456836932865165</v>
      </c>
      <c r="U81">
        <v>1.2512749062312558</v>
      </c>
      <c r="V81">
        <v>1.4406165004533091</v>
      </c>
      <c r="W81" s="117">
        <v>1.6358827363613155</v>
      </c>
      <c r="X81" s="117">
        <v>1.4309014598044312</v>
      </c>
      <c r="Y81" s="117">
        <v>28.784303240199407</v>
      </c>
      <c r="Z81" s="117">
        <v>25.177539080501496</v>
      </c>
      <c r="AA81">
        <v>1</v>
      </c>
    </row>
    <row r="82" spans="1:27" x14ac:dyDescent="0.35">
      <c r="A82" t="s">
        <v>309</v>
      </c>
      <c r="B82" t="s">
        <v>310</v>
      </c>
      <c r="C82" t="s">
        <v>167</v>
      </c>
      <c r="D82" t="s">
        <v>168</v>
      </c>
      <c r="E82" t="s">
        <v>145</v>
      </c>
      <c r="F82" t="s">
        <v>167</v>
      </c>
      <c r="G82">
        <v>3.201301976858562</v>
      </c>
      <c r="H82">
        <v>4.6508602242449602</v>
      </c>
      <c r="I82">
        <v>17.040751861633535</v>
      </c>
      <c r="J82">
        <v>107.65773439244585</v>
      </c>
      <c r="K82">
        <v>1.3263572562220902</v>
      </c>
      <c r="L82">
        <v>1.991703124625734</v>
      </c>
      <c r="M82">
        <v>1.8880682940212914</v>
      </c>
      <c r="N82">
        <v>1.6893247888130589</v>
      </c>
      <c r="O82">
        <v>1.7719683166723696</v>
      </c>
      <c r="P82">
        <v>2.0866175231152391</v>
      </c>
      <c r="Q82">
        <v>1.3070253557120981</v>
      </c>
      <c r="R82">
        <v>1.2095558465202498</v>
      </c>
      <c r="S82">
        <v>1.2971210859341129</v>
      </c>
      <c r="T82">
        <v>1.3393743599143302</v>
      </c>
      <c r="U82">
        <v>1.3313443191676493</v>
      </c>
      <c r="V82">
        <v>1.3335057494131222</v>
      </c>
      <c r="W82" s="117">
        <v>1.4312929635511333</v>
      </c>
      <c r="X82" s="117">
        <v>1.276411217069755</v>
      </c>
      <c r="Y82" s="117">
        <v>24.390308233176953</v>
      </c>
      <c r="Z82" s="117">
        <v>21.751006823491352</v>
      </c>
      <c r="AA82">
        <v>1</v>
      </c>
    </row>
    <row r="83" spans="1:27" x14ac:dyDescent="0.35">
      <c r="A83" t="s">
        <v>311</v>
      </c>
      <c r="B83" t="s">
        <v>312</v>
      </c>
      <c r="C83" t="s">
        <v>188</v>
      </c>
      <c r="D83" t="s">
        <v>156</v>
      </c>
      <c r="E83" t="s">
        <v>123</v>
      </c>
      <c r="F83" t="s">
        <v>124</v>
      </c>
      <c r="G83">
        <v>3.2763043446622131</v>
      </c>
      <c r="H83">
        <v>3.8058116764274201</v>
      </c>
      <c r="I83">
        <v>13.944493982430068</v>
      </c>
      <c r="J83">
        <v>33.433670511936363</v>
      </c>
      <c r="K83">
        <v>1.4311390552424275</v>
      </c>
      <c r="L83">
        <v>1.7195614227274498</v>
      </c>
      <c r="M83">
        <v>1.6240397240225755</v>
      </c>
      <c r="N83">
        <v>1.5353898439311913</v>
      </c>
      <c r="O83">
        <v>1.5368699558576204</v>
      </c>
      <c r="P83">
        <v>1.7997175356399142</v>
      </c>
      <c r="Q83">
        <v>1.39378218396165</v>
      </c>
      <c r="R83">
        <v>1.154133732123878</v>
      </c>
      <c r="S83">
        <v>1.2154822023485663</v>
      </c>
      <c r="T83">
        <v>1.2953811605285075</v>
      </c>
      <c r="U83">
        <v>1.2357210310006459</v>
      </c>
      <c r="V83">
        <v>1.3448954049704989</v>
      </c>
      <c r="W83" s="117">
        <v>1.2313814609244613</v>
      </c>
      <c r="X83" s="117">
        <v>1.2313814609244613</v>
      </c>
      <c r="Y83" s="117">
        <v>17.170991371937095</v>
      </c>
      <c r="Z83" s="117">
        <v>17.170991371937095</v>
      </c>
      <c r="AA83">
        <v>1</v>
      </c>
    </row>
    <row r="84" spans="1:27" x14ac:dyDescent="0.35">
      <c r="A84" t="s">
        <v>313</v>
      </c>
      <c r="B84" t="s">
        <v>314</v>
      </c>
      <c r="C84" t="s">
        <v>167</v>
      </c>
      <c r="D84" t="s">
        <v>168</v>
      </c>
      <c r="E84" t="s">
        <v>145</v>
      </c>
      <c r="F84" t="s">
        <v>167</v>
      </c>
      <c r="G84">
        <v>4.8086595970270896</v>
      </c>
      <c r="H84">
        <v>3.4781321088488801</v>
      </c>
      <c r="I84">
        <v>12.743876046822297</v>
      </c>
      <c r="J84">
        <v>24.493157583228221</v>
      </c>
      <c r="K84">
        <v>1.3263572562220902</v>
      </c>
      <c r="L84">
        <v>1.7425056026033656</v>
      </c>
      <c r="M84">
        <v>1.673167946262363</v>
      </c>
      <c r="N84">
        <v>1.621657218090395</v>
      </c>
      <c r="O84">
        <v>1.6074934428803378</v>
      </c>
      <c r="P84">
        <v>1.7924852131164424</v>
      </c>
      <c r="Q84">
        <v>1.3070253557120981</v>
      </c>
      <c r="R84">
        <v>1.2095558465202498</v>
      </c>
      <c r="S84">
        <v>1.2971210859341129</v>
      </c>
      <c r="T84">
        <v>1.3393743599143302</v>
      </c>
      <c r="U84">
        <v>1.3313443191676493</v>
      </c>
      <c r="V84">
        <v>1.3335057494131222</v>
      </c>
      <c r="W84" s="117">
        <v>1.4305110867054733</v>
      </c>
      <c r="X84" s="117">
        <v>1.0960668581516007</v>
      </c>
      <c r="Y84" s="117">
        <v>18.230255972579616</v>
      </c>
      <c r="Z84" s="117">
        <v>13.968140179313956</v>
      </c>
      <c r="AA84">
        <v>1</v>
      </c>
    </row>
    <row r="85" spans="1:27" x14ac:dyDescent="0.35">
      <c r="A85" t="s">
        <v>315</v>
      </c>
      <c r="B85" t="s">
        <v>316</v>
      </c>
      <c r="C85" t="s">
        <v>167</v>
      </c>
      <c r="D85" t="s">
        <v>168</v>
      </c>
      <c r="E85" t="s">
        <v>123</v>
      </c>
      <c r="F85" t="s">
        <v>167</v>
      </c>
      <c r="G85">
        <v>4.4069917476517597</v>
      </c>
      <c r="H85">
        <v>3.35539836684445</v>
      </c>
      <c r="I85">
        <v>12.294179616118065</v>
      </c>
      <c r="J85">
        <v>62.409709110953784</v>
      </c>
      <c r="K85">
        <v>1.3263572562220902</v>
      </c>
      <c r="L85">
        <v>2.0106251980038574</v>
      </c>
      <c r="M85">
        <v>1.9493296972871639</v>
      </c>
      <c r="N85">
        <v>1.8124018298604763</v>
      </c>
      <c r="O85">
        <v>1.8402951754268988</v>
      </c>
      <c r="P85">
        <v>2.0968076397656472</v>
      </c>
      <c r="Q85">
        <v>1.3070253557120981</v>
      </c>
      <c r="R85">
        <v>1.154133732123878</v>
      </c>
      <c r="S85">
        <v>1.2154822023485663</v>
      </c>
      <c r="T85">
        <v>1.2953811605285075</v>
      </c>
      <c r="U85">
        <v>1.2357210310006459</v>
      </c>
      <c r="V85">
        <v>1.3448954049704989</v>
      </c>
      <c r="W85" s="117">
        <v>1.5019183252702999</v>
      </c>
      <c r="X85" s="117">
        <v>1.2903848095735253</v>
      </c>
      <c r="Y85" s="117">
        <v>18.464853659612302</v>
      </c>
      <c r="Z85" s="117">
        <v>15.864222622807226</v>
      </c>
      <c r="AA85">
        <v>1</v>
      </c>
    </row>
    <row r="86" spans="1:27" x14ac:dyDescent="0.35">
      <c r="A86" t="s">
        <v>317</v>
      </c>
      <c r="B86" t="s">
        <v>318</v>
      </c>
      <c r="C86" t="s">
        <v>155</v>
      </c>
      <c r="D86" t="s">
        <v>156</v>
      </c>
      <c r="E86" t="s">
        <v>123</v>
      </c>
      <c r="F86" t="s">
        <v>124</v>
      </c>
      <c r="G86">
        <v>4.1335283982162485</v>
      </c>
      <c r="H86">
        <v>3.18825479532505</v>
      </c>
      <c r="I86">
        <v>11.681765570070983</v>
      </c>
      <c r="J86">
        <v>20.116137325820553</v>
      </c>
      <c r="K86">
        <v>1.4311390552424275</v>
      </c>
      <c r="L86">
        <v>1.6075990253515033</v>
      </c>
      <c r="M86">
        <v>1.5477783159783653</v>
      </c>
      <c r="N86">
        <v>1.4279094998340851</v>
      </c>
      <c r="O86">
        <v>1.5230249577532384</v>
      </c>
      <c r="P86">
        <v>1.6751514690397891</v>
      </c>
      <c r="Q86">
        <v>1.39378218396165</v>
      </c>
      <c r="R86">
        <v>1.154133732123878</v>
      </c>
      <c r="S86">
        <v>1.2154822023485663</v>
      </c>
      <c r="T86">
        <v>1.2953811605285075</v>
      </c>
      <c r="U86">
        <v>1.2357210310006459</v>
      </c>
      <c r="V86">
        <v>1.3448954049704989</v>
      </c>
      <c r="W86" s="117">
        <v>1.6030406174425644</v>
      </c>
      <c r="X86" s="117">
        <v>1.400936216036655</v>
      </c>
      <c r="Y86" s="117">
        <v>18.726344692265879</v>
      </c>
      <c r="Z86" s="117">
        <v>16.36540845436252</v>
      </c>
      <c r="AA86">
        <v>1</v>
      </c>
    </row>
    <row r="87" spans="1:27" x14ac:dyDescent="0.35">
      <c r="A87" t="s">
        <v>319</v>
      </c>
      <c r="B87" t="s">
        <v>320</v>
      </c>
      <c r="C87" t="s">
        <v>177</v>
      </c>
      <c r="D87" t="s">
        <v>178</v>
      </c>
      <c r="E87" t="s">
        <v>164</v>
      </c>
      <c r="F87" t="s">
        <v>129</v>
      </c>
      <c r="G87">
        <v>3.8741734363416156</v>
      </c>
      <c r="H87">
        <v>3.1813212575562799</v>
      </c>
      <c r="I87">
        <v>11.656361087686211</v>
      </c>
      <c r="J87">
        <v>53.977037000000003</v>
      </c>
      <c r="K87">
        <v>1.2214137182566644</v>
      </c>
      <c r="L87">
        <v>1.7532688281816013</v>
      </c>
      <c r="M87">
        <v>1.7310958276706785</v>
      </c>
      <c r="N87">
        <v>1.5002149723106233</v>
      </c>
      <c r="O87">
        <v>1.7038816693011756</v>
      </c>
      <c r="P87">
        <v>1.8057807542637647</v>
      </c>
      <c r="Q87">
        <v>1.1137228775074144</v>
      </c>
      <c r="R87">
        <v>1.1523297796771568</v>
      </c>
      <c r="S87">
        <v>1.261678755528314</v>
      </c>
      <c r="T87">
        <v>1.2456836932865165</v>
      </c>
      <c r="U87">
        <v>1.2512749062312558</v>
      </c>
      <c r="V87">
        <v>1.4406165004533091</v>
      </c>
      <c r="W87" s="117">
        <v>1.7947415654237497</v>
      </c>
      <c r="X87" s="117">
        <v>1.6007285630292336</v>
      </c>
      <c r="Y87" s="117">
        <v>20.92015574565843</v>
      </c>
      <c r="Z87" s="117">
        <v>18.658670134041824</v>
      </c>
      <c r="AA87">
        <v>1</v>
      </c>
    </row>
    <row r="88" spans="1:27" x14ac:dyDescent="0.35">
      <c r="A88" t="s">
        <v>321</v>
      </c>
      <c r="B88" t="s">
        <v>322</v>
      </c>
      <c r="C88" t="s">
        <v>167</v>
      </c>
      <c r="D88" t="s">
        <v>168</v>
      </c>
      <c r="E88" t="s">
        <v>123</v>
      </c>
      <c r="F88" t="s">
        <v>167</v>
      </c>
      <c r="G88">
        <v>3.8957734341736105</v>
      </c>
      <c r="H88">
        <v>2.99231671634029</v>
      </c>
      <c r="I88">
        <v>10.963848448670824</v>
      </c>
      <c r="J88">
        <v>61.348579465101658</v>
      </c>
      <c r="K88">
        <v>1.3263572562220902</v>
      </c>
      <c r="L88">
        <v>2.1156780596029505</v>
      </c>
      <c r="M88">
        <v>2.0284508678993793</v>
      </c>
      <c r="N88">
        <v>1.992983227363728</v>
      </c>
      <c r="O88">
        <v>1.8948686407308271</v>
      </c>
      <c r="P88">
        <v>2.1818268464760164</v>
      </c>
      <c r="Q88">
        <v>1.3070253557120981</v>
      </c>
      <c r="R88">
        <v>1.154133732123878</v>
      </c>
      <c r="S88">
        <v>1.2154822023485663</v>
      </c>
      <c r="T88">
        <v>1.2953811605285075</v>
      </c>
      <c r="U88">
        <v>1.2357210310006459</v>
      </c>
      <c r="V88">
        <v>1.3448954049704989</v>
      </c>
      <c r="W88" s="117">
        <v>1.3631825386517218</v>
      </c>
      <c r="X88" s="117">
        <v>1.2375742931642153</v>
      </c>
      <c r="Y88" s="117">
        <v>14.945726761651835</v>
      </c>
      <c r="Z88" s="117">
        <v>13.568576994223372</v>
      </c>
      <c r="AA88">
        <v>1</v>
      </c>
    </row>
    <row r="89" spans="1:27" x14ac:dyDescent="0.35">
      <c r="A89" t="s">
        <v>323</v>
      </c>
      <c r="B89" t="s">
        <v>324</v>
      </c>
      <c r="C89" t="s">
        <v>217</v>
      </c>
      <c r="D89" t="s">
        <v>156</v>
      </c>
      <c r="E89" t="s">
        <v>138</v>
      </c>
      <c r="F89" t="s">
        <v>124</v>
      </c>
      <c r="G89">
        <v>4.2253395485822107</v>
      </c>
      <c r="H89">
        <v>2.9177367598916999</v>
      </c>
      <c r="I89">
        <v>10.690587488243189</v>
      </c>
      <c r="J89">
        <v>15.842922532720198</v>
      </c>
      <c r="K89">
        <v>1.4311390552424275</v>
      </c>
      <c r="L89">
        <v>1.6385401287675738</v>
      </c>
      <c r="M89">
        <v>1.5387495645198555</v>
      </c>
      <c r="N89">
        <v>1.3627150455585981</v>
      </c>
      <c r="O89">
        <v>1.5397445115196426</v>
      </c>
      <c r="P89">
        <v>1.6930786061153571</v>
      </c>
      <c r="Q89">
        <v>1.39378218396165</v>
      </c>
      <c r="R89">
        <v>1.0901307546951258</v>
      </c>
      <c r="S89">
        <v>1.0599826962241754</v>
      </c>
      <c r="T89">
        <v>1.1372607799723293</v>
      </c>
      <c r="U89">
        <v>1.0615175586333341</v>
      </c>
      <c r="V89">
        <v>1.1250789639924195</v>
      </c>
      <c r="W89" s="117">
        <v>0.87445673947311786</v>
      </c>
      <c r="X89" s="117">
        <v>0.7196618599021477</v>
      </c>
      <c r="Y89" s="117">
        <v>9.3484562780212475</v>
      </c>
      <c r="Z89" s="117">
        <v>7.6936080752357228</v>
      </c>
      <c r="AA89">
        <v>1</v>
      </c>
    </row>
    <row r="90" spans="1:27" x14ac:dyDescent="0.35">
      <c r="A90" t="s">
        <v>325</v>
      </c>
      <c r="B90" t="s">
        <v>326</v>
      </c>
      <c r="C90" t="s">
        <v>206</v>
      </c>
      <c r="D90" t="s">
        <v>168</v>
      </c>
      <c r="E90" t="s">
        <v>145</v>
      </c>
      <c r="F90" t="s">
        <v>167</v>
      </c>
      <c r="G90">
        <v>0.95270487042474772</v>
      </c>
      <c r="H90">
        <v>15.983937461386599</v>
      </c>
      <c r="I90">
        <v>58.5651468585205</v>
      </c>
      <c r="J90">
        <v>52.320215472093366</v>
      </c>
      <c r="K90">
        <v>1.3263572562220902</v>
      </c>
      <c r="L90">
        <v>1.5963240717558658</v>
      </c>
      <c r="M90">
        <v>1.5284720537489731</v>
      </c>
      <c r="N90">
        <v>1.3785984406327738</v>
      </c>
      <c r="O90">
        <v>1.5276666559417871</v>
      </c>
      <c r="P90">
        <v>1.6721470135847669</v>
      </c>
      <c r="Q90">
        <v>1.3070253557120981</v>
      </c>
      <c r="R90">
        <v>1.2095558465202498</v>
      </c>
      <c r="S90">
        <v>1.2971210859341129</v>
      </c>
      <c r="T90">
        <v>1.3393743599143302</v>
      </c>
      <c r="U90">
        <v>1.3313443191676493</v>
      </c>
      <c r="V90">
        <v>1.3335057494131222</v>
      </c>
      <c r="W90" s="117" t="s">
        <v>149</v>
      </c>
      <c r="X90" s="117" t="s">
        <v>149</v>
      </c>
      <c r="Y90" s="117" t="s">
        <v>149</v>
      </c>
      <c r="Z90" s="117" t="s">
        <v>149</v>
      </c>
      <c r="AA90">
        <v>0</v>
      </c>
    </row>
    <row r="91" spans="1:27" x14ac:dyDescent="0.35">
      <c r="A91" t="s">
        <v>327</v>
      </c>
      <c r="B91" t="s">
        <v>328</v>
      </c>
      <c r="C91" t="s">
        <v>167</v>
      </c>
      <c r="D91" t="s">
        <v>168</v>
      </c>
      <c r="E91" t="s">
        <v>145</v>
      </c>
      <c r="F91" t="s">
        <v>167</v>
      </c>
      <c r="G91">
        <v>4.3793698669121346</v>
      </c>
      <c r="H91">
        <v>2.8951684500248001</v>
      </c>
      <c r="I91">
        <v>10.607897200890868</v>
      </c>
      <c r="J91">
        <v>18.051170798941047</v>
      </c>
      <c r="K91">
        <v>1.3263572562220902</v>
      </c>
      <c r="L91">
        <v>1.6051535466884974</v>
      </c>
      <c r="M91">
        <v>1.5164929955507502</v>
      </c>
      <c r="N91">
        <v>1.4903932245970317</v>
      </c>
      <c r="O91">
        <v>1.3980038852067109</v>
      </c>
      <c r="P91">
        <v>1.6265490311154138</v>
      </c>
      <c r="Q91">
        <v>1.3070253557120981</v>
      </c>
      <c r="R91">
        <v>1.2095558465202498</v>
      </c>
      <c r="S91">
        <v>1.2971210859341129</v>
      </c>
      <c r="T91">
        <v>1.3393743599143302</v>
      </c>
      <c r="U91">
        <v>1.3313443191676493</v>
      </c>
      <c r="V91">
        <v>1.3335057494131222</v>
      </c>
      <c r="W91" s="117">
        <v>1.4897318495978136</v>
      </c>
      <c r="X91" s="117">
        <v>1.2561426670854028</v>
      </c>
      <c r="Y91" s="117">
        <v>15.802922317426622</v>
      </c>
      <c r="Z91" s="117">
        <v>13.325032282094833</v>
      </c>
      <c r="AA91">
        <v>1</v>
      </c>
    </row>
    <row r="92" spans="1:27" x14ac:dyDescent="0.35">
      <c r="A92" t="s">
        <v>329</v>
      </c>
      <c r="B92" t="s">
        <v>330</v>
      </c>
      <c r="C92" t="s">
        <v>155</v>
      </c>
      <c r="D92" t="s">
        <v>156</v>
      </c>
      <c r="E92" t="s">
        <v>123</v>
      </c>
      <c r="F92" t="s">
        <v>124</v>
      </c>
      <c r="G92">
        <v>4.6656447164988508</v>
      </c>
      <c r="H92">
        <v>2.8802310064768002</v>
      </c>
      <c r="I92">
        <v>10.553166407730997</v>
      </c>
      <c r="J92">
        <v>12.005825769508663</v>
      </c>
      <c r="K92">
        <v>1.4311390552424275</v>
      </c>
      <c r="L92">
        <v>1.3235677743018206</v>
      </c>
      <c r="M92">
        <v>1.3327547910260205</v>
      </c>
      <c r="N92">
        <v>1.2389343555346293</v>
      </c>
      <c r="O92">
        <v>1.303753865580116</v>
      </c>
      <c r="P92">
        <v>1.3628569057787485</v>
      </c>
      <c r="Q92">
        <v>1.39378218396165</v>
      </c>
      <c r="R92">
        <v>1.154133732123878</v>
      </c>
      <c r="S92">
        <v>1.2154822023485663</v>
      </c>
      <c r="T92">
        <v>1.2953811605285075</v>
      </c>
      <c r="U92">
        <v>1.2357210310006459</v>
      </c>
      <c r="V92">
        <v>1.3448954049704989</v>
      </c>
      <c r="W92" s="117">
        <v>1.3814516923194662</v>
      </c>
      <c r="X92" s="117">
        <v>1.3814516923194662</v>
      </c>
      <c r="Y92" s="117">
        <v>14.578689593288926</v>
      </c>
      <c r="Z92" s="117">
        <v>14.578689593288926</v>
      </c>
      <c r="AA92">
        <v>1</v>
      </c>
    </row>
    <row r="93" spans="1:27" x14ac:dyDescent="0.35">
      <c r="A93" t="s">
        <v>331</v>
      </c>
      <c r="B93" t="s">
        <v>332</v>
      </c>
      <c r="C93" t="s">
        <v>188</v>
      </c>
      <c r="D93" t="s">
        <v>156</v>
      </c>
      <c r="E93" t="s">
        <v>123</v>
      </c>
      <c r="F93" t="s">
        <v>124</v>
      </c>
      <c r="G93">
        <v>23.721704143281027</v>
      </c>
      <c r="H93">
        <v>0.34710506062402302</v>
      </c>
      <c r="I93">
        <v>1.2717929421264205</v>
      </c>
      <c r="J93">
        <v>25.586111076341513</v>
      </c>
      <c r="K93">
        <v>1.4311390552424275</v>
      </c>
      <c r="L93">
        <v>1.6075990253515033</v>
      </c>
      <c r="M93">
        <v>1.5477783159783653</v>
      </c>
      <c r="N93">
        <v>1.4279094998340851</v>
      </c>
      <c r="O93">
        <v>1.5230249577532384</v>
      </c>
      <c r="P93">
        <v>1.6751514690397891</v>
      </c>
      <c r="Q93">
        <v>1.39378218396165</v>
      </c>
      <c r="R93">
        <v>1.154133732123878</v>
      </c>
      <c r="S93">
        <v>1.2154822023485663</v>
      </c>
      <c r="T93">
        <v>1.2953811605285075</v>
      </c>
      <c r="U93">
        <v>1.2357210310006459</v>
      </c>
      <c r="V93">
        <v>1.3448954049704989</v>
      </c>
      <c r="W93" s="117" t="s">
        <v>149</v>
      </c>
      <c r="X93" s="117" t="s">
        <v>149</v>
      </c>
      <c r="Y93" s="117" t="s">
        <v>149</v>
      </c>
      <c r="Z93" s="117" t="s">
        <v>149</v>
      </c>
      <c r="AA93">
        <v>0</v>
      </c>
    </row>
    <row r="94" spans="1:27" x14ac:dyDescent="0.35">
      <c r="A94" t="s">
        <v>333</v>
      </c>
      <c r="B94" t="s">
        <v>334</v>
      </c>
      <c r="C94" t="s">
        <v>177</v>
      </c>
      <c r="D94" t="s">
        <v>178</v>
      </c>
      <c r="E94" t="s">
        <v>164</v>
      </c>
      <c r="F94" t="s">
        <v>129</v>
      </c>
      <c r="G94">
        <v>3.9170124341634098</v>
      </c>
      <c r="H94">
        <v>2.6867294346056498</v>
      </c>
      <c r="I94">
        <v>9.8441766483951021</v>
      </c>
      <c r="J94">
        <v>23.827840809701446</v>
      </c>
      <c r="K94">
        <v>1.2214137182566644</v>
      </c>
      <c r="L94">
        <v>1.5333685026768666</v>
      </c>
      <c r="M94">
        <v>1.4931166223643944</v>
      </c>
      <c r="N94">
        <v>1.4687987074372022</v>
      </c>
      <c r="O94">
        <v>1.4403198908488613</v>
      </c>
      <c r="P94">
        <v>1.5709608644682063</v>
      </c>
      <c r="Q94">
        <v>1.1137228775074144</v>
      </c>
      <c r="R94">
        <v>1.1523297796771568</v>
      </c>
      <c r="S94">
        <v>1.261678755528314</v>
      </c>
      <c r="T94">
        <v>1.2456836932865165</v>
      </c>
      <c r="U94">
        <v>1.2512749062312558</v>
      </c>
      <c r="V94">
        <v>1.4406165004533091</v>
      </c>
      <c r="W94" s="117">
        <v>1.1932410410029766</v>
      </c>
      <c r="X94" s="117">
        <v>1.0201578148085169</v>
      </c>
      <c r="Y94" s="117">
        <v>11.746475591748164</v>
      </c>
      <c r="Z94" s="117">
        <v>10.042613738215778</v>
      </c>
      <c r="AA94">
        <v>1</v>
      </c>
    </row>
    <row r="95" spans="1:27" x14ac:dyDescent="0.35">
      <c r="A95" t="s">
        <v>335</v>
      </c>
      <c r="B95" t="s">
        <v>336</v>
      </c>
      <c r="C95" t="s">
        <v>132</v>
      </c>
      <c r="D95" t="s">
        <v>149</v>
      </c>
      <c r="E95" t="s">
        <v>128</v>
      </c>
      <c r="F95" t="s">
        <v>132</v>
      </c>
      <c r="G95" t="s">
        <v>149</v>
      </c>
      <c r="H95" t="s">
        <v>149</v>
      </c>
      <c r="I95" t="s">
        <v>149</v>
      </c>
      <c r="J95">
        <v>6.8162193032552834</v>
      </c>
      <c r="K95" t="s">
        <v>149</v>
      </c>
      <c r="L95">
        <v>1.2067690036967176</v>
      </c>
      <c r="M95">
        <v>1.1866174178280724</v>
      </c>
      <c r="N95">
        <v>1.1300269287366023</v>
      </c>
      <c r="O95">
        <v>1.1919270064378424</v>
      </c>
      <c r="P95">
        <v>1.2529274166703845</v>
      </c>
      <c r="Q95" t="s">
        <v>149</v>
      </c>
      <c r="R95">
        <v>0.90947003354549738</v>
      </c>
      <c r="S95">
        <v>1.0160301239037073</v>
      </c>
      <c r="T95">
        <v>1.0683930558484569</v>
      </c>
      <c r="U95">
        <v>1.0727560349127803</v>
      </c>
      <c r="V95">
        <v>1.2137481184144505</v>
      </c>
      <c r="W95" s="117">
        <v>0.62043013479755005</v>
      </c>
      <c r="X95" s="117">
        <v>0.62043013479755005</v>
      </c>
      <c r="Y95" s="117" t="s">
        <v>149</v>
      </c>
      <c r="Z95" s="117" t="s">
        <v>149</v>
      </c>
      <c r="AA95">
        <v>0</v>
      </c>
    </row>
    <row r="96" spans="1:27" x14ac:dyDescent="0.35">
      <c r="A96" t="s">
        <v>337</v>
      </c>
      <c r="B96" t="s">
        <v>338</v>
      </c>
      <c r="C96" t="s">
        <v>217</v>
      </c>
      <c r="D96" t="s">
        <v>156</v>
      </c>
      <c r="E96" t="s">
        <v>138</v>
      </c>
      <c r="F96" t="s">
        <v>124</v>
      </c>
      <c r="G96">
        <v>4.6041208984596134</v>
      </c>
      <c r="H96">
        <v>2.5747933850912998</v>
      </c>
      <c r="I96">
        <v>9.434042962974523</v>
      </c>
      <c r="J96">
        <v>8.133996647903972</v>
      </c>
      <c r="K96">
        <v>1.4311390552424275</v>
      </c>
      <c r="L96">
        <v>1.8408923711390763</v>
      </c>
      <c r="M96">
        <v>1.719294593531745</v>
      </c>
      <c r="N96">
        <v>1.6438590959302821</v>
      </c>
      <c r="O96">
        <v>1.6131537609993694</v>
      </c>
      <c r="P96">
        <v>1.8803160345297643</v>
      </c>
      <c r="Q96">
        <v>1.39378218396165</v>
      </c>
      <c r="R96">
        <v>1.0901307546951258</v>
      </c>
      <c r="S96">
        <v>1.0599826962241754</v>
      </c>
      <c r="T96">
        <v>1.1372607799723293</v>
      </c>
      <c r="U96">
        <v>1.0615175586333341</v>
      </c>
      <c r="V96">
        <v>1.1250789639924195</v>
      </c>
      <c r="W96" s="117">
        <v>1.6084263205048484</v>
      </c>
      <c r="X96" s="117">
        <v>1.2158624352337242</v>
      </c>
      <c r="Y96" s="117">
        <v>15.173963010421769</v>
      </c>
      <c r="Z96" s="117">
        <v>11.470498451061783</v>
      </c>
      <c r="AA96">
        <v>1</v>
      </c>
    </row>
    <row r="97" spans="1:27" x14ac:dyDescent="0.35">
      <c r="A97" t="s">
        <v>339</v>
      </c>
      <c r="B97" t="s">
        <v>340</v>
      </c>
      <c r="C97" t="s">
        <v>167</v>
      </c>
      <c r="D97" t="s">
        <v>168</v>
      </c>
      <c r="E97" t="s">
        <v>145</v>
      </c>
      <c r="F97" t="s">
        <v>167</v>
      </c>
      <c r="G97">
        <v>6.7745126613423299</v>
      </c>
      <c r="H97">
        <v>2.45832068483486</v>
      </c>
      <c r="I97">
        <v>9.0072869892349274</v>
      </c>
      <c r="J97">
        <v>40.804449726018355</v>
      </c>
      <c r="K97">
        <v>1.3263572562220902</v>
      </c>
      <c r="L97">
        <v>1.7535168945308151</v>
      </c>
      <c r="M97">
        <v>1.6946391546106667</v>
      </c>
      <c r="N97">
        <v>1.604797560637284</v>
      </c>
      <c r="O97">
        <v>1.6119471645328647</v>
      </c>
      <c r="P97">
        <v>1.819128222278912</v>
      </c>
      <c r="Q97">
        <v>1.3070253557120981</v>
      </c>
      <c r="R97">
        <v>1.2095558465202498</v>
      </c>
      <c r="S97">
        <v>1.2971210859341129</v>
      </c>
      <c r="T97">
        <v>1.3393743599143302</v>
      </c>
      <c r="U97">
        <v>1.3313443191676493</v>
      </c>
      <c r="V97">
        <v>1.3335057494131222</v>
      </c>
      <c r="W97" s="117">
        <v>2.5049377472854188</v>
      </c>
      <c r="X97" s="117">
        <v>1.8900657286625087</v>
      </c>
      <c r="Y97" s="117">
        <v>22.5626931799674</v>
      </c>
      <c r="Z97" s="117">
        <v>17.024364446580648</v>
      </c>
      <c r="AA97">
        <v>1</v>
      </c>
    </row>
    <row r="98" spans="1:27" x14ac:dyDescent="0.35">
      <c r="A98" t="s">
        <v>341</v>
      </c>
      <c r="B98" t="s">
        <v>342</v>
      </c>
      <c r="C98" t="s">
        <v>188</v>
      </c>
      <c r="D98" t="s">
        <v>156</v>
      </c>
      <c r="E98" t="s">
        <v>138</v>
      </c>
      <c r="F98" t="s">
        <v>124</v>
      </c>
      <c r="G98">
        <v>3.5821583310650618</v>
      </c>
      <c r="H98">
        <v>2.3167854890761999</v>
      </c>
      <c r="I98">
        <v>8.4887020319751958</v>
      </c>
      <c r="J98">
        <v>7.7808745366605416</v>
      </c>
      <c r="K98">
        <v>1.4311390552424275</v>
      </c>
      <c r="L98">
        <v>1.6986959842174389</v>
      </c>
      <c r="M98">
        <v>1.6484795087028812</v>
      </c>
      <c r="N98">
        <v>1.5878731846204253</v>
      </c>
      <c r="O98">
        <v>1.5587393048406684</v>
      </c>
      <c r="P98">
        <v>1.7331322431567209</v>
      </c>
      <c r="Q98">
        <v>1.39378218396165</v>
      </c>
      <c r="R98">
        <v>1.0901307546951258</v>
      </c>
      <c r="S98">
        <v>1.0599826962241754</v>
      </c>
      <c r="T98">
        <v>1.1372607799723293</v>
      </c>
      <c r="U98">
        <v>1.0615175586333341</v>
      </c>
      <c r="V98">
        <v>1.1250789639924195</v>
      </c>
      <c r="W98" s="117">
        <v>1.2084601183885837</v>
      </c>
      <c r="X98" s="117">
        <v>0.9877411066950913</v>
      </c>
      <c r="Y98" s="117">
        <v>10.258257862526156</v>
      </c>
      <c r="Z98" s="117">
        <v>8.38463993946805</v>
      </c>
      <c r="AA98">
        <v>1</v>
      </c>
    </row>
    <row r="99" spans="1:27" x14ac:dyDescent="0.35">
      <c r="A99" t="s">
        <v>343</v>
      </c>
      <c r="B99" t="s">
        <v>344</v>
      </c>
      <c r="C99" t="s">
        <v>148</v>
      </c>
      <c r="D99" t="s">
        <v>156</v>
      </c>
      <c r="E99" t="s">
        <v>123</v>
      </c>
      <c r="F99" t="s">
        <v>150</v>
      </c>
      <c r="G99">
        <v>6.7015840988273174</v>
      </c>
      <c r="H99">
        <v>2.2721423167671699</v>
      </c>
      <c r="I99">
        <v>8.325129448634911</v>
      </c>
      <c r="J99">
        <v>24.667052023121389</v>
      </c>
      <c r="K99">
        <v>1.4311390552424275</v>
      </c>
      <c r="L99">
        <v>1.2385981682627154</v>
      </c>
      <c r="M99">
        <v>1.2157310073334064</v>
      </c>
      <c r="N99">
        <v>1.1641185092236064</v>
      </c>
      <c r="O99">
        <v>1.2237446676811887</v>
      </c>
      <c r="P99">
        <v>1.277363372111487</v>
      </c>
      <c r="Q99">
        <v>1.39378218396165</v>
      </c>
      <c r="R99">
        <v>1.154133732123878</v>
      </c>
      <c r="S99">
        <v>1.2154822023485663</v>
      </c>
      <c r="T99">
        <v>1.2953811605285075</v>
      </c>
      <c r="U99">
        <v>1.2357210310006459</v>
      </c>
      <c r="V99">
        <v>1.3448954049704989</v>
      </c>
      <c r="W99" s="117">
        <v>1.3083845628776922</v>
      </c>
      <c r="X99" s="117">
        <v>0.4879842983123015</v>
      </c>
      <c r="Y99" s="117">
        <v>10.892470854552391</v>
      </c>
      <c r="Z99" s="117">
        <v>4.0625324523511841</v>
      </c>
      <c r="AA99">
        <v>1</v>
      </c>
    </row>
    <row r="100" spans="1:27" x14ac:dyDescent="0.35">
      <c r="A100" t="s">
        <v>345</v>
      </c>
      <c r="B100" t="s">
        <v>346</v>
      </c>
      <c r="C100" t="s">
        <v>177</v>
      </c>
      <c r="D100" t="s">
        <v>178</v>
      </c>
      <c r="E100" t="s">
        <v>164</v>
      </c>
      <c r="F100" t="s">
        <v>129</v>
      </c>
      <c r="G100">
        <v>5.8102091062339047</v>
      </c>
      <c r="H100">
        <v>2.1924817040102602</v>
      </c>
      <c r="I100">
        <v>8.0332529634935934</v>
      </c>
      <c r="J100">
        <v>35.432178068175631</v>
      </c>
      <c r="K100">
        <v>1.2214137182566644</v>
      </c>
      <c r="L100">
        <v>1.6559715955502246</v>
      </c>
      <c r="M100">
        <v>1.6024921426633447</v>
      </c>
      <c r="N100">
        <v>1.5375624580575988</v>
      </c>
      <c r="O100">
        <v>1.6029808737923059</v>
      </c>
      <c r="P100">
        <v>1.717944980347591</v>
      </c>
      <c r="Q100">
        <v>1.1137228775074144</v>
      </c>
      <c r="R100">
        <v>1.1523297796771568</v>
      </c>
      <c r="S100">
        <v>1.261678755528314</v>
      </c>
      <c r="T100">
        <v>1.2456836932865165</v>
      </c>
      <c r="U100">
        <v>1.2512749062312558</v>
      </c>
      <c r="V100">
        <v>1.4406165004533091</v>
      </c>
      <c r="W100" s="117">
        <v>1.0737653435900261</v>
      </c>
      <c r="X100" s="117">
        <v>0.86118697099282016</v>
      </c>
      <c r="Y100" s="117">
        <v>8.6258286284912931</v>
      </c>
      <c r="Z100" s="117">
        <v>6.9181327868501441</v>
      </c>
      <c r="AA100">
        <v>1</v>
      </c>
    </row>
    <row r="101" spans="1:27" x14ac:dyDescent="0.35">
      <c r="A101" t="s">
        <v>347</v>
      </c>
      <c r="B101" t="s">
        <v>348</v>
      </c>
      <c r="C101" t="s">
        <v>167</v>
      </c>
      <c r="D101" t="s">
        <v>168</v>
      </c>
      <c r="E101" t="s">
        <v>145</v>
      </c>
      <c r="F101" t="s">
        <v>167</v>
      </c>
      <c r="G101">
        <v>7.1177216887704908</v>
      </c>
      <c r="H101">
        <v>1.9870804707110099</v>
      </c>
      <c r="I101">
        <v>7.2806628446851409</v>
      </c>
      <c r="J101">
        <v>18.110631358311391</v>
      </c>
      <c r="K101">
        <v>1.3263572562220902</v>
      </c>
      <c r="L101">
        <v>2.0501658986565285</v>
      </c>
      <c r="M101">
        <v>1.9636015397903754</v>
      </c>
      <c r="N101">
        <v>1.8360925970894484</v>
      </c>
      <c r="O101">
        <v>1.8823325410386442</v>
      </c>
      <c r="P101">
        <v>2.140958059707748</v>
      </c>
      <c r="Q101">
        <v>1.3070253557120981</v>
      </c>
      <c r="R101">
        <v>1.2095558465202498</v>
      </c>
      <c r="S101">
        <v>1.2971210859341129</v>
      </c>
      <c r="T101">
        <v>1.3393743599143302</v>
      </c>
      <c r="U101">
        <v>1.3313443191676493</v>
      </c>
      <c r="V101">
        <v>1.3335057494131222</v>
      </c>
      <c r="W101" s="117">
        <v>1.5897353348584853</v>
      </c>
      <c r="X101" s="117">
        <v>1.1658664600589042</v>
      </c>
      <c r="Y101" s="117">
        <v>11.574326985387264</v>
      </c>
      <c r="Z101" s="117">
        <v>8.488280617615457</v>
      </c>
      <c r="AA101">
        <v>1</v>
      </c>
    </row>
    <row r="102" spans="1:27" x14ac:dyDescent="0.35">
      <c r="A102" t="s">
        <v>349</v>
      </c>
      <c r="B102" t="s">
        <v>350</v>
      </c>
      <c r="C102" t="s">
        <v>167</v>
      </c>
      <c r="D102" t="s">
        <v>168</v>
      </c>
      <c r="E102" t="s">
        <v>145</v>
      </c>
      <c r="F102" t="s">
        <v>167</v>
      </c>
      <c r="G102">
        <v>5.780517623806773</v>
      </c>
      <c r="H102">
        <v>1.98247917637667</v>
      </c>
      <c r="I102">
        <v>7.2638037022441191</v>
      </c>
      <c r="J102">
        <v>15.651545331540378</v>
      </c>
      <c r="K102">
        <v>1.3263572562220902</v>
      </c>
      <c r="L102">
        <v>1.743012396658032</v>
      </c>
      <c r="M102">
        <v>1.623301673976878</v>
      </c>
      <c r="N102">
        <v>1.5517551013628887</v>
      </c>
      <c r="O102">
        <v>1.5397028499942618</v>
      </c>
      <c r="P102">
        <v>1.8254737946718715</v>
      </c>
      <c r="Q102">
        <v>1.3070253557120981</v>
      </c>
      <c r="R102">
        <v>1.2095558465202498</v>
      </c>
      <c r="S102">
        <v>1.2971210859341129</v>
      </c>
      <c r="T102">
        <v>1.3393743599143302</v>
      </c>
      <c r="U102">
        <v>1.3313443191676493</v>
      </c>
      <c r="V102">
        <v>1.3335057494131222</v>
      </c>
      <c r="W102" s="117">
        <v>1.7978836066178749</v>
      </c>
      <c r="X102" s="117">
        <v>1.5850771271626647</v>
      </c>
      <c r="Y102" s="117">
        <v>13.059473597954929</v>
      </c>
      <c r="Z102" s="117">
        <v>11.513689104626636</v>
      </c>
      <c r="AA102">
        <v>1</v>
      </c>
    </row>
    <row r="103" spans="1:27" x14ac:dyDescent="0.35">
      <c r="A103" t="s">
        <v>351</v>
      </c>
      <c r="B103" t="s">
        <v>352</v>
      </c>
      <c r="C103" t="s">
        <v>177</v>
      </c>
      <c r="D103" t="s">
        <v>178</v>
      </c>
      <c r="E103" t="s">
        <v>164</v>
      </c>
      <c r="F103" t="s">
        <v>129</v>
      </c>
      <c r="G103">
        <v>5.7378277182474742</v>
      </c>
      <c r="H103">
        <v>1.9327894540952399</v>
      </c>
      <c r="I103">
        <v>7.0817405598049596</v>
      </c>
      <c r="J103">
        <v>62.158002233027858</v>
      </c>
      <c r="K103">
        <v>1.2214137182566644</v>
      </c>
      <c r="L103">
        <v>1.5190029834942065</v>
      </c>
      <c r="M103">
        <v>1.482869995383554</v>
      </c>
      <c r="N103">
        <v>1.3517109506074758</v>
      </c>
      <c r="O103">
        <v>1.460896202204955</v>
      </c>
      <c r="P103">
        <v>1.5833808426620595</v>
      </c>
      <c r="Q103">
        <v>1.1137228775074144</v>
      </c>
      <c r="R103">
        <v>1.1523297796771568</v>
      </c>
      <c r="S103">
        <v>1.261678755528314</v>
      </c>
      <c r="T103">
        <v>1.2456836932865165</v>
      </c>
      <c r="U103">
        <v>1.2512749062312558</v>
      </c>
      <c r="V103">
        <v>1.4406165004533091</v>
      </c>
      <c r="W103" s="117">
        <v>0.78193903523884023</v>
      </c>
      <c r="X103" s="117">
        <v>0.78193903523884023</v>
      </c>
      <c r="Y103" s="117">
        <v>5.5374893811456545</v>
      </c>
      <c r="Z103" s="117">
        <v>5.5374893811456545</v>
      </c>
      <c r="AA103">
        <v>1</v>
      </c>
    </row>
    <row r="104" spans="1:27" x14ac:dyDescent="0.35">
      <c r="A104" t="s">
        <v>353</v>
      </c>
      <c r="B104" t="s">
        <v>354</v>
      </c>
      <c r="C104" t="s">
        <v>177</v>
      </c>
      <c r="D104" t="s">
        <v>178</v>
      </c>
      <c r="E104" t="s">
        <v>164</v>
      </c>
      <c r="F104" t="s">
        <v>129</v>
      </c>
      <c r="G104">
        <v>5.2476568759208666</v>
      </c>
      <c r="H104">
        <v>1.89506307719064</v>
      </c>
      <c r="I104">
        <v>6.9435111148265056</v>
      </c>
      <c r="J104">
        <v>13.812425036586356</v>
      </c>
      <c r="K104">
        <v>1.2214137182566644</v>
      </c>
      <c r="L104">
        <v>1.2017746801013294</v>
      </c>
      <c r="M104">
        <v>1.1763702335448292</v>
      </c>
      <c r="N104">
        <v>1.1888366893534286</v>
      </c>
      <c r="O104">
        <v>1.1618347254113781</v>
      </c>
      <c r="P104">
        <v>1.2049811166638535</v>
      </c>
      <c r="Q104">
        <v>1.1137228775074144</v>
      </c>
      <c r="R104">
        <v>1.1523297796771568</v>
      </c>
      <c r="S104">
        <v>1.261678755528314</v>
      </c>
      <c r="T104">
        <v>1.2456836932865165</v>
      </c>
      <c r="U104">
        <v>1.2512749062312558</v>
      </c>
      <c r="V104">
        <v>1.4406165004533091</v>
      </c>
      <c r="W104" s="117">
        <v>0.79789788942012718</v>
      </c>
      <c r="X104" s="117">
        <v>0.77005450304419931</v>
      </c>
      <c r="Y104" s="117">
        <v>5.5402128636852632</v>
      </c>
      <c r="Z104" s="117">
        <v>5.3468820009095994</v>
      </c>
      <c r="AA104">
        <v>1</v>
      </c>
    </row>
    <row r="105" spans="1:27" x14ac:dyDescent="0.35">
      <c r="A105" t="s">
        <v>355</v>
      </c>
      <c r="B105" t="s">
        <v>356</v>
      </c>
      <c r="C105" t="s">
        <v>167</v>
      </c>
      <c r="D105" t="s">
        <v>168</v>
      </c>
      <c r="E105" t="s">
        <v>145</v>
      </c>
      <c r="F105" t="s">
        <v>167</v>
      </c>
      <c r="G105">
        <v>5.1956924341294508</v>
      </c>
      <c r="H105">
        <v>1.82025279913775</v>
      </c>
      <c r="I105">
        <v>6.6694062560407161</v>
      </c>
      <c r="J105">
        <v>14.028811071762759</v>
      </c>
      <c r="K105">
        <v>1.3263572562220902</v>
      </c>
      <c r="L105">
        <v>2.1106868457246377</v>
      </c>
      <c r="M105">
        <v>1.9867703157823939</v>
      </c>
      <c r="N105">
        <v>1.7322580948200992</v>
      </c>
      <c r="O105">
        <v>1.863160674505308</v>
      </c>
      <c r="P105">
        <v>2.2126833425298069</v>
      </c>
      <c r="Q105">
        <v>1.3070253557120981</v>
      </c>
      <c r="R105">
        <v>1.2095558465202498</v>
      </c>
      <c r="S105">
        <v>1.2971210859341129</v>
      </c>
      <c r="T105">
        <v>1.3393743599143302</v>
      </c>
      <c r="U105">
        <v>1.3313443191676493</v>
      </c>
      <c r="V105">
        <v>1.3335057494131222</v>
      </c>
      <c r="W105" s="117">
        <v>1.8167952965870307</v>
      </c>
      <c r="X105" s="117">
        <v>0.64197539167637074</v>
      </c>
      <c r="Y105" s="117">
        <v>12.116945917002891</v>
      </c>
      <c r="Z105" s="117">
        <v>4.2815946934705762</v>
      </c>
      <c r="AA105">
        <v>1</v>
      </c>
    </row>
    <row r="106" spans="1:27" x14ac:dyDescent="0.35">
      <c r="A106" t="s">
        <v>357</v>
      </c>
      <c r="B106" t="s">
        <v>358</v>
      </c>
      <c r="C106" t="s">
        <v>148</v>
      </c>
      <c r="D106" t="s">
        <v>149</v>
      </c>
      <c r="E106" t="s">
        <v>123</v>
      </c>
      <c r="F106" t="s">
        <v>150</v>
      </c>
      <c r="G106" t="s">
        <v>149</v>
      </c>
      <c r="H106" t="s">
        <v>149</v>
      </c>
      <c r="I106" t="s">
        <v>149</v>
      </c>
      <c r="J106" t="s">
        <v>149</v>
      </c>
      <c r="K106" t="s">
        <v>149</v>
      </c>
      <c r="L106">
        <v>1.2385981682627154</v>
      </c>
      <c r="M106">
        <v>1.2157310073334064</v>
      </c>
      <c r="N106">
        <v>1.1641185092236064</v>
      </c>
      <c r="O106">
        <v>1.2237446676811887</v>
      </c>
      <c r="P106">
        <v>1.277363372111487</v>
      </c>
      <c r="Q106" t="s">
        <v>149</v>
      </c>
      <c r="R106">
        <v>1.154133732123878</v>
      </c>
      <c r="S106">
        <v>1.2154822023485663</v>
      </c>
      <c r="T106">
        <v>1.2953811605285075</v>
      </c>
      <c r="U106">
        <v>1.2357210310006459</v>
      </c>
      <c r="V106">
        <v>1.3448954049704989</v>
      </c>
      <c r="W106" s="117" t="s">
        <v>149</v>
      </c>
      <c r="X106" s="117" t="s">
        <v>149</v>
      </c>
      <c r="Y106" s="117" t="s">
        <v>149</v>
      </c>
      <c r="Z106" s="117" t="s">
        <v>149</v>
      </c>
      <c r="AA106">
        <v>0</v>
      </c>
    </row>
    <row r="107" spans="1:27" x14ac:dyDescent="0.35">
      <c r="A107" t="s">
        <v>359</v>
      </c>
      <c r="B107" t="s">
        <v>360</v>
      </c>
      <c r="C107" t="s">
        <v>132</v>
      </c>
      <c r="D107" t="s">
        <v>199</v>
      </c>
      <c r="E107" t="s">
        <v>128</v>
      </c>
      <c r="F107" t="s">
        <v>132</v>
      </c>
      <c r="G107">
        <v>12.197217242150934</v>
      </c>
      <c r="H107">
        <v>1.8148203026977401</v>
      </c>
      <c r="I107">
        <v>6.6495015890845197</v>
      </c>
      <c r="J107">
        <v>12.116981815226145</v>
      </c>
      <c r="K107">
        <v>1.1764228653088502</v>
      </c>
      <c r="L107">
        <v>1.2067690036967176</v>
      </c>
      <c r="M107">
        <v>1.1866174178280724</v>
      </c>
      <c r="N107">
        <v>1.1300269287366023</v>
      </c>
      <c r="O107">
        <v>1.1919270064378424</v>
      </c>
      <c r="P107">
        <v>1.2529274166703845</v>
      </c>
      <c r="Q107">
        <v>1.234033450224737</v>
      </c>
      <c r="R107">
        <v>0.90947003354549738</v>
      </c>
      <c r="S107">
        <v>1.0160301239037073</v>
      </c>
      <c r="T107">
        <v>1.0683930558484569</v>
      </c>
      <c r="U107">
        <v>1.0727560349127803</v>
      </c>
      <c r="V107">
        <v>1.2137481184144505</v>
      </c>
      <c r="W107" s="117">
        <v>0.60137221400251928</v>
      </c>
      <c r="X107" s="117">
        <v>0.60137221400251928</v>
      </c>
      <c r="Y107" s="117">
        <v>3.9988254926410276</v>
      </c>
      <c r="Z107" s="117">
        <v>3.9988254926410276</v>
      </c>
      <c r="AA107">
        <v>1</v>
      </c>
    </row>
    <row r="108" spans="1:27" x14ac:dyDescent="0.35">
      <c r="A108" t="s">
        <v>361</v>
      </c>
      <c r="B108" t="s">
        <v>362</v>
      </c>
      <c r="C108" t="s">
        <v>177</v>
      </c>
      <c r="D108" t="s">
        <v>178</v>
      </c>
      <c r="E108" t="s">
        <v>164</v>
      </c>
      <c r="F108" t="s">
        <v>129</v>
      </c>
      <c r="G108">
        <v>7.6221110367536324</v>
      </c>
      <c r="H108">
        <v>1.7742836329409799</v>
      </c>
      <c r="I108">
        <v>6.5009752310957509</v>
      </c>
      <c r="J108">
        <v>24.638719999999999</v>
      </c>
      <c r="K108">
        <v>1.2214137182566644</v>
      </c>
      <c r="L108">
        <v>1.2929041224007889</v>
      </c>
      <c r="M108">
        <v>1.2589022259709797</v>
      </c>
      <c r="N108">
        <v>1.2868128582810345</v>
      </c>
      <c r="O108">
        <v>1.2035249918725217</v>
      </c>
      <c r="P108">
        <v>1.273834067735687</v>
      </c>
      <c r="Q108">
        <v>1.1137228775074144</v>
      </c>
      <c r="R108">
        <v>1.1523297796771568</v>
      </c>
      <c r="S108">
        <v>1.261678755528314</v>
      </c>
      <c r="T108">
        <v>1.2456836932865165</v>
      </c>
      <c r="U108">
        <v>1.2512749062312558</v>
      </c>
      <c r="V108">
        <v>1.4406165004533091</v>
      </c>
      <c r="W108" s="117">
        <v>1.2445365191784821</v>
      </c>
      <c r="X108" s="117">
        <v>1.2230743114324689</v>
      </c>
      <c r="Y108" s="117">
        <v>8.0907010853734338</v>
      </c>
      <c r="Z108" s="117">
        <v>7.9511758044119709</v>
      </c>
      <c r="AA108">
        <v>1</v>
      </c>
    </row>
    <row r="109" spans="1:27" x14ac:dyDescent="0.35">
      <c r="A109" t="s">
        <v>363</v>
      </c>
      <c r="B109" t="s">
        <v>364</v>
      </c>
      <c r="C109" t="s">
        <v>217</v>
      </c>
      <c r="D109" t="s">
        <v>156</v>
      </c>
      <c r="E109" t="s">
        <v>138</v>
      </c>
      <c r="F109" t="s">
        <v>124</v>
      </c>
      <c r="G109">
        <v>7.4840844867992278</v>
      </c>
      <c r="H109">
        <v>1.7550930186973701</v>
      </c>
      <c r="I109">
        <v>6.430660820507164</v>
      </c>
      <c r="J109">
        <v>12.641209802111986</v>
      </c>
      <c r="K109">
        <v>1.4311390552424275</v>
      </c>
      <c r="L109">
        <v>1.4439299416868203</v>
      </c>
      <c r="M109">
        <v>1.382809678901767</v>
      </c>
      <c r="N109">
        <v>1.3132793089782755</v>
      </c>
      <c r="O109">
        <v>1.3764477209047283</v>
      </c>
      <c r="P109">
        <v>1.4755536685103643</v>
      </c>
      <c r="Q109">
        <v>1.39378218396165</v>
      </c>
      <c r="R109">
        <v>1.0901307546951258</v>
      </c>
      <c r="S109">
        <v>1.0599826962241754</v>
      </c>
      <c r="T109">
        <v>1.1372607799723293</v>
      </c>
      <c r="U109">
        <v>1.0615175586333341</v>
      </c>
      <c r="V109">
        <v>1.1250789639924195</v>
      </c>
      <c r="W109" s="117">
        <v>1.3192922841656973</v>
      </c>
      <c r="X109" s="117">
        <v>1.3192922841656973</v>
      </c>
      <c r="Y109" s="117">
        <v>8.4839212025817545</v>
      </c>
      <c r="Z109" s="117">
        <v>8.4839212025817545</v>
      </c>
      <c r="AA109">
        <v>1</v>
      </c>
    </row>
    <row r="110" spans="1:27" x14ac:dyDescent="0.35">
      <c r="A110" t="s">
        <v>365</v>
      </c>
      <c r="B110" t="s">
        <v>366</v>
      </c>
      <c r="C110" t="s">
        <v>177</v>
      </c>
      <c r="D110" t="s">
        <v>178</v>
      </c>
      <c r="E110" t="s">
        <v>164</v>
      </c>
      <c r="F110" t="s">
        <v>129</v>
      </c>
      <c r="G110">
        <v>7.7123388352032283</v>
      </c>
      <c r="H110">
        <v>1.7185178871119999</v>
      </c>
      <c r="I110">
        <v>6.296649538378368</v>
      </c>
      <c r="J110">
        <v>53.560755046572631</v>
      </c>
      <c r="K110">
        <v>1.2214137182566644</v>
      </c>
      <c r="L110">
        <v>1.4389592631950838</v>
      </c>
      <c r="M110">
        <v>1.3929998911700368</v>
      </c>
      <c r="N110">
        <v>1.2890098670221237</v>
      </c>
      <c r="O110">
        <v>1.3764236675010328</v>
      </c>
      <c r="P110">
        <v>1.4693455320637032</v>
      </c>
      <c r="Q110">
        <v>1.1137228775074144</v>
      </c>
      <c r="R110">
        <v>1.1523297796771568</v>
      </c>
      <c r="S110">
        <v>1.261678755528314</v>
      </c>
      <c r="T110">
        <v>1.2456836932865165</v>
      </c>
      <c r="U110">
        <v>1.2512749062312558</v>
      </c>
      <c r="V110">
        <v>1.4406165004533091</v>
      </c>
      <c r="W110" s="117">
        <v>0.95426872323010559</v>
      </c>
      <c r="X110" s="117">
        <v>0.82146787387381615</v>
      </c>
      <c r="Y110" s="117">
        <v>6.008695715615759</v>
      </c>
      <c r="Z110" s="117">
        <v>5.1724953088202241</v>
      </c>
      <c r="AA110">
        <v>1</v>
      </c>
    </row>
    <row r="111" spans="1:27" x14ac:dyDescent="0.35">
      <c r="A111" t="s">
        <v>367</v>
      </c>
      <c r="B111" t="s">
        <v>368</v>
      </c>
      <c r="C111" t="s">
        <v>167</v>
      </c>
      <c r="D111" t="s">
        <v>168</v>
      </c>
      <c r="E111" t="s">
        <v>145</v>
      </c>
      <c r="F111" t="s">
        <v>167</v>
      </c>
      <c r="G111">
        <v>7.4463432751733052</v>
      </c>
      <c r="H111">
        <v>1.7081303150412901</v>
      </c>
      <c r="I111">
        <v>6.2585894743112869</v>
      </c>
      <c r="J111">
        <v>14.930072799008396</v>
      </c>
      <c r="K111">
        <v>1.3263572562220902</v>
      </c>
      <c r="L111">
        <v>1.5077495852330227</v>
      </c>
      <c r="M111">
        <v>1.4749223064321726</v>
      </c>
      <c r="N111">
        <v>1.3067961929640906</v>
      </c>
      <c r="O111">
        <v>1.434033787121749</v>
      </c>
      <c r="P111">
        <v>1.5616111737113774</v>
      </c>
      <c r="Q111">
        <v>1.3070253557120981</v>
      </c>
      <c r="R111">
        <v>1.2095558465202498</v>
      </c>
      <c r="S111">
        <v>1.2971210859341129</v>
      </c>
      <c r="T111">
        <v>1.3393743599143302</v>
      </c>
      <c r="U111">
        <v>1.3313443191676493</v>
      </c>
      <c r="V111">
        <v>1.3335057494131222</v>
      </c>
      <c r="W111" s="117">
        <v>1.5195288584762736</v>
      </c>
      <c r="X111" s="117">
        <v>1.5195288584762736</v>
      </c>
      <c r="Y111" s="117">
        <v>9.5101073195718513</v>
      </c>
      <c r="Z111" s="117">
        <v>9.5101073195718513</v>
      </c>
      <c r="AA111">
        <v>1</v>
      </c>
    </row>
    <row r="112" spans="1:27" x14ac:dyDescent="0.35">
      <c r="A112" t="s">
        <v>369</v>
      </c>
      <c r="B112" t="s">
        <v>370</v>
      </c>
      <c r="C112" t="s">
        <v>371</v>
      </c>
      <c r="D112" t="s">
        <v>149</v>
      </c>
      <c r="E112" t="s">
        <v>145</v>
      </c>
      <c r="F112" t="s">
        <v>167</v>
      </c>
      <c r="G112" t="s">
        <v>149</v>
      </c>
      <c r="H112">
        <v>7.45854202413508E-2</v>
      </c>
      <c r="I112">
        <v>0.27328097976430932</v>
      </c>
      <c r="J112" t="s">
        <v>149</v>
      </c>
      <c r="K112" t="s">
        <v>149</v>
      </c>
      <c r="L112">
        <v>1.5963240717558658</v>
      </c>
      <c r="M112">
        <v>1.5284720537489731</v>
      </c>
      <c r="N112">
        <v>1.3785984406327738</v>
      </c>
      <c r="O112">
        <v>1.5276666559417871</v>
      </c>
      <c r="P112">
        <v>1.6721470135847669</v>
      </c>
      <c r="Q112" t="s">
        <v>149</v>
      </c>
      <c r="R112">
        <v>1.2095558465202498</v>
      </c>
      <c r="S112">
        <v>1.2971210859341129</v>
      </c>
      <c r="T112">
        <v>1.3393743599143302</v>
      </c>
      <c r="U112">
        <v>1.3313443191676493</v>
      </c>
      <c r="V112">
        <v>1.3335057494131222</v>
      </c>
      <c r="W112" s="117" t="s">
        <v>149</v>
      </c>
      <c r="X112" s="117" t="s">
        <v>149</v>
      </c>
      <c r="Y112" s="117" t="s">
        <v>149</v>
      </c>
      <c r="Z112" s="117" t="s">
        <v>149</v>
      </c>
      <c r="AA112">
        <v>0</v>
      </c>
    </row>
    <row r="113" spans="1:27" x14ac:dyDescent="0.35">
      <c r="A113" t="s">
        <v>372</v>
      </c>
      <c r="B113" t="s">
        <v>373</v>
      </c>
      <c r="C113" t="s">
        <v>374</v>
      </c>
      <c r="D113" t="s">
        <v>168</v>
      </c>
      <c r="E113" t="s">
        <v>145</v>
      </c>
      <c r="F113" t="s">
        <v>167</v>
      </c>
      <c r="G113">
        <v>10.337051907709387</v>
      </c>
      <c r="H113">
        <v>1.55371615995808</v>
      </c>
      <c r="I113">
        <v>5.6928160100864051</v>
      </c>
      <c r="J113">
        <v>15.316824039326878</v>
      </c>
      <c r="K113">
        <v>1.3263572562220902</v>
      </c>
      <c r="L113">
        <v>1.5963240717558658</v>
      </c>
      <c r="M113">
        <v>1.5284720537489731</v>
      </c>
      <c r="N113">
        <v>1.3785984406327738</v>
      </c>
      <c r="O113">
        <v>1.5276666559417871</v>
      </c>
      <c r="P113">
        <v>1.6721470135847669</v>
      </c>
      <c r="Q113">
        <v>1.3070253557120981</v>
      </c>
      <c r="R113">
        <v>1.2095558465202498</v>
      </c>
      <c r="S113">
        <v>1.2971210859341129</v>
      </c>
      <c r="T113">
        <v>1.3393743599143302</v>
      </c>
      <c r="U113">
        <v>1.3313443191676493</v>
      </c>
      <c r="V113">
        <v>1.3335057494131222</v>
      </c>
      <c r="W113" s="117">
        <v>0.76063766466871463</v>
      </c>
      <c r="X113" s="117">
        <v>0.76063766466871463</v>
      </c>
      <c r="Y113" s="117">
        <v>4.3301702753007927</v>
      </c>
      <c r="Z113" s="117">
        <v>4.3301702753007927</v>
      </c>
      <c r="AA113">
        <v>1</v>
      </c>
    </row>
    <row r="114" spans="1:27" x14ac:dyDescent="0.35">
      <c r="A114" t="s">
        <v>375</v>
      </c>
      <c r="B114" t="s">
        <v>376</v>
      </c>
      <c r="C114" t="s">
        <v>148</v>
      </c>
      <c r="D114" t="s">
        <v>156</v>
      </c>
      <c r="E114" t="s">
        <v>123</v>
      </c>
      <c r="F114" t="s">
        <v>150</v>
      </c>
      <c r="G114">
        <v>4.9671697673357897</v>
      </c>
      <c r="H114">
        <v>1.47013963877792</v>
      </c>
      <c r="I114">
        <v>5.386591636482299</v>
      </c>
      <c r="J114">
        <v>9.4355299272470994</v>
      </c>
      <c r="K114">
        <v>1.4311390552424275</v>
      </c>
      <c r="L114">
        <v>1.2385981682627154</v>
      </c>
      <c r="M114">
        <v>1.2157310073334064</v>
      </c>
      <c r="N114">
        <v>1.1641185092236064</v>
      </c>
      <c r="O114">
        <v>1.2237446676811887</v>
      </c>
      <c r="P114">
        <v>1.277363372111487</v>
      </c>
      <c r="Q114">
        <v>1.39378218396165</v>
      </c>
      <c r="R114">
        <v>1.154133732123878</v>
      </c>
      <c r="S114">
        <v>1.2154822023485663</v>
      </c>
      <c r="T114">
        <v>1.2953811605285075</v>
      </c>
      <c r="U114">
        <v>1.2357210310006459</v>
      </c>
      <c r="V114">
        <v>1.3448954049704989</v>
      </c>
      <c r="W114" s="117" t="s">
        <v>149</v>
      </c>
      <c r="X114" s="117" t="s">
        <v>149</v>
      </c>
      <c r="Y114" s="117" t="s">
        <v>149</v>
      </c>
      <c r="Z114" s="117" t="s">
        <v>149</v>
      </c>
      <c r="AA114">
        <v>0</v>
      </c>
    </row>
    <row r="115" spans="1:27" x14ac:dyDescent="0.35">
      <c r="A115" t="s">
        <v>377</v>
      </c>
      <c r="B115" t="s">
        <v>378</v>
      </c>
      <c r="C115" t="s">
        <v>167</v>
      </c>
      <c r="D115" t="s">
        <v>168</v>
      </c>
      <c r="E115" t="s">
        <v>145</v>
      </c>
      <c r="F115" t="s">
        <v>167</v>
      </c>
      <c r="G115">
        <v>9.4440883055512117</v>
      </c>
      <c r="H115">
        <v>1.5029972213387699</v>
      </c>
      <c r="I115">
        <v>5.5069818189852535</v>
      </c>
      <c r="J115">
        <v>37.600368180939952</v>
      </c>
      <c r="K115">
        <v>1.3263572562220902</v>
      </c>
      <c r="L115">
        <v>2.0383708229058168</v>
      </c>
      <c r="M115">
        <v>1.9680282771809763</v>
      </c>
      <c r="N115">
        <v>1.8556316271990403</v>
      </c>
      <c r="O115">
        <v>1.8597081728156375</v>
      </c>
      <c r="P115">
        <v>2.1240155448663205</v>
      </c>
      <c r="Q115">
        <v>1.3070253557120981</v>
      </c>
      <c r="R115">
        <v>1.2095558465202498</v>
      </c>
      <c r="S115">
        <v>1.2971210859341129</v>
      </c>
      <c r="T115">
        <v>1.3393743599143302</v>
      </c>
      <c r="U115">
        <v>1.3313443191676493</v>
      </c>
      <c r="V115">
        <v>1.3335057494131222</v>
      </c>
      <c r="W115" s="117">
        <v>1.4586634098358811</v>
      </c>
      <c r="X115" s="117">
        <v>1.1324089515661704</v>
      </c>
      <c r="Y115" s="117">
        <v>8.032832877985232</v>
      </c>
      <c r="Z115" s="117">
        <v>6.2361555079310529</v>
      </c>
      <c r="AA115">
        <v>1</v>
      </c>
    </row>
    <row r="116" spans="1:27" x14ac:dyDescent="0.35">
      <c r="A116" t="s">
        <v>379</v>
      </c>
      <c r="B116" t="s">
        <v>380</v>
      </c>
      <c r="C116" t="s">
        <v>167</v>
      </c>
      <c r="D116" t="s">
        <v>168</v>
      </c>
      <c r="E116" t="s">
        <v>145</v>
      </c>
      <c r="F116" t="s">
        <v>167</v>
      </c>
      <c r="G116">
        <v>11.539763460529199</v>
      </c>
      <c r="H116">
        <v>1.47079437551438</v>
      </c>
      <c r="I116">
        <v>5.3889905918846885</v>
      </c>
      <c r="J116">
        <v>17.933606353177456</v>
      </c>
      <c r="K116">
        <v>1.3263572562220902</v>
      </c>
      <c r="L116">
        <v>1.9612064253938286</v>
      </c>
      <c r="M116">
        <v>1.8820162435115426</v>
      </c>
      <c r="N116">
        <v>1.7328626112962529</v>
      </c>
      <c r="O116">
        <v>1.7827665169934614</v>
      </c>
      <c r="P116">
        <v>2.0342489512758113</v>
      </c>
      <c r="Q116">
        <v>1.3070253557120981</v>
      </c>
      <c r="R116">
        <v>1.2095558465202498</v>
      </c>
      <c r="S116">
        <v>1.2971210859341129</v>
      </c>
      <c r="T116">
        <v>1.3393743599143302</v>
      </c>
      <c r="U116">
        <v>1.3313443191676493</v>
      </c>
      <c r="V116">
        <v>1.3335057494131222</v>
      </c>
      <c r="W116" s="117">
        <v>2.7784774563322139</v>
      </c>
      <c r="X116" s="117">
        <v>2.4761292037400802</v>
      </c>
      <c r="Y116" s="117">
        <v>14.973188871938001</v>
      </c>
      <c r="Z116" s="117">
        <v>13.343836983246216</v>
      </c>
      <c r="AA116">
        <v>1</v>
      </c>
    </row>
    <row r="117" spans="1:27" x14ac:dyDescent="0.35">
      <c r="A117" t="s">
        <v>381</v>
      </c>
      <c r="B117" t="s">
        <v>382</v>
      </c>
      <c r="C117" t="s">
        <v>132</v>
      </c>
      <c r="D117" t="s">
        <v>199</v>
      </c>
      <c r="E117" t="s">
        <v>138</v>
      </c>
      <c r="F117" t="s">
        <v>132</v>
      </c>
      <c r="G117">
        <v>17.299894156577054</v>
      </c>
      <c r="H117">
        <v>1.43293576219037</v>
      </c>
      <c r="I117">
        <v>5.2502766326655159</v>
      </c>
      <c r="J117">
        <v>11.859730543552535</v>
      </c>
      <c r="K117">
        <v>1.1764228653088502</v>
      </c>
      <c r="L117">
        <v>1.2067690036967176</v>
      </c>
      <c r="M117">
        <v>1.1866174178280724</v>
      </c>
      <c r="N117">
        <v>1.1300269287366023</v>
      </c>
      <c r="O117">
        <v>1.1919270064378424</v>
      </c>
      <c r="P117">
        <v>1.2529274166703845</v>
      </c>
      <c r="Q117">
        <v>1.234033450224737</v>
      </c>
      <c r="R117">
        <v>1.0901307546951258</v>
      </c>
      <c r="S117">
        <v>1.0599826962241754</v>
      </c>
      <c r="T117">
        <v>1.1372607799723293</v>
      </c>
      <c r="U117">
        <v>1.0615175586333341</v>
      </c>
      <c r="V117">
        <v>1.1250789639924195</v>
      </c>
      <c r="W117" s="117">
        <v>1.3964935006244392</v>
      </c>
      <c r="X117" s="117">
        <v>0.62716173765315686</v>
      </c>
      <c r="Y117" s="117">
        <v>7.3319771939977594</v>
      </c>
      <c r="Z117" s="117">
        <v>3.2927726161022699</v>
      </c>
      <c r="AA117">
        <v>1</v>
      </c>
    </row>
    <row r="118" spans="1:27" x14ac:dyDescent="0.35">
      <c r="A118" t="s">
        <v>383</v>
      </c>
      <c r="B118" t="s">
        <v>384</v>
      </c>
      <c r="C118" t="s">
        <v>148</v>
      </c>
      <c r="D118" t="s">
        <v>149</v>
      </c>
      <c r="E118" t="s">
        <v>123</v>
      </c>
      <c r="F118" t="s">
        <v>150</v>
      </c>
      <c r="G118" t="s">
        <v>149</v>
      </c>
      <c r="H118">
        <v>3.1662498878362901E-3</v>
      </c>
      <c r="I118">
        <v>1.1601139589032167E-2</v>
      </c>
      <c r="J118" t="s">
        <v>149</v>
      </c>
      <c r="K118" t="s">
        <v>149</v>
      </c>
      <c r="L118">
        <v>1.2385981682627154</v>
      </c>
      <c r="M118">
        <v>1.2157310073334064</v>
      </c>
      <c r="N118">
        <v>1.1641185092236064</v>
      </c>
      <c r="O118">
        <v>1.2237446676811887</v>
      </c>
      <c r="P118">
        <v>1.277363372111487</v>
      </c>
      <c r="Q118" t="s">
        <v>149</v>
      </c>
      <c r="R118">
        <v>1.154133732123878</v>
      </c>
      <c r="S118">
        <v>1.2154822023485663</v>
      </c>
      <c r="T118">
        <v>1.2953811605285075</v>
      </c>
      <c r="U118">
        <v>1.2357210310006459</v>
      </c>
      <c r="V118">
        <v>1.3448954049704989</v>
      </c>
      <c r="W118" s="117">
        <v>0</v>
      </c>
      <c r="X118" s="117">
        <v>0</v>
      </c>
      <c r="Y118" s="117">
        <v>0</v>
      </c>
      <c r="Z118" s="117">
        <v>0</v>
      </c>
      <c r="AA118">
        <v>1</v>
      </c>
    </row>
    <row r="119" spans="1:27" x14ac:dyDescent="0.35">
      <c r="A119" t="s">
        <v>385</v>
      </c>
      <c r="B119" t="s">
        <v>386</v>
      </c>
      <c r="C119" t="s">
        <v>374</v>
      </c>
      <c r="D119" t="s">
        <v>168</v>
      </c>
      <c r="E119" t="s">
        <v>145</v>
      </c>
      <c r="F119" t="s">
        <v>167</v>
      </c>
      <c r="G119">
        <v>8.0998902199724885</v>
      </c>
      <c r="H119">
        <v>1.36165838222595</v>
      </c>
      <c r="I119">
        <v>4.9891163124758808</v>
      </c>
      <c r="J119">
        <v>10.099157269802497</v>
      </c>
      <c r="K119">
        <v>1.3263572562220902</v>
      </c>
      <c r="L119">
        <v>1.5963240717558658</v>
      </c>
      <c r="M119">
        <v>1.5284720537489731</v>
      </c>
      <c r="N119">
        <v>1.3785984406327738</v>
      </c>
      <c r="O119">
        <v>1.5276666559417871</v>
      </c>
      <c r="P119">
        <v>1.6721470135847669</v>
      </c>
      <c r="Q119">
        <v>1.3070253557120981</v>
      </c>
      <c r="R119">
        <v>1.2095558465202498</v>
      </c>
      <c r="S119">
        <v>1.2971210859341129</v>
      </c>
      <c r="T119">
        <v>1.3393743599143302</v>
      </c>
      <c r="U119">
        <v>1.3313443191676493</v>
      </c>
      <c r="V119">
        <v>1.3335057494131222</v>
      </c>
      <c r="W119" s="117">
        <v>1.1569782412091769</v>
      </c>
      <c r="X119" s="117">
        <v>0.68680769518673224</v>
      </c>
      <c r="Y119" s="117">
        <v>5.7722990163963592</v>
      </c>
      <c r="Z119" s="117">
        <v>3.4265634755900884</v>
      </c>
      <c r="AA119">
        <v>1</v>
      </c>
    </row>
    <row r="120" spans="1:27" x14ac:dyDescent="0.35">
      <c r="A120" t="s">
        <v>387</v>
      </c>
      <c r="B120" t="s">
        <v>388</v>
      </c>
      <c r="C120" t="s">
        <v>132</v>
      </c>
      <c r="D120" t="s">
        <v>199</v>
      </c>
      <c r="E120" t="s">
        <v>128</v>
      </c>
      <c r="F120" t="s">
        <v>132</v>
      </c>
      <c r="G120">
        <v>18.77247205499572</v>
      </c>
      <c r="H120">
        <v>1.2905455992718899</v>
      </c>
      <c r="I120">
        <v>4.7285590757322051</v>
      </c>
      <c r="J120">
        <v>15.131866270593649</v>
      </c>
      <c r="K120">
        <v>1.1764228653088502</v>
      </c>
      <c r="L120">
        <v>1.2930231007413298</v>
      </c>
      <c r="M120">
        <v>1.2616699090737677</v>
      </c>
      <c r="N120">
        <v>1.2386061781503492</v>
      </c>
      <c r="O120">
        <v>1.2510333882844884</v>
      </c>
      <c r="P120">
        <v>1.3199659248550963</v>
      </c>
      <c r="Q120">
        <v>1.234033450224737</v>
      </c>
      <c r="R120">
        <v>0.90947003354549738</v>
      </c>
      <c r="S120">
        <v>1.0160301239037073</v>
      </c>
      <c r="T120">
        <v>1.0683930558484569</v>
      </c>
      <c r="U120">
        <v>1.0727560349127803</v>
      </c>
      <c r="V120">
        <v>1.2137481184144505</v>
      </c>
      <c r="W120" s="117">
        <v>1.171106304446712</v>
      </c>
      <c r="X120" s="117">
        <v>1.171106304446712</v>
      </c>
      <c r="Y120" s="117">
        <v>5.5376453445387028</v>
      </c>
      <c r="Z120" s="117">
        <v>5.5376453445387028</v>
      </c>
      <c r="AA120">
        <v>1</v>
      </c>
    </row>
    <row r="121" spans="1:27" x14ac:dyDescent="0.35">
      <c r="A121" t="s">
        <v>389</v>
      </c>
      <c r="B121" t="s">
        <v>390</v>
      </c>
      <c r="C121" t="s">
        <v>177</v>
      </c>
      <c r="D121" t="s">
        <v>178</v>
      </c>
      <c r="E121" t="s">
        <v>164</v>
      </c>
      <c r="F121" t="s">
        <v>129</v>
      </c>
      <c r="G121">
        <v>7.78250898361956</v>
      </c>
      <c r="H121">
        <v>1.24371337089595</v>
      </c>
      <c r="I121">
        <v>4.556965790962761</v>
      </c>
      <c r="J121">
        <v>12.586941392634696</v>
      </c>
      <c r="K121">
        <v>1.2214137182566644</v>
      </c>
      <c r="L121">
        <v>1.5937338416091857</v>
      </c>
      <c r="M121">
        <v>1.5484167802861617</v>
      </c>
      <c r="N121">
        <v>1.5448867286191363</v>
      </c>
      <c r="O121">
        <v>1.4606660501346285</v>
      </c>
      <c r="P121">
        <v>1.604367785414488</v>
      </c>
      <c r="Q121">
        <v>1.1137228775074144</v>
      </c>
      <c r="R121">
        <v>1.1523297796771568</v>
      </c>
      <c r="S121">
        <v>1.261678755528314</v>
      </c>
      <c r="T121">
        <v>1.2456836932865165</v>
      </c>
      <c r="U121">
        <v>1.2512749062312558</v>
      </c>
      <c r="V121">
        <v>1.4406165004533091</v>
      </c>
      <c r="W121" s="117">
        <v>8.8099752023362434</v>
      </c>
      <c r="X121" s="117">
        <v>7.5739816747944007</v>
      </c>
      <c r="Y121" s="117">
        <v>40.146755616276486</v>
      </c>
      <c r="Z121" s="117">
        <v>34.51437539341692</v>
      </c>
      <c r="AA121">
        <v>1</v>
      </c>
    </row>
    <row r="122" spans="1:27" x14ac:dyDescent="0.35">
      <c r="A122" t="s">
        <v>391</v>
      </c>
      <c r="B122" t="s">
        <v>392</v>
      </c>
      <c r="C122" t="s">
        <v>167</v>
      </c>
      <c r="D122" t="s">
        <v>168</v>
      </c>
      <c r="E122" t="s">
        <v>145</v>
      </c>
      <c r="F122" t="s">
        <v>167</v>
      </c>
      <c r="G122">
        <v>15.867349712086517</v>
      </c>
      <c r="H122">
        <v>1.2371077860320101</v>
      </c>
      <c r="I122">
        <v>4.5327629280212856</v>
      </c>
      <c r="J122">
        <v>14.169626010122927</v>
      </c>
      <c r="K122">
        <v>1.3263572562220902</v>
      </c>
      <c r="L122">
        <v>2.8531898284936479</v>
      </c>
      <c r="M122">
        <v>2.5449672863583239</v>
      </c>
      <c r="N122">
        <v>2.2136519620544406</v>
      </c>
      <c r="O122">
        <v>2.2202823922398225</v>
      </c>
      <c r="P122">
        <v>2.9823187055989342</v>
      </c>
      <c r="Q122">
        <v>1.3070253557120981</v>
      </c>
      <c r="R122">
        <v>1.2095558465202498</v>
      </c>
      <c r="S122">
        <v>1.2971210859341129</v>
      </c>
      <c r="T122">
        <v>1.3393743599143302</v>
      </c>
      <c r="U122">
        <v>1.3313443191676493</v>
      </c>
      <c r="V122">
        <v>1.3335057494131222</v>
      </c>
      <c r="W122" s="117">
        <v>1.6287270597874064</v>
      </c>
      <c r="X122" s="117">
        <v>1.4948502355797011</v>
      </c>
      <c r="Y122" s="117">
        <v>7.382633636469464</v>
      </c>
      <c r="Z122" s="117">
        <v>6.7758017307795546</v>
      </c>
      <c r="AA122">
        <v>1</v>
      </c>
    </row>
    <row r="123" spans="1:27" x14ac:dyDescent="0.35">
      <c r="A123" t="s">
        <v>393</v>
      </c>
      <c r="B123" t="s">
        <v>394</v>
      </c>
      <c r="C123" t="s">
        <v>167</v>
      </c>
      <c r="D123" t="s">
        <v>168</v>
      </c>
      <c r="E123" t="s">
        <v>145</v>
      </c>
      <c r="F123" t="s">
        <v>167</v>
      </c>
      <c r="G123">
        <v>9.9926918257651849</v>
      </c>
      <c r="H123">
        <v>1.14856796148016</v>
      </c>
      <c r="I123">
        <v>4.2083530108633065</v>
      </c>
      <c r="J123">
        <v>10.926820603402048</v>
      </c>
      <c r="K123">
        <v>1.3263572562220902</v>
      </c>
      <c r="L123">
        <v>1.5158582926150086</v>
      </c>
      <c r="M123">
        <v>1.4648111801758172</v>
      </c>
      <c r="N123">
        <v>1.3594242679002007</v>
      </c>
      <c r="O123">
        <v>1.4443844174920446</v>
      </c>
      <c r="P123">
        <v>1.5691549835500309</v>
      </c>
      <c r="Q123">
        <v>1.3070253557120981</v>
      </c>
      <c r="R123">
        <v>1.2095558465202498</v>
      </c>
      <c r="S123">
        <v>1.2971210859341129</v>
      </c>
      <c r="T123">
        <v>1.3393743599143302</v>
      </c>
      <c r="U123">
        <v>1.3313443191676493</v>
      </c>
      <c r="V123">
        <v>1.3335057494131222</v>
      </c>
      <c r="W123" s="117">
        <v>1.2338010810155835</v>
      </c>
      <c r="X123" s="117">
        <v>0.7978350261166095</v>
      </c>
      <c r="Y123" s="117">
        <v>5.1922704940983335</v>
      </c>
      <c r="Z123" s="117">
        <v>3.3575714343300382</v>
      </c>
      <c r="AA123">
        <v>1</v>
      </c>
    </row>
    <row r="124" spans="1:27" x14ac:dyDescent="0.35">
      <c r="A124" t="s">
        <v>395</v>
      </c>
      <c r="B124" t="s">
        <v>396</v>
      </c>
      <c r="C124" t="s">
        <v>167</v>
      </c>
      <c r="D124" t="s">
        <v>168</v>
      </c>
      <c r="E124" t="s">
        <v>145</v>
      </c>
      <c r="F124" t="s">
        <v>167</v>
      </c>
      <c r="G124">
        <v>12.163725563037998</v>
      </c>
      <c r="H124">
        <v>1.09186189805178</v>
      </c>
      <c r="I124">
        <v>4.0005819944617222</v>
      </c>
      <c r="J124">
        <v>13.225591803623153</v>
      </c>
      <c r="K124">
        <v>1.3263572562220902</v>
      </c>
      <c r="L124">
        <v>1.7220621600937793</v>
      </c>
      <c r="M124">
        <v>1.6519807814409107</v>
      </c>
      <c r="N124">
        <v>1.6993937259237633</v>
      </c>
      <c r="O124">
        <v>1.5756388940138293</v>
      </c>
      <c r="P124">
        <v>1.814712912448853</v>
      </c>
      <c r="Q124">
        <v>1.3070253557120981</v>
      </c>
      <c r="R124">
        <v>1.2095558465202498</v>
      </c>
      <c r="S124">
        <v>1.2971210859341129</v>
      </c>
      <c r="T124">
        <v>1.3393743599143302</v>
      </c>
      <c r="U124">
        <v>1.3313443191676493</v>
      </c>
      <c r="V124">
        <v>1.3335057494131222</v>
      </c>
      <c r="W124" s="117">
        <v>1.0126208529868104</v>
      </c>
      <c r="X124" s="117">
        <v>0.83177094667348717</v>
      </c>
      <c r="Y124" s="117">
        <v>4.0510727516755045</v>
      </c>
      <c r="Z124" s="117">
        <v>3.3275678727783342</v>
      </c>
      <c r="AA124">
        <v>1</v>
      </c>
    </row>
    <row r="125" spans="1:27" x14ac:dyDescent="0.35">
      <c r="A125" t="s">
        <v>397</v>
      </c>
      <c r="B125" t="s">
        <v>398</v>
      </c>
      <c r="C125" t="s">
        <v>148</v>
      </c>
      <c r="D125" t="s">
        <v>149</v>
      </c>
      <c r="E125" t="s">
        <v>123</v>
      </c>
      <c r="F125" t="s">
        <v>150</v>
      </c>
      <c r="G125" t="s">
        <v>149</v>
      </c>
      <c r="H125" t="s">
        <v>149</v>
      </c>
      <c r="I125" t="s">
        <v>149</v>
      </c>
      <c r="J125" t="s">
        <v>149</v>
      </c>
      <c r="K125" t="s">
        <v>149</v>
      </c>
      <c r="L125">
        <v>1.2385981682627154</v>
      </c>
      <c r="M125">
        <v>1.2157310073334064</v>
      </c>
      <c r="N125">
        <v>1.1641185092236064</v>
      </c>
      <c r="O125">
        <v>1.2237446676811887</v>
      </c>
      <c r="P125">
        <v>1.277363372111487</v>
      </c>
      <c r="Q125" t="s">
        <v>149</v>
      </c>
      <c r="R125">
        <v>1.154133732123878</v>
      </c>
      <c r="S125">
        <v>1.2154822023485663</v>
      </c>
      <c r="T125">
        <v>1.2953811605285075</v>
      </c>
      <c r="U125">
        <v>1.2357210310006459</v>
      </c>
      <c r="V125">
        <v>1.3448954049704989</v>
      </c>
      <c r="W125" s="117" t="s">
        <v>149</v>
      </c>
      <c r="X125" s="117" t="s">
        <v>149</v>
      </c>
      <c r="Y125" s="117" t="s">
        <v>149</v>
      </c>
      <c r="Z125" s="117" t="s">
        <v>149</v>
      </c>
      <c r="AA125">
        <v>0</v>
      </c>
    </row>
    <row r="126" spans="1:27" x14ac:dyDescent="0.35">
      <c r="A126" t="s">
        <v>399</v>
      </c>
      <c r="B126" t="s">
        <v>400</v>
      </c>
      <c r="C126" t="s">
        <v>167</v>
      </c>
      <c r="D126" t="s">
        <v>168</v>
      </c>
      <c r="E126" t="s">
        <v>145</v>
      </c>
      <c r="F126" t="s">
        <v>167</v>
      </c>
      <c r="G126">
        <v>11.380564940481907</v>
      </c>
      <c r="H126">
        <v>1.0767315194484699</v>
      </c>
      <c r="I126">
        <v>3.9451442872591937</v>
      </c>
      <c r="J126">
        <v>10.562637375594019</v>
      </c>
      <c r="K126">
        <v>1.3263572562220902</v>
      </c>
      <c r="L126">
        <v>1.5625437395952078</v>
      </c>
      <c r="M126">
        <v>1.5229106614596377</v>
      </c>
      <c r="N126">
        <v>1.441387470722475</v>
      </c>
      <c r="O126">
        <v>1.5033847260629685</v>
      </c>
      <c r="P126">
        <v>1.6055005055935563</v>
      </c>
      <c r="Q126">
        <v>1.3070253557120981</v>
      </c>
      <c r="R126">
        <v>1.2095558465202498</v>
      </c>
      <c r="S126">
        <v>1.2971210859341129</v>
      </c>
      <c r="T126">
        <v>1.3393743599143302</v>
      </c>
      <c r="U126">
        <v>1.3313443191676493</v>
      </c>
      <c r="V126">
        <v>1.3335057494131222</v>
      </c>
      <c r="W126" s="117">
        <v>0.85465169900543003</v>
      </c>
      <c r="X126" s="117">
        <v>0.73548201855214257</v>
      </c>
      <c r="Y126" s="117">
        <v>3.3717242679276365</v>
      </c>
      <c r="Z126" s="117">
        <v>2.9015826838728458</v>
      </c>
      <c r="AA126">
        <v>1</v>
      </c>
    </row>
    <row r="127" spans="1:27" x14ac:dyDescent="0.35">
      <c r="A127" t="s">
        <v>401</v>
      </c>
      <c r="B127" t="s">
        <v>402</v>
      </c>
      <c r="C127" t="s">
        <v>403</v>
      </c>
      <c r="D127" t="s">
        <v>168</v>
      </c>
      <c r="E127" t="s">
        <v>145</v>
      </c>
      <c r="F127" t="s">
        <v>167</v>
      </c>
      <c r="G127">
        <v>15.035562521211304</v>
      </c>
      <c r="H127">
        <v>1.0721515187924799</v>
      </c>
      <c r="I127">
        <v>3.9283631648556465</v>
      </c>
      <c r="J127">
        <v>17.46539277903662</v>
      </c>
      <c r="K127">
        <v>1.3263572562220902</v>
      </c>
      <c r="L127">
        <v>1.5963240717558658</v>
      </c>
      <c r="M127">
        <v>1.5284720537489731</v>
      </c>
      <c r="N127">
        <v>1.3785984406327738</v>
      </c>
      <c r="O127">
        <v>1.5276666559417871</v>
      </c>
      <c r="P127">
        <v>1.6721470135847669</v>
      </c>
      <c r="Q127">
        <v>1.3070253557120981</v>
      </c>
      <c r="R127">
        <v>1.2095558465202498</v>
      </c>
      <c r="S127">
        <v>1.2971210859341129</v>
      </c>
      <c r="T127">
        <v>1.3393743599143302</v>
      </c>
      <c r="U127">
        <v>1.3313443191676493</v>
      </c>
      <c r="V127">
        <v>1.3335057494131222</v>
      </c>
      <c r="W127" s="117">
        <v>2.2454593328231236</v>
      </c>
      <c r="X127" s="117">
        <v>1.7080624605173604</v>
      </c>
      <c r="Y127" s="117">
        <v>8.8209797312436944</v>
      </c>
      <c r="Z127" s="117">
        <v>6.7098896531691006</v>
      </c>
      <c r="AA127">
        <v>1</v>
      </c>
    </row>
    <row r="128" spans="1:27" x14ac:dyDescent="0.35">
      <c r="A128" t="s">
        <v>404</v>
      </c>
      <c r="B128" t="s">
        <v>405</v>
      </c>
      <c r="C128" t="s">
        <v>403</v>
      </c>
      <c r="D128" t="s">
        <v>168</v>
      </c>
      <c r="E128" t="s">
        <v>145</v>
      </c>
      <c r="F128" t="s">
        <v>167</v>
      </c>
      <c r="G128">
        <v>11.249017564207053</v>
      </c>
      <c r="H128">
        <v>1.0522056313897299</v>
      </c>
      <c r="I128">
        <v>3.8552814334119705</v>
      </c>
      <c r="J128">
        <v>7.9159855137024602</v>
      </c>
      <c r="K128">
        <v>1.3263572562220902</v>
      </c>
      <c r="L128">
        <v>1.5963240717558658</v>
      </c>
      <c r="M128">
        <v>1.5284720537489731</v>
      </c>
      <c r="N128">
        <v>1.3785984406327738</v>
      </c>
      <c r="O128">
        <v>1.5276666559417871</v>
      </c>
      <c r="P128">
        <v>1.6721470135847669</v>
      </c>
      <c r="Q128">
        <v>1.3070253557120981</v>
      </c>
      <c r="R128">
        <v>1.2095558465202498</v>
      </c>
      <c r="S128">
        <v>1.2971210859341129</v>
      </c>
      <c r="T128">
        <v>1.3393743599143302</v>
      </c>
      <c r="U128">
        <v>1.3313443191676493</v>
      </c>
      <c r="V128">
        <v>1.3335057494131222</v>
      </c>
      <c r="W128" s="117">
        <v>1.1220765326288171</v>
      </c>
      <c r="X128" s="117">
        <v>0.31001114540277708</v>
      </c>
      <c r="Y128" s="117">
        <v>4.3259208231111597</v>
      </c>
      <c r="Z128" s="117">
        <v>1.1951802130221052</v>
      </c>
      <c r="AA128">
        <v>1</v>
      </c>
    </row>
    <row r="129" spans="1:27" x14ac:dyDescent="0.35">
      <c r="A129" t="s">
        <v>406</v>
      </c>
      <c r="B129" t="s">
        <v>407</v>
      </c>
      <c r="C129" t="s">
        <v>244</v>
      </c>
      <c r="D129" t="s">
        <v>178</v>
      </c>
      <c r="E129" t="s">
        <v>164</v>
      </c>
      <c r="F129" t="s">
        <v>129</v>
      </c>
      <c r="G129">
        <v>18.221951382044889</v>
      </c>
      <c r="H129">
        <v>0.87089649603303598</v>
      </c>
      <c r="I129">
        <v>3.190964761465044</v>
      </c>
      <c r="J129">
        <v>5.4712565947242204</v>
      </c>
      <c r="K129">
        <v>1.2214137182566644</v>
      </c>
      <c r="L129">
        <v>1.4904316059472853</v>
      </c>
      <c r="M129">
        <v>1.4610847772130751</v>
      </c>
      <c r="N129">
        <v>1.3701392224490256</v>
      </c>
      <c r="O129">
        <v>1.4354696297925016</v>
      </c>
      <c r="P129">
        <v>1.5281407979197132</v>
      </c>
      <c r="Q129">
        <v>1.1137228775074144</v>
      </c>
      <c r="R129">
        <v>1.1523297796771568</v>
      </c>
      <c r="S129">
        <v>1.261678755528314</v>
      </c>
      <c r="T129">
        <v>1.2456836932865165</v>
      </c>
      <c r="U129">
        <v>1.2512749062312558</v>
      </c>
      <c r="V129">
        <v>1.4406165004533091</v>
      </c>
      <c r="W129" s="117">
        <v>1.405333506985655</v>
      </c>
      <c r="X129" s="117">
        <v>0</v>
      </c>
      <c r="Y129" s="117">
        <v>4.4843696988973143</v>
      </c>
      <c r="Z129" s="117">
        <v>0</v>
      </c>
      <c r="AA129">
        <v>1</v>
      </c>
    </row>
    <row r="130" spans="1:27" x14ac:dyDescent="0.35">
      <c r="A130" t="s">
        <v>408</v>
      </c>
      <c r="B130" t="s">
        <v>409</v>
      </c>
      <c r="C130" t="s">
        <v>177</v>
      </c>
      <c r="D130" t="s">
        <v>149</v>
      </c>
      <c r="E130" t="s">
        <v>123</v>
      </c>
      <c r="F130" t="s">
        <v>129</v>
      </c>
      <c r="G130" t="s">
        <v>149</v>
      </c>
      <c r="H130" t="s">
        <v>149</v>
      </c>
      <c r="I130" t="s">
        <v>149</v>
      </c>
      <c r="J130">
        <v>103.1383</v>
      </c>
      <c r="K130" t="s">
        <v>149</v>
      </c>
      <c r="L130">
        <v>1.2161274195852845</v>
      </c>
      <c r="M130">
        <v>1.1935809702291698</v>
      </c>
      <c r="N130">
        <v>1.156765427869388</v>
      </c>
      <c r="O130">
        <v>1.1728673162540342</v>
      </c>
      <c r="P130">
        <v>1.2214366892582176</v>
      </c>
      <c r="Q130" t="s">
        <v>149</v>
      </c>
      <c r="R130">
        <v>1.154133732123878</v>
      </c>
      <c r="S130">
        <v>1.2154822023485663</v>
      </c>
      <c r="T130">
        <v>1.2953811605285075</v>
      </c>
      <c r="U130">
        <v>1.2357210310006459</v>
      </c>
      <c r="V130">
        <v>1.3448954049704989</v>
      </c>
      <c r="W130" s="117" t="s">
        <v>149</v>
      </c>
      <c r="X130" s="117" t="s">
        <v>149</v>
      </c>
      <c r="Y130" s="117" t="s">
        <v>149</v>
      </c>
      <c r="Z130" s="117" t="s">
        <v>149</v>
      </c>
      <c r="AA130">
        <v>0</v>
      </c>
    </row>
    <row r="131" spans="1:27" x14ac:dyDescent="0.35">
      <c r="A131" t="s">
        <v>410</v>
      </c>
      <c r="B131" t="s">
        <v>411</v>
      </c>
      <c r="C131" t="s">
        <v>188</v>
      </c>
      <c r="D131" t="s">
        <v>149</v>
      </c>
      <c r="E131" t="s">
        <v>123</v>
      </c>
      <c r="F131" t="s">
        <v>124</v>
      </c>
      <c r="G131" t="s">
        <v>149</v>
      </c>
      <c r="H131">
        <v>15.102751241509701</v>
      </c>
      <c r="I131">
        <v>55.336480548891544</v>
      </c>
      <c r="J131" t="s">
        <v>149</v>
      </c>
      <c r="K131" t="s">
        <v>149</v>
      </c>
      <c r="L131">
        <v>1.6075990253515033</v>
      </c>
      <c r="M131">
        <v>1.5477783159783653</v>
      </c>
      <c r="N131">
        <v>1.4279094998340851</v>
      </c>
      <c r="O131">
        <v>1.5230249577532384</v>
      </c>
      <c r="P131">
        <v>1.6751514690397891</v>
      </c>
      <c r="Q131" t="s">
        <v>149</v>
      </c>
      <c r="R131">
        <v>1.154133732123878</v>
      </c>
      <c r="S131">
        <v>1.2154822023485663</v>
      </c>
      <c r="T131">
        <v>1.2953811605285075</v>
      </c>
      <c r="U131">
        <v>1.2357210310006459</v>
      </c>
      <c r="V131">
        <v>1.3448954049704989</v>
      </c>
      <c r="W131" s="117">
        <v>3.2444973609793331</v>
      </c>
      <c r="X131" s="117">
        <v>1.889156097335265</v>
      </c>
      <c r="Y131" s="117">
        <v>179.53906510676282</v>
      </c>
      <c r="Z131" s="117">
        <v>104.53924963401275</v>
      </c>
      <c r="AA131">
        <v>1</v>
      </c>
    </row>
    <row r="132" spans="1:27" x14ac:dyDescent="0.35">
      <c r="A132" t="s">
        <v>412</v>
      </c>
      <c r="B132" t="s">
        <v>413</v>
      </c>
      <c r="C132" t="s">
        <v>171</v>
      </c>
      <c r="D132" t="s">
        <v>144</v>
      </c>
      <c r="E132" t="s">
        <v>145</v>
      </c>
      <c r="F132" t="s">
        <v>124</v>
      </c>
      <c r="G132">
        <v>41.046025718459795</v>
      </c>
      <c r="H132">
        <v>0.82347250610905498</v>
      </c>
      <c r="I132">
        <v>3.0172032623835774</v>
      </c>
      <c r="J132">
        <v>15.531700000000001</v>
      </c>
      <c r="K132">
        <v>1.1944928429090393</v>
      </c>
      <c r="L132">
        <v>1.6075990253515033</v>
      </c>
      <c r="M132">
        <v>1.5477783159783653</v>
      </c>
      <c r="N132">
        <v>1.4279094998340851</v>
      </c>
      <c r="O132">
        <v>1.5230249577532384</v>
      </c>
      <c r="P132">
        <v>1.6751514690397891</v>
      </c>
      <c r="Q132">
        <v>1.1620756490513198</v>
      </c>
      <c r="R132">
        <v>1.2095558465202498</v>
      </c>
      <c r="S132">
        <v>1.2971210859341129</v>
      </c>
      <c r="T132">
        <v>1.3393743599143302</v>
      </c>
      <c r="U132">
        <v>1.3313443191676493</v>
      </c>
      <c r="V132">
        <v>1.3335057494131222</v>
      </c>
      <c r="W132" s="117">
        <v>1.6106835356720151</v>
      </c>
      <c r="X132" s="117">
        <v>1.1223359529481545</v>
      </c>
      <c r="Y132" s="117">
        <v>4.8597596184971188</v>
      </c>
      <c r="Z132" s="117">
        <v>3.3863156987255527</v>
      </c>
      <c r="AA132">
        <v>1</v>
      </c>
    </row>
    <row r="133" spans="1:27" x14ac:dyDescent="0.35">
      <c r="A133" t="s">
        <v>414</v>
      </c>
      <c r="B133" t="s">
        <v>415</v>
      </c>
      <c r="C133" t="s">
        <v>244</v>
      </c>
      <c r="D133" t="s">
        <v>178</v>
      </c>
      <c r="E133" t="s">
        <v>164</v>
      </c>
      <c r="F133" t="s">
        <v>129</v>
      </c>
      <c r="G133">
        <v>15.849647701863773</v>
      </c>
      <c r="H133">
        <v>0.71169120820782605</v>
      </c>
      <c r="I133">
        <v>2.6076365868734745</v>
      </c>
      <c r="J133">
        <v>2.8842480484906825</v>
      </c>
      <c r="K133">
        <v>1.2214137182566644</v>
      </c>
      <c r="L133">
        <v>1.4904316059472853</v>
      </c>
      <c r="M133">
        <v>1.4610847772130751</v>
      </c>
      <c r="N133">
        <v>1.3701392224490256</v>
      </c>
      <c r="O133">
        <v>1.4354696297925016</v>
      </c>
      <c r="P133">
        <v>1.5281407979197132</v>
      </c>
      <c r="Q133">
        <v>1.1137228775074144</v>
      </c>
      <c r="R133">
        <v>1.1523297796771568</v>
      </c>
      <c r="S133">
        <v>1.261678755528314</v>
      </c>
      <c r="T133">
        <v>1.2456836932865165</v>
      </c>
      <c r="U133">
        <v>1.2512749062312558</v>
      </c>
      <c r="V133">
        <v>1.4406165004533091</v>
      </c>
      <c r="W133" s="117">
        <v>1.5550544665392221</v>
      </c>
      <c r="X133" s="117">
        <v>1.5550544665392221</v>
      </c>
      <c r="Y133" s="117">
        <v>4.0550169215286891</v>
      </c>
      <c r="Z133" s="117">
        <v>4.0550169215286891</v>
      </c>
      <c r="AA133">
        <v>1</v>
      </c>
    </row>
    <row r="134" spans="1:27" x14ac:dyDescent="0.35">
      <c r="A134" t="s">
        <v>416</v>
      </c>
      <c r="B134" t="s">
        <v>417</v>
      </c>
      <c r="C134" t="s">
        <v>148</v>
      </c>
      <c r="D134" t="s">
        <v>156</v>
      </c>
      <c r="E134" t="s">
        <v>123</v>
      </c>
      <c r="F134" t="s">
        <v>150</v>
      </c>
      <c r="G134">
        <v>58.37995903416882</v>
      </c>
      <c r="H134">
        <v>0.25224457439762499</v>
      </c>
      <c r="I134">
        <v>0.92422412059289805</v>
      </c>
      <c r="J134">
        <v>5.6693687172072362</v>
      </c>
      <c r="K134">
        <v>1.4311390552424275</v>
      </c>
      <c r="L134">
        <v>1.2385981682627154</v>
      </c>
      <c r="M134">
        <v>1.2157310073334064</v>
      </c>
      <c r="N134">
        <v>1.1641185092236064</v>
      </c>
      <c r="O134">
        <v>1.2237446676811887</v>
      </c>
      <c r="P134">
        <v>1.277363372111487</v>
      </c>
      <c r="Q134">
        <v>1.39378218396165</v>
      </c>
      <c r="R134">
        <v>1.154133732123878</v>
      </c>
      <c r="S134">
        <v>1.2154822023485663</v>
      </c>
      <c r="T134">
        <v>1.2953811605285075</v>
      </c>
      <c r="U134">
        <v>1.2357210310006459</v>
      </c>
      <c r="V134">
        <v>1.3448954049704989</v>
      </c>
      <c r="W134" s="117" t="s">
        <v>149</v>
      </c>
      <c r="X134" s="117" t="s">
        <v>149</v>
      </c>
      <c r="Y134" s="117" t="s">
        <v>149</v>
      </c>
      <c r="Z134" s="117" t="s">
        <v>149</v>
      </c>
      <c r="AA134">
        <v>0</v>
      </c>
    </row>
    <row r="135" spans="1:27" x14ac:dyDescent="0.35">
      <c r="A135" t="s">
        <v>418</v>
      </c>
      <c r="B135" t="s">
        <v>419</v>
      </c>
      <c r="C135" t="s">
        <v>403</v>
      </c>
      <c r="D135" t="s">
        <v>168</v>
      </c>
      <c r="E135" t="s">
        <v>145</v>
      </c>
      <c r="F135" t="s">
        <v>167</v>
      </c>
      <c r="G135">
        <v>24.276709979168512</v>
      </c>
      <c r="H135">
        <v>0.67996196975520495</v>
      </c>
      <c r="I135">
        <v>2.491380657183071</v>
      </c>
      <c r="J135">
        <v>13.741378450136036</v>
      </c>
      <c r="K135">
        <v>1.3263572562220902</v>
      </c>
      <c r="L135">
        <v>1.5963240717558658</v>
      </c>
      <c r="M135">
        <v>1.5284720537489731</v>
      </c>
      <c r="N135">
        <v>1.3785984406327738</v>
      </c>
      <c r="O135">
        <v>1.5276666559417871</v>
      </c>
      <c r="P135">
        <v>1.6721470135847669</v>
      </c>
      <c r="Q135">
        <v>1.3070253557120981</v>
      </c>
      <c r="R135">
        <v>1.2095558465202498</v>
      </c>
      <c r="S135">
        <v>1.2971210859341129</v>
      </c>
      <c r="T135">
        <v>1.3393743599143302</v>
      </c>
      <c r="U135">
        <v>1.3313443191676493</v>
      </c>
      <c r="V135">
        <v>1.3335057494131222</v>
      </c>
      <c r="W135" s="117">
        <v>2.601024336679215</v>
      </c>
      <c r="X135" s="117">
        <v>1.5804814970170269</v>
      </c>
      <c r="Y135" s="117">
        <v>6.4801417212650243</v>
      </c>
      <c r="Z135" s="117">
        <v>3.9375810307039645</v>
      </c>
      <c r="AA135">
        <v>1</v>
      </c>
    </row>
    <row r="136" spans="1:27" x14ac:dyDescent="0.35">
      <c r="A136" t="s">
        <v>420</v>
      </c>
      <c r="B136" t="s">
        <v>421</v>
      </c>
      <c r="C136" t="s">
        <v>374</v>
      </c>
      <c r="D136" t="s">
        <v>168</v>
      </c>
      <c r="E136" t="s">
        <v>145</v>
      </c>
      <c r="F136" t="s">
        <v>167</v>
      </c>
      <c r="G136">
        <v>23.585439472198278</v>
      </c>
      <c r="H136">
        <v>0.677642166856119</v>
      </c>
      <c r="I136">
        <v>2.4828808993608202</v>
      </c>
      <c r="J136">
        <v>48.716960860066401</v>
      </c>
      <c r="K136">
        <v>1.3263572562220902</v>
      </c>
      <c r="L136">
        <v>1.5963240717558658</v>
      </c>
      <c r="M136">
        <v>1.5284720537489731</v>
      </c>
      <c r="N136">
        <v>1.3785984406327738</v>
      </c>
      <c r="O136">
        <v>1.5276666559417871</v>
      </c>
      <c r="P136">
        <v>1.6721470135847669</v>
      </c>
      <c r="Q136">
        <v>1.3070253557120981</v>
      </c>
      <c r="R136">
        <v>1.2095558465202498</v>
      </c>
      <c r="S136">
        <v>1.2971210859341129</v>
      </c>
      <c r="T136">
        <v>1.3393743599143302</v>
      </c>
      <c r="U136">
        <v>1.3313443191676493</v>
      </c>
      <c r="V136">
        <v>1.3335057494131222</v>
      </c>
      <c r="W136" s="117">
        <v>1.2391104550629453</v>
      </c>
      <c r="X136" s="117">
        <v>1.0492342119506179</v>
      </c>
      <c r="Y136" s="117">
        <v>3.0765636810740808</v>
      </c>
      <c r="Z136" s="117">
        <v>2.6051235838080919</v>
      </c>
      <c r="AA136">
        <v>1</v>
      </c>
    </row>
    <row r="137" spans="1:27" x14ac:dyDescent="0.35">
      <c r="A137" t="s">
        <v>422</v>
      </c>
      <c r="B137" t="s">
        <v>423</v>
      </c>
      <c r="C137" t="s">
        <v>132</v>
      </c>
      <c r="D137" t="s">
        <v>199</v>
      </c>
      <c r="E137" t="s">
        <v>128</v>
      </c>
      <c r="F137" t="s">
        <v>132</v>
      </c>
      <c r="G137">
        <v>40.522868279995812</v>
      </c>
      <c r="H137">
        <v>0.66901242595715205</v>
      </c>
      <c r="I137">
        <v>2.451261528707005</v>
      </c>
      <c r="J137">
        <v>4.7807221219622669</v>
      </c>
      <c r="K137">
        <v>1.1764228653088502</v>
      </c>
      <c r="L137">
        <v>1.2067690036967176</v>
      </c>
      <c r="M137">
        <v>1.1866174178280724</v>
      </c>
      <c r="N137">
        <v>1.1300269287366023</v>
      </c>
      <c r="O137">
        <v>1.1919270064378424</v>
      </c>
      <c r="P137">
        <v>1.2529274166703845</v>
      </c>
      <c r="Q137">
        <v>1.234033450224737</v>
      </c>
      <c r="R137">
        <v>0.90947003354549738</v>
      </c>
      <c r="S137">
        <v>1.0160301239037073</v>
      </c>
      <c r="T137">
        <v>1.0683930558484569</v>
      </c>
      <c r="U137">
        <v>1.0727560349127803</v>
      </c>
      <c r="V137">
        <v>1.2137481184144505</v>
      </c>
      <c r="W137" s="117">
        <v>0.77423422505001005</v>
      </c>
      <c r="X137" s="117">
        <v>0.77423422505001005</v>
      </c>
      <c r="Y137" s="117">
        <v>1.897850570073371</v>
      </c>
      <c r="Z137" s="117">
        <v>1.897850570073371</v>
      </c>
      <c r="AA137">
        <v>1</v>
      </c>
    </row>
    <row r="138" spans="1:27" x14ac:dyDescent="0.35">
      <c r="A138" t="s">
        <v>424</v>
      </c>
      <c r="B138" t="s">
        <v>425</v>
      </c>
      <c r="C138" t="s">
        <v>167</v>
      </c>
      <c r="D138" t="s">
        <v>168</v>
      </c>
      <c r="E138" t="s">
        <v>145</v>
      </c>
      <c r="F138" t="s">
        <v>167</v>
      </c>
      <c r="G138">
        <v>14.298526874523013</v>
      </c>
      <c r="H138">
        <v>0.61236165804748199</v>
      </c>
      <c r="I138">
        <v>2.243693115085974</v>
      </c>
      <c r="J138">
        <v>7.5746369786617462</v>
      </c>
      <c r="K138">
        <v>1.3263572562220902</v>
      </c>
      <c r="L138">
        <v>1.8242405851742705</v>
      </c>
      <c r="M138">
        <v>1.6986706812938346</v>
      </c>
      <c r="N138">
        <v>1.5730443073489608</v>
      </c>
      <c r="O138">
        <v>1.6109961078628707</v>
      </c>
      <c r="P138">
        <v>1.9134872147520579</v>
      </c>
      <c r="Q138">
        <v>1.3070253557120981</v>
      </c>
      <c r="R138">
        <v>1.2095558465202498</v>
      </c>
      <c r="S138">
        <v>1.2971210859341129</v>
      </c>
      <c r="T138">
        <v>1.3393743599143302</v>
      </c>
      <c r="U138">
        <v>1.3313443191676493</v>
      </c>
      <c r="V138">
        <v>1.3335057494131222</v>
      </c>
      <c r="W138" s="117">
        <v>1.2929336006951946</v>
      </c>
      <c r="X138" s="117">
        <v>0.59839797468604561</v>
      </c>
      <c r="Y138" s="117">
        <v>2.900946218143126</v>
      </c>
      <c r="Z138" s="117">
        <v>1.3426214158844716</v>
      </c>
      <c r="AA138">
        <v>1</v>
      </c>
    </row>
    <row r="139" spans="1:27" x14ac:dyDescent="0.35">
      <c r="A139" t="s">
        <v>426</v>
      </c>
      <c r="B139" t="s">
        <v>427</v>
      </c>
      <c r="C139" t="s">
        <v>428</v>
      </c>
      <c r="D139" t="s">
        <v>168</v>
      </c>
      <c r="E139" t="s">
        <v>145</v>
      </c>
      <c r="F139" t="s">
        <v>167</v>
      </c>
      <c r="G139">
        <v>19.805334768525675</v>
      </c>
      <c r="H139">
        <v>0.59717375113390803</v>
      </c>
      <c r="I139">
        <v>2.1880446241546392</v>
      </c>
      <c r="J139">
        <v>2.2507177184657725</v>
      </c>
      <c r="K139">
        <v>1.3263572562220902</v>
      </c>
      <c r="L139">
        <v>1.5963240717558658</v>
      </c>
      <c r="M139">
        <v>1.5284720537489731</v>
      </c>
      <c r="N139">
        <v>1.3785984406327738</v>
      </c>
      <c r="O139">
        <v>1.5276666559417871</v>
      </c>
      <c r="P139">
        <v>1.6721470135847669</v>
      </c>
      <c r="Q139">
        <v>1.3070253557120981</v>
      </c>
      <c r="R139">
        <v>1.2095558465202498</v>
      </c>
      <c r="S139">
        <v>1.2971210859341129</v>
      </c>
      <c r="T139">
        <v>1.3393743599143302</v>
      </c>
      <c r="U139">
        <v>1.3313443191676493</v>
      </c>
      <c r="V139">
        <v>1.3335057494131222</v>
      </c>
      <c r="W139" s="117">
        <v>1.1264840294462986</v>
      </c>
      <c r="X139" s="117">
        <v>0.84342552906259338</v>
      </c>
      <c r="Y139" s="117">
        <v>2.46479732482603</v>
      </c>
      <c r="Z139" s="117">
        <v>1.8454526947401899</v>
      </c>
      <c r="AA139">
        <v>1</v>
      </c>
    </row>
    <row r="140" spans="1:27" x14ac:dyDescent="0.35">
      <c r="A140" t="s">
        <v>429</v>
      </c>
      <c r="B140" t="s">
        <v>430</v>
      </c>
      <c r="C140" t="s">
        <v>155</v>
      </c>
      <c r="D140" t="s">
        <v>156</v>
      </c>
      <c r="E140" t="s">
        <v>123</v>
      </c>
      <c r="F140" t="s">
        <v>124</v>
      </c>
      <c r="G140">
        <v>27.211277848123711</v>
      </c>
      <c r="H140">
        <v>0.56253706340558196</v>
      </c>
      <c r="I140">
        <v>2.0611358003180524</v>
      </c>
      <c r="J140">
        <v>3.7427699674279808</v>
      </c>
      <c r="K140">
        <v>1.4311390552424275</v>
      </c>
      <c r="L140">
        <v>1.6075990253515033</v>
      </c>
      <c r="M140">
        <v>1.5477783159783653</v>
      </c>
      <c r="N140">
        <v>1.4279094998340851</v>
      </c>
      <c r="O140">
        <v>1.5230249577532384</v>
      </c>
      <c r="P140">
        <v>1.6751514690397891</v>
      </c>
      <c r="Q140">
        <v>1.39378218396165</v>
      </c>
      <c r="R140">
        <v>1.154133732123878</v>
      </c>
      <c r="S140">
        <v>1.2154822023485663</v>
      </c>
      <c r="T140">
        <v>1.2953811605285075</v>
      </c>
      <c r="U140">
        <v>1.2357210310006459</v>
      </c>
      <c r="V140">
        <v>1.3448954049704989</v>
      </c>
      <c r="W140" s="117">
        <v>1.7978720524441056</v>
      </c>
      <c r="X140" s="117">
        <v>0.12039213518884886</v>
      </c>
      <c r="Y140" s="117">
        <v>3.7056584516838411</v>
      </c>
      <c r="Z140" s="117">
        <v>0.24814453991446717</v>
      </c>
      <c r="AA140">
        <v>1</v>
      </c>
    </row>
    <row r="141" spans="1:27" x14ac:dyDescent="0.35">
      <c r="A141" t="s">
        <v>431</v>
      </c>
      <c r="B141" t="s">
        <v>432</v>
      </c>
      <c r="C141" t="s">
        <v>374</v>
      </c>
      <c r="D141" t="s">
        <v>168</v>
      </c>
      <c r="E141" t="s">
        <v>145</v>
      </c>
      <c r="F141" t="s">
        <v>167</v>
      </c>
      <c r="G141">
        <v>51.868666231048408</v>
      </c>
      <c r="H141">
        <v>0.49186624501803899</v>
      </c>
      <c r="I141">
        <v>1.8021979217460951</v>
      </c>
      <c r="J141">
        <v>10.715396135416775</v>
      </c>
      <c r="K141">
        <v>1.3263572562220902</v>
      </c>
      <c r="L141">
        <v>1.5963240717558658</v>
      </c>
      <c r="M141">
        <v>1.5284720537489731</v>
      </c>
      <c r="N141">
        <v>1.3785984406327738</v>
      </c>
      <c r="O141">
        <v>1.5276666559417871</v>
      </c>
      <c r="P141">
        <v>1.6721470135847669</v>
      </c>
      <c r="Q141">
        <v>1.3070253557120981</v>
      </c>
      <c r="R141">
        <v>1.2095558465202498</v>
      </c>
      <c r="S141">
        <v>1.2971210859341129</v>
      </c>
      <c r="T141">
        <v>1.3393743599143302</v>
      </c>
      <c r="U141">
        <v>1.3313443191676493</v>
      </c>
      <c r="V141">
        <v>1.3335057494131222</v>
      </c>
      <c r="W141" s="117">
        <v>2.0927115436941559</v>
      </c>
      <c r="X141" s="117">
        <v>1.7187337111149938</v>
      </c>
      <c r="Y141" s="117">
        <v>3.7714803948596702</v>
      </c>
      <c r="Z141" s="117">
        <v>3.0974983222063952</v>
      </c>
      <c r="AA141">
        <v>1</v>
      </c>
    </row>
    <row r="142" spans="1:27" x14ac:dyDescent="0.35">
      <c r="A142" t="s">
        <v>433</v>
      </c>
      <c r="B142" t="s">
        <v>434</v>
      </c>
      <c r="C142" t="s">
        <v>244</v>
      </c>
      <c r="D142" t="s">
        <v>149</v>
      </c>
      <c r="E142" t="s">
        <v>164</v>
      </c>
      <c r="F142" t="s">
        <v>129</v>
      </c>
      <c r="G142" t="s">
        <v>149</v>
      </c>
      <c r="H142" t="s">
        <v>149</v>
      </c>
      <c r="I142" t="s">
        <v>149</v>
      </c>
      <c r="J142" t="s">
        <v>149</v>
      </c>
      <c r="K142" t="s">
        <v>149</v>
      </c>
      <c r="L142">
        <v>1.4904316059472853</v>
      </c>
      <c r="M142">
        <v>1.4610847772130751</v>
      </c>
      <c r="N142">
        <v>1.3701392224490256</v>
      </c>
      <c r="O142">
        <v>1.4354696297925016</v>
      </c>
      <c r="P142">
        <v>1.5281407979197132</v>
      </c>
      <c r="Q142" t="s">
        <v>149</v>
      </c>
      <c r="R142">
        <v>1.1523297796771568</v>
      </c>
      <c r="S142">
        <v>1.261678755528314</v>
      </c>
      <c r="T142">
        <v>1.2456836932865165</v>
      </c>
      <c r="U142">
        <v>1.2512749062312558</v>
      </c>
      <c r="V142">
        <v>1.4406165004533091</v>
      </c>
      <c r="W142" s="117" t="s">
        <v>149</v>
      </c>
      <c r="X142" s="117" t="s">
        <v>149</v>
      </c>
      <c r="Y142" s="117" t="s">
        <v>149</v>
      </c>
      <c r="Z142" s="117" t="s">
        <v>149</v>
      </c>
      <c r="AA142">
        <v>0</v>
      </c>
    </row>
    <row r="143" spans="1:27" x14ac:dyDescent="0.35">
      <c r="A143" t="s">
        <v>435</v>
      </c>
      <c r="B143" t="s">
        <v>436</v>
      </c>
      <c r="C143" t="s">
        <v>403</v>
      </c>
      <c r="D143" t="s">
        <v>149</v>
      </c>
      <c r="E143" t="s">
        <v>164</v>
      </c>
      <c r="F143" t="s">
        <v>167</v>
      </c>
      <c r="G143" t="s">
        <v>149</v>
      </c>
      <c r="H143">
        <v>3.4152082943723601E-3</v>
      </c>
      <c r="I143">
        <v>1.2513323190580327E-2</v>
      </c>
      <c r="J143" t="s">
        <v>149</v>
      </c>
      <c r="K143" t="s">
        <v>149</v>
      </c>
      <c r="L143">
        <v>1.5963240717558658</v>
      </c>
      <c r="M143">
        <v>1.5284720537489731</v>
      </c>
      <c r="N143">
        <v>1.3785984406327738</v>
      </c>
      <c r="O143">
        <v>1.5276666559417871</v>
      </c>
      <c r="P143">
        <v>1.6721470135847669</v>
      </c>
      <c r="Q143" t="s">
        <v>149</v>
      </c>
      <c r="R143">
        <v>1.1523297796771568</v>
      </c>
      <c r="S143">
        <v>1.261678755528314</v>
      </c>
      <c r="T143">
        <v>1.2456836932865165</v>
      </c>
      <c r="U143">
        <v>1.2512749062312558</v>
      </c>
      <c r="V143">
        <v>1.4406165004533091</v>
      </c>
      <c r="W143" s="117" t="s">
        <v>149</v>
      </c>
      <c r="X143" s="117" t="s">
        <v>149</v>
      </c>
      <c r="Y143" s="117" t="s">
        <v>149</v>
      </c>
      <c r="Z143" s="117" t="s">
        <v>149</v>
      </c>
      <c r="AA143">
        <v>0</v>
      </c>
    </row>
    <row r="144" spans="1:27" x14ac:dyDescent="0.35">
      <c r="A144" t="s">
        <v>437</v>
      </c>
      <c r="B144" t="s">
        <v>438</v>
      </c>
      <c r="C144" t="s">
        <v>167</v>
      </c>
      <c r="D144" t="s">
        <v>168</v>
      </c>
      <c r="E144" t="s">
        <v>145</v>
      </c>
      <c r="F144" t="s">
        <v>167</v>
      </c>
      <c r="G144">
        <v>47.743017109133206</v>
      </c>
      <c r="H144">
        <v>0.45356869566744501</v>
      </c>
      <c r="I144">
        <v>1.6618757009255185</v>
      </c>
      <c r="J144">
        <v>10.184345442170812</v>
      </c>
      <c r="K144">
        <v>1.3263572562220902</v>
      </c>
      <c r="L144">
        <v>2.0587596881078554</v>
      </c>
      <c r="M144">
        <v>1.9637439071700413</v>
      </c>
      <c r="N144">
        <v>1.735817163323891</v>
      </c>
      <c r="O144">
        <v>1.8409439954132183</v>
      </c>
      <c r="P144">
        <v>2.1596118416286458</v>
      </c>
      <c r="Q144">
        <v>1.3070253557120981</v>
      </c>
      <c r="R144">
        <v>1.2095558465202498</v>
      </c>
      <c r="S144">
        <v>1.2971210859341129</v>
      </c>
      <c r="T144">
        <v>1.3393743599143302</v>
      </c>
      <c r="U144">
        <v>1.3313443191676493</v>
      </c>
      <c r="V144">
        <v>1.3335057494131222</v>
      </c>
      <c r="W144" s="117">
        <v>1.3399241257844188</v>
      </c>
      <c r="X144" s="117">
        <v>1.019394171236883</v>
      </c>
      <c r="Y144" s="117">
        <v>2.2267873457249934</v>
      </c>
      <c r="Z144" s="117">
        <v>1.694106402843683</v>
      </c>
      <c r="AA144">
        <v>1</v>
      </c>
    </row>
    <row r="145" spans="1:27" x14ac:dyDescent="0.35">
      <c r="A145" t="s">
        <v>439</v>
      </c>
      <c r="B145" t="s">
        <v>440</v>
      </c>
      <c r="C145" t="s">
        <v>155</v>
      </c>
      <c r="D145" t="s">
        <v>156</v>
      </c>
      <c r="E145" t="s">
        <v>123</v>
      </c>
      <c r="F145" t="s">
        <v>124</v>
      </c>
      <c r="G145">
        <v>25.092580830887833</v>
      </c>
      <c r="H145">
        <v>0.40930493686063901</v>
      </c>
      <c r="I145">
        <v>1.4996932886573815</v>
      </c>
      <c r="J145">
        <v>2.315436303299883</v>
      </c>
      <c r="K145">
        <v>1.4311390552424275</v>
      </c>
      <c r="L145">
        <v>1.6075990253515033</v>
      </c>
      <c r="M145">
        <v>1.5477783159783653</v>
      </c>
      <c r="N145">
        <v>1.4279094998340851</v>
      </c>
      <c r="O145">
        <v>1.5230249577532384</v>
      </c>
      <c r="P145">
        <v>1.6751514690397891</v>
      </c>
      <c r="Q145">
        <v>1.39378218396165</v>
      </c>
      <c r="R145">
        <v>1.154133732123878</v>
      </c>
      <c r="S145">
        <v>1.2154822023485663</v>
      </c>
      <c r="T145">
        <v>1.2953811605285075</v>
      </c>
      <c r="U145">
        <v>1.2357210310006459</v>
      </c>
      <c r="V145">
        <v>1.3448954049704989</v>
      </c>
      <c r="W145" s="117">
        <v>1.2927225430971738</v>
      </c>
      <c r="X145" s="117">
        <v>1.2927225430971738</v>
      </c>
      <c r="Y145" s="117">
        <v>1.9386873219789342</v>
      </c>
      <c r="Z145" s="117">
        <v>1.9386873219789342</v>
      </c>
      <c r="AA145">
        <v>1</v>
      </c>
    </row>
    <row r="146" spans="1:27" x14ac:dyDescent="0.35">
      <c r="A146" t="s">
        <v>441</v>
      </c>
      <c r="B146" t="s">
        <v>442</v>
      </c>
      <c r="C146" t="s">
        <v>371</v>
      </c>
      <c r="D146" t="s">
        <v>168</v>
      </c>
      <c r="E146" t="s">
        <v>145</v>
      </c>
      <c r="F146" t="s">
        <v>167</v>
      </c>
      <c r="G146">
        <v>33.843977497340951</v>
      </c>
      <c r="H146">
        <v>0.40907060854480198</v>
      </c>
      <c r="I146">
        <v>1.4988347097081545</v>
      </c>
      <c r="J146">
        <v>26.987563444148932</v>
      </c>
      <c r="K146">
        <v>1.3263572562220902</v>
      </c>
      <c r="L146">
        <v>1.5963240717558658</v>
      </c>
      <c r="M146">
        <v>1.5284720537489731</v>
      </c>
      <c r="N146">
        <v>1.3785984406327738</v>
      </c>
      <c r="O146">
        <v>1.5276666559417871</v>
      </c>
      <c r="P146">
        <v>1.6721470135847669</v>
      </c>
      <c r="Q146">
        <v>1.3070253557120981</v>
      </c>
      <c r="R146">
        <v>1.2095558465202498</v>
      </c>
      <c r="S146">
        <v>1.2971210859341129</v>
      </c>
      <c r="T146">
        <v>1.3393743599143302</v>
      </c>
      <c r="U146">
        <v>1.3313443191676493</v>
      </c>
      <c r="V146">
        <v>1.3335057494131222</v>
      </c>
      <c r="W146" s="117">
        <v>1.0675822059217643</v>
      </c>
      <c r="X146" s="117">
        <v>0.73634314655093336</v>
      </c>
      <c r="Y146" s="117">
        <v>1.6001292657023389</v>
      </c>
      <c r="Z146" s="117">
        <v>1.1036566663062573</v>
      </c>
      <c r="AA146">
        <v>1</v>
      </c>
    </row>
    <row r="147" spans="1:27" x14ac:dyDescent="0.35">
      <c r="A147" t="s">
        <v>443</v>
      </c>
      <c r="B147" t="s">
        <v>444</v>
      </c>
      <c r="C147" t="s">
        <v>132</v>
      </c>
      <c r="D147" t="s">
        <v>149</v>
      </c>
      <c r="E147" t="s">
        <v>128</v>
      </c>
      <c r="F147" t="s">
        <v>132</v>
      </c>
      <c r="G147" t="s">
        <v>149</v>
      </c>
      <c r="H147" t="s">
        <v>149</v>
      </c>
      <c r="I147" t="s">
        <v>149</v>
      </c>
      <c r="J147">
        <v>1.5447137846767094</v>
      </c>
      <c r="K147" t="s">
        <v>149</v>
      </c>
      <c r="L147">
        <v>1.2067690036967176</v>
      </c>
      <c r="M147">
        <v>1.1866174178280724</v>
      </c>
      <c r="N147">
        <v>1.1300269287366023</v>
      </c>
      <c r="O147">
        <v>1.1919270064378424</v>
      </c>
      <c r="P147">
        <v>1.2529274166703845</v>
      </c>
      <c r="Q147" t="s">
        <v>149</v>
      </c>
      <c r="R147">
        <v>0.90947003354549738</v>
      </c>
      <c r="S147">
        <v>1.0160301239037073</v>
      </c>
      <c r="T147">
        <v>1.0683930558484569</v>
      </c>
      <c r="U147">
        <v>1.0727560349127803</v>
      </c>
      <c r="V147">
        <v>1.2137481184144505</v>
      </c>
      <c r="W147" s="117">
        <v>1.1418495257691856</v>
      </c>
      <c r="X147" s="117">
        <v>1.1418495257691856</v>
      </c>
      <c r="Y147" s="117" t="s">
        <v>149</v>
      </c>
      <c r="Z147" s="117" t="s">
        <v>149</v>
      </c>
      <c r="AA147">
        <v>0</v>
      </c>
    </row>
    <row r="148" spans="1:27" x14ac:dyDescent="0.35">
      <c r="A148" t="s">
        <v>445</v>
      </c>
      <c r="B148" t="s">
        <v>446</v>
      </c>
      <c r="C148" t="s">
        <v>167</v>
      </c>
      <c r="D148" t="s">
        <v>168</v>
      </c>
      <c r="E148" t="s">
        <v>145</v>
      </c>
      <c r="F148" t="s">
        <v>167</v>
      </c>
      <c r="G148">
        <v>36.03396903964331</v>
      </c>
      <c r="H148">
        <v>0.401638255472065</v>
      </c>
      <c r="I148">
        <v>1.4716025680496463</v>
      </c>
      <c r="J148">
        <v>12.172128469573749</v>
      </c>
      <c r="K148">
        <v>1.3263572562220902</v>
      </c>
      <c r="L148">
        <v>1.9906564264752613</v>
      </c>
      <c r="M148">
        <v>1.868166361500841</v>
      </c>
      <c r="N148">
        <v>1.8123354364136586</v>
      </c>
      <c r="O148">
        <v>1.7788097130597909</v>
      </c>
      <c r="P148">
        <v>2.0840286225186455</v>
      </c>
      <c r="Q148">
        <v>1.3070253557120981</v>
      </c>
      <c r="R148">
        <v>1.2095558465202498</v>
      </c>
      <c r="S148">
        <v>1.2971210859341129</v>
      </c>
      <c r="T148">
        <v>1.3393743599143302</v>
      </c>
      <c r="U148">
        <v>1.3313443191676493</v>
      </c>
      <c r="V148">
        <v>1.3335057494131222</v>
      </c>
      <c r="W148" s="117">
        <v>1.6167231427160507</v>
      </c>
      <c r="X148" s="117">
        <v>1.1762715915979824</v>
      </c>
      <c r="Y148" s="117">
        <v>2.3791739286462348</v>
      </c>
      <c r="Z148" s="117">
        <v>1.7310042949194357</v>
      </c>
      <c r="AA148">
        <v>1</v>
      </c>
    </row>
    <row r="149" spans="1:27" x14ac:dyDescent="0.35">
      <c r="A149" t="s">
        <v>447</v>
      </c>
      <c r="B149" t="s">
        <v>448</v>
      </c>
      <c r="C149" t="s">
        <v>183</v>
      </c>
      <c r="D149" t="s">
        <v>149</v>
      </c>
      <c r="E149" t="s">
        <v>145</v>
      </c>
      <c r="F149" t="s">
        <v>129</v>
      </c>
      <c r="G149" t="s">
        <v>149</v>
      </c>
      <c r="H149">
        <v>5.8912343077923202E-2</v>
      </c>
      <c r="I149">
        <v>0.21585482503751061</v>
      </c>
      <c r="J149" t="s">
        <v>149</v>
      </c>
      <c r="K149" t="s">
        <v>149</v>
      </c>
      <c r="L149">
        <v>1.4904316059472853</v>
      </c>
      <c r="M149">
        <v>1.4610847772130751</v>
      </c>
      <c r="N149">
        <v>1.3701392224490256</v>
      </c>
      <c r="O149">
        <v>1.4354696297925016</v>
      </c>
      <c r="P149">
        <v>1.5281407979197132</v>
      </c>
      <c r="Q149" t="s">
        <v>149</v>
      </c>
      <c r="R149">
        <v>1.2095558465202498</v>
      </c>
      <c r="S149">
        <v>1.2971210859341129</v>
      </c>
      <c r="T149">
        <v>1.3393743599143302</v>
      </c>
      <c r="U149">
        <v>1.3313443191676493</v>
      </c>
      <c r="V149">
        <v>1.3335057494131222</v>
      </c>
      <c r="W149" s="117" t="s">
        <v>149</v>
      </c>
      <c r="X149" s="117" t="s">
        <v>149</v>
      </c>
      <c r="Y149" s="117" t="s">
        <v>149</v>
      </c>
      <c r="Z149" s="117" t="s">
        <v>149</v>
      </c>
      <c r="AA149">
        <v>0</v>
      </c>
    </row>
    <row r="150" spans="1:27" x14ac:dyDescent="0.35">
      <c r="A150" t="s">
        <v>449</v>
      </c>
      <c r="B150" t="s">
        <v>450</v>
      </c>
      <c r="C150" t="s">
        <v>148</v>
      </c>
      <c r="D150" t="s">
        <v>156</v>
      </c>
      <c r="E150" t="s">
        <v>123</v>
      </c>
      <c r="F150" t="s">
        <v>150</v>
      </c>
      <c r="G150">
        <v>19.726261644004836</v>
      </c>
      <c r="H150">
        <v>0.39050415283314299</v>
      </c>
      <c r="I150">
        <v>1.430807215980636</v>
      </c>
      <c r="J150">
        <v>4.5744138233124305</v>
      </c>
      <c r="K150">
        <v>1.4311390552424275</v>
      </c>
      <c r="L150">
        <v>1.2385981682627154</v>
      </c>
      <c r="M150">
        <v>1.2157310073334064</v>
      </c>
      <c r="N150">
        <v>1.1641185092236064</v>
      </c>
      <c r="O150">
        <v>1.2237446676811887</v>
      </c>
      <c r="P150">
        <v>1.277363372111487</v>
      </c>
      <c r="Q150">
        <v>1.39378218396165</v>
      </c>
      <c r="R150">
        <v>1.154133732123878</v>
      </c>
      <c r="S150">
        <v>1.2154822023485663</v>
      </c>
      <c r="T150">
        <v>1.2953811605285075</v>
      </c>
      <c r="U150">
        <v>1.2357210310006459</v>
      </c>
      <c r="V150">
        <v>1.3448954049704989</v>
      </c>
      <c r="W150" s="117">
        <v>0.82616019713705502</v>
      </c>
      <c r="X150" s="117">
        <v>0.66733236423643161</v>
      </c>
      <c r="Y150" s="117">
        <v>1.1820759716196831</v>
      </c>
      <c r="Z150" s="117">
        <v>0.95482396220690446</v>
      </c>
      <c r="AA150">
        <v>1</v>
      </c>
    </row>
    <row r="151" spans="1:27" x14ac:dyDescent="0.35">
      <c r="A151" t="s">
        <v>451</v>
      </c>
      <c r="B151" t="s">
        <v>452</v>
      </c>
      <c r="C151" t="s">
        <v>403</v>
      </c>
      <c r="D151" t="s">
        <v>168</v>
      </c>
      <c r="E151" t="s">
        <v>123</v>
      </c>
      <c r="F151" t="s">
        <v>167</v>
      </c>
      <c r="G151">
        <v>47.938238660068286</v>
      </c>
      <c r="H151">
        <v>0.33200663126375102</v>
      </c>
      <c r="I151">
        <v>1.2164722969503838</v>
      </c>
      <c r="J151">
        <v>4.0632894495879537</v>
      </c>
      <c r="K151">
        <v>1.3263572562220902</v>
      </c>
      <c r="L151">
        <v>1.5963240717558658</v>
      </c>
      <c r="M151">
        <v>1.5284720537489731</v>
      </c>
      <c r="N151">
        <v>1.3785984406327738</v>
      </c>
      <c r="O151">
        <v>1.5276666559417871</v>
      </c>
      <c r="P151">
        <v>1.6721470135847669</v>
      </c>
      <c r="Q151">
        <v>1.3070253557120981</v>
      </c>
      <c r="R151">
        <v>1.154133732123878</v>
      </c>
      <c r="S151">
        <v>1.2154822023485663</v>
      </c>
      <c r="T151">
        <v>1.2953811605285075</v>
      </c>
      <c r="U151">
        <v>1.2357210310006459</v>
      </c>
      <c r="V151">
        <v>1.3448954049704989</v>
      </c>
      <c r="W151" s="117">
        <v>1.7450274365109268</v>
      </c>
      <c r="X151" s="117">
        <v>1.7450274365109268</v>
      </c>
      <c r="Y151" s="117">
        <v>2.1227775339338875</v>
      </c>
      <c r="Z151" s="117">
        <v>2.1227775339338875</v>
      </c>
      <c r="AA151">
        <v>1</v>
      </c>
    </row>
    <row r="152" spans="1:27" x14ac:dyDescent="0.35">
      <c r="A152" t="s">
        <v>453</v>
      </c>
      <c r="B152" t="s">
        <v>454</v>
      </c>
      <c r="C152" t="s">
        <v>403</v>
      </c>
      <c r="D152" t="s">
        <v>168</v>
      </c>
      <c r="E152" t="s">
        <v>145</v>
      </c>
      <c r="F152" t="s">
        <v>167</v>
      </c>
      <c r="G152">
        <v>35.132219925907208</v>
      </c>
      <c r="H152">
        <v>0.30769198111709001</v>
      </c>
      <c r="I152">
        <v>1.1273834188130178</v>
      </c>
      <c r="J152">
        <v>3.03998254</v>
      </c>
      <c r="K152">
        <v>1.3263572562220902</v>
      </c>
      <c r="L152">
        <v>1.5963240717558658</v>
      </c>
      <c r="M152">
        <v>1.5284720537489731</v>
      </c>
      <c r="N152">
        <v>1.3785984406327738</v>
      </c>
      <c r="O152">
        <v>1.5276666559417871</v>
      </c>
      <c r="P152">
        <v>1.6721470135847669</v>
      </c>
      <c r="Q152">
        <v>1.3070253557120981</v>
      </c>
      <c r="R152">
        <v>1.2095558465202498</v>
      </c>
      <c r="S152">
        <v>1.2971210859341129</v>
      </c>
      <c r="T152">
        <v>1.3393743599143302</v>
      </c>
      <c r="U152">
        <v>1.3313443191676493</v>
      </c>
      <c r="V152">
        <v>1.3335057494131222</v>
      </c>
      <c r="W152" s="117">
        <v>2.5102624133345182</v>
      </c>
      <c r="X152" s="117">
        <v>1.0753828968011756</v>
      </c>
      <c r="Y152" s="117">
        <v>2.8300282216628858</v>
      </c>
      <c r="Z152" s="117">
        <v>1.2123688467287561</v>
      </c>
      <c r="AA152">
        <v>1</v>
      </c>
    </row>
    <row r="153" spans="1:27" x14ac:dyDescent="0.35">
      <c r="A153" t="s">
        <v>455</v>
      </c>
      <c r="B153" t="s">
        <v>456</v>
      </c>
      <c r="C153" t="s">
        <v>428</v>
      </c>
      <c r="D153" t="s">
        <v>168</v>
      </c>
      <c r="E153" t="s">
        <v>164</v>
      </c>
      <c r="F153" t="s">
        <v>167</v>
      </c>
      <c r="G153">
        <v>50.763313762444746</v>
      </c>
      <c r="H153">
        <v>0.28931010402963703</v>
      </c>
      <c r="I153">
        <v>1.0600322211645901</v>
      </c>
      <c r="J153">
        <v>3.9848405804063431</v>
      </c>
      <c r="K153">
        <v>1.3263572562220902</v>
      </c>
      <c r="L153">
        <v>1.5963240717558658</v>
      </c>
      <c r="M153">
        <v>1.5284720537489731</v>
      </c>
      <c r="N153">
        <v>1.3785984406327738</v>
      </c>
      <c r="O153">
        <v>1.5276666559417871</v>
      </c>
      <c r="P153">
        <v>1.6721470135847669</v>
      </c>
      <c r="Q153">
        <v>1.3070253557120981</v>
      </c>
      <c r="R153">
        <v>1.1523297796771568</v>
      </c>
      <c r="S153">
        <v>1.261678755528314</v>
      </c>
      <c r="T153">
        <v>1.2456836932865165</v>
      </c>
      <c r="U153">
        <v>1.2512749062312558</v>
      </c>
      <c r="V153">
        <v>1.4406165004533091</v>
      </c>
      <c r="W153" s="117">
        <v>1.7151600651160854</v>
      </c>
      <c r="X153" s="117">
        <v>1.5628974287465736</v>
      </c>
      <c r="Y153" s="117">
        <v>1.8181249334778069</v>
      </c>
      <c r="Z153" s="117">
        <v>1.656721632846657</v>
      </c>
      <c r="AA153">
        <v>1</v>
      </c>
    </row>
    <row r="154" spans="1:27" x14ac:dyDescent="0.35">
      <c r="A154" t="s">
        <v>457</v>
      </c>
      <c r="B154" t="s">
        <v>458</v>
      </c>
      <c r="C154" t="s">
        <v>371</v>
      </c>
      <c r="D154" t="s">
        <v>168</v>
      </c>
      <c r="E154" t="s">
        <v>145</v>
      </c>
      <c r="F154" t="s">
        <v>167</v>
      </c>
      <c r="G154">
        <v>60.271829009248528</v>
      </c>
      <c r="H154">
        <v>0.21373903834148</v>
      </c>
      <c r="I154">
        <v>0.78313983648318275</v>
      </c>
      <c r="J154">
        <v>0.70637081558441606</v>
      </c>
      <c r="K154">
        <v>1.3263572562220902</v>
      </c>
      <c r="L154">
        <v>1.5963240717558658</v>
      </c>
      <c r="M154">
        <v>1.5284720537489731</v>
      </c>
      <c r="N154">
        <v>1.3785984406327738</v>
      </c>
      <c r="O154">
        <v>1.5276666559417871</v>
      </c>
      <c r="P154">
        <v>1.6721470135847669</v>
      </c>
      <c r="Q154">
        <v>1.3070253557120981</v>
      </c>
      <c r="R154">
        <v>1.2095558465202498</v>
      </c>
      <c r="S154">
        <v>1.2971210859341129</v>
      </c>
      <c r="T154">
        <v>1.3393743599143302</v>
      </c>
      <c r="U154">
        <v>1.3313443191676493</v>
      </c>
      <c r="V154">
        <v>1.3335057494131222</v>
      </c>
      <c r="W154" s="117">
        <v>2.8028150017058211</v>
      </c>
      <c r="X154" s="117">
        <v>1.0104174104840566</v>
      </c>
      <c r="Y154" s="117">
        <v>2.1949960821285082</v>
      </c>
      <c r="Z154" s="117">
        <v>0.79129812562624502</v>
      </c>
      <c r="AA154">
        <v>1</v>
      </c>
    </row>
    <row r="155" spans="1:27" x14ac:dyDescent="0.35">
      <c r="A155" t="s">
        <v>459</v>
      </c>
      <c r="B155" t="s">
        <v>460</v>
      </c>
      <c r="C155" t="s">
        <v>171</v>
      </c>
      <c r="D155" t="s">
        <v>149</v>
      </c>
      <c r="E155" t="s">
        <v>145</v>
      </c>
      <c r="F155" t="s">
        <v>124</v>
      </c>
      <c r="G155" t="s">
        <v>149</v>
      </c>
      <c r="H155">
        <v>7.1396905152432701</v>
      </c>
      <c r="I155">
        <v>26.159826047851343</v>
      </c>
      <c r="J155" t="s">
        <v>149</v>
      </c>
      <c r="K155" t="s">
        <v>149</v>
      </c>
      <c r="L155">
        <v>1.6075990253515033</v>
      </c>
      <c r="M155">
        <v>1.5477783159783653</v>
      </c>
      <c r="N155">
        <v>1.4279094998340851</v>
      </c>
      <c r="O155">
        <v>1.5230249577532384</v>
      </c>
      <c r="P155">
        <v>1.6751514690397891</v>
      </c>
      <c r="Q155" t="s">
        <v>149</v>
      </c>
      <c r="R155">
        <v>1.2095558465202498</v>
      </c>
      <c r="S155">
        <v>1.2971210859341129</v>
      </c>
      <c r="T155">
        <v>1.3393743599143302</v>
      </c>
      <c r="U155">
        <v>1.3313443191676493</v>
      </c>
      <c r="V155">
        <v>1.3335057494131222</v>
      </c>
      <c r="W155" s="117">
        <v>1.6098243076416323</v>
      </c>
      <c r="X155" s="117" t="s">
        <v>149</v>
      </c>
      <c r="Y155" s="117">
        <v>42.112723855507824</v>
      </c>
      <c r="Z155" s="117" t="s">
        <v>149</v>
      </c>
      <c r="AA155">
        <v>1</v>
      </c>
    </row>
    <row r="156" spans="1:27" x14ac:dyDescent="0.35">
      <c r="A156" t="s">
        <v>461</v>
      </c>
      <c r="B156" t="s">
        <v>462</v>
      </c>
      <c r="C156" t="s">
        <v>259</v>
      </c>
      <c r="D156" t="s">
        <v>156</v>
      </c>
      <c r="E156" t="s">
        <v>123</v>
      </c>
      <c r="F156" t="s">
        <v>124</v>
      </c>
      <c r="G156">
        <v>85.275529868757872</v>
      </c>
      <c r="H156">
        <v>0.196143743830996</v>
      </c>
      <c r="I156">
        <v>0.71867067739676938</v>
      </c>
      <c r="J156">
        <v>1.9021568</v>
      </c>
      <c r="K156">
        <v>1.4311390552424275</v>
      </c>
      <c r="L156">
        <v>1.6075990253515033</v>
      </c>
      <c r="M156">
        <v>1.5477783159783653</v>
      </c>
      <c r="N156">
        <v>1.4279094998340851</v>
      </c>
      <c r="O156">
        <v>1.5230249577532384</v>
      </c>
      <c r="P156">
        <v>1.6751514690397891</v>
      </c>
      <c r="Q156">
        <v>1.39378218396165</v>
      </c>
      <c r="R156">
        <v>1.154133732123878</v>
      </c>
      <c r="S156">
        <v>1.2154822023485663</v>
      </c>
      <c r="T156">
        <v>1.2953811605285075</v>
      </c>
      <c r="U156">
        <v>1.2357210310006459</v>
      </c>
      <c r="V156">
        <v>1.3448954049704989</v>
      </c>
      <c r="W156" s="117">
        <v>0</v>
      </c>
      <c r="X156" s="117">
        <v>0</v>
      </c>
      <c r="Y156" s="117">
        <v>0</v>
      </c>
      <c r="Z156" s="117">
        <v>0</v>
      </c>
      <c r="AA156">
        <v>1</v>
      </c>
    </row>
    <row r="157" spans="1:27" x14ac:dyDescent="0.35">
      <c r="A157" t="s">
        <v>463</v>
      </c>
      <c r="B157" t="s">
        <v>464</v>
      </c>
      <c r="C157" t="s">
        <v>371</v>
      </c>
      <c r="D157" t="s">
        <v>168</v>
      </c>
      <c r="E157" t="s">
        <v>145</v>
      </c>
      <c r="F157" t="s">
        <v>167</v>
      </c>
      <c r="G157">
        <v>87.336780314180572</v>
      </c>
      <c r="H157">
        <v>0.179347344645191</v>
      </c>
      <c r="I157">
        <v>0.65712867077997983</v>
      </c>
      <c r="J157">
        <v>2.780510624641845</v>
      </c>
      <c r="K157">
        <v>1.3263572562220902</v>
      </c>
      <c r="L157">
        <v>1.5963240717558658</v>
      </c>
      <c r="M157">
        <v>1.5284720537489731</v>
      </c>
      <c r="N157">
        <v>1.3785984406327738</v>
      </c>
      <c r="O157">
        <v>1.5276666559417871</v>
      </c>
      <c r="P157">
        <v>1.6721470135847669</v>
      </c>
      <c r="Q157">
        <v>1.3070253557120981</v>
      </c>
      <c r="R157">
        <v>1.2095558465202498</v>
      </c>
      <c r="S157">
        <v>1.2971210859341129</v>
      </c>
      <c r="T157">
        <v>1.3393743599143302</v>
      </c>
      <c r="U157">
        <v>1.3313443191676493</v>
      </c>
      <c r="V157">
        <v>1.3335057494131222</v>
      </c>
      <c r="W157" s="117">
        <v>1.1886575337423624</v>
      </c>
      <c r="X157" s="117">
        <v>1.0710913880504949</v>
      </c>
      <c r="Y157" s="117">
        <v>0.78110094516072759</v>
      </c>
      <c r="Z157" s="117">
        <v>0.70384486011350522</v>
      </c>
      <c r="AA157">
        <v>1</v>
      </c>
    </row>
    <row r="158" spans="1:27" x14ac:dyDescent="0.35">
      <c r="A158" t="s">
        <v>465</v>
      </c>
      <c r="B158" t="s">
        <v>466</v>
      </c>
      <c r="C158" t="s">
        <v>403</v>
      </c>
      <c r="D158" t="s">
        <v>168</v>
      </c>
      <c r="E158" t="s">
        <v>145</v>
      </c>
      <c r="F158" t="s">
        <v>167</v>
      </c>
      <c r="G158">
        <v>75.146161331114442</v>
      </c>
      <c r="H158">
        <v>0.170600330526297</v>
      </c>
      <c r="I158">
        <v>0.62507961104835219</v>
      </c>
      <c r="J158">
        <v>1.7036986766974154</v>
      </c>
      <c r="K158">
        <v>1.3263572562220902</v>
      </c>
      <c r="L158">
        <v>1.5963240717558658</v>
      </c>
      <c r="M158">
        <v>1.5284720537489731</v>
      </c>
      <c r="N158">
        <v>1.3785984406327738</v>
      </c>
      <c r="O158">
        <v>1.5276666559417871</v>
      </c>
      <c r="P158">
        <v>1.6721470135847669</v>
      </c>
      <c r="Q158">
        <v>1.3070253557120981</v>
      </c>
      <c r="R158">
        <v>1.2095558465202498</v>
      </c>
      <c r="S158">
        <v>1.2971210859341129</v>
      </c>
      <c r="T158">
        <v>1.3393743599143302</v>
      </c>
      <c r="U158">
        <v>1.3313443191676493</v>
      </c>
      <c r="V158">
        <v>1.3335057494131222</v>
      </c>
      <c r="W158" s="117">
        <v>0.90112339349453829</v>
      </c>
      <c r="X158" s="117">
        <v>0.84389256774120425</v>
      </c>
      <c r="Y158" s="117">
        <v>0.56327386031213722</v>
      </c>
      <c r="Z158" s="117">
        <v>0.52750003801026712</v>
      </c>
      <c r="AA158">
        <v>1</v>
      </c>
    </row>
    <row r="159" spans="1:27" x14ac:dyDescent="0.35">
      <c r="A159" t="s">
        <v>467</v>
      </c>
      <c r="B159" t="s">
        <v>468</v>
      </c>
      <c r="C159" t="s">
        <v>469</v>
      </c>
      <c r="D159" t="s">
        <v>178</v>
      </c>
      <c r="E159" t="s">
        <v>164</v>
      </c>
      <c r="F159" t="s">
        <v>129</v>
      </c>
      <c r="G159">
        <v>70.613852825385791</v>
      </c>
      <c r="H159">
        <v>0.16776027745177199</v>
      </c>
      <c r="I159">
        <v>0.61467365658329265</v>
      </c>
      <c r="J159">
        <v>1.5856316703460951</v>
      </c>
      <c r="K159">
        <v>1.2214137182566644</v>
      </c>
      <c r="L159">
        <v>1.4904316059472853</v>
      </c>
      <c r="M159">
        <v>1.4610847772130751</v>
      </c>
      <c r="N159">
        <v>1.3701392224490256</v>
      </c>
      <c r="O159">
        <v>1.4354696297925016</v>
      </c>
      <c r="P159">
        <v>1.5281407979197132</v>
      </c>
      <c r="Q159">
        <v>1.1137228775074144</v>
      </c>
      <c r="R159">
        <v>1.1523297796771568</v>
      </c>
      <c r="S159">
        <v>1.261678755528314</v>
      </c>
      <c r="T159">
        <v>1.2456836932865165</v>
      </c>
      <c r="U159">
        <v>1.2512749062312558</v>
      </c>
      <c r="V159">
        <v>1.4406165004533091</v>
      </c>
      <c r="W159" s="117">
        <v>1.5444323778641134</v>
      </c>
      <c r="X159" s="117">
        <v>1.5444323778641134</v>
      </c>
      <c r="Y159" s="117">
        <v>0.94932189704736414</v>
      </c>
      <c r="Z159" s="117">
        <v>0.94932189704736414</v>
      </c>
      <c r="AA159">
        <v>1</v>
      </c>
    </row>
    <row r="160" spans="1:27" x14ac:dyDescent="0.35">
      <c r="A160" t="s">
        <v>470</v>
      </c>
      <c r="B160" t="s">
        <v>471</v>
      </c>
      <c r="C160" t="s">
        <v>148</v>
      </c>
      <c r="D160" t="s">
        <v>149</v>
      </c>
      <c r="E160" t="s">
        <v>123</v>
      </c>
      <c r="F160" t="s">
        <v>150</v>
      </c>
      <c r="G160" t="s">
        <v>149</v>
      </c>
      <c r="H160" t="s">
        <v>149</v>
      </c>
      <c r="I160" t="s">
        <v>149</v>
      </c>
      <c r="J160" t="s">
        <v>149</v>
      </c>
      <c r="K160" t="s">
        <v>149</v>
      </c>
      <c r="L160">
        <v>1.2385981682627154</v>
      </c>
      <c r="M160">
        <v>1.2157310073334064</v>
      </c>
      <c r="N160">
        <v>1.1641185092236064</v>
      </c>
      <c r="O160">
        <v>1.2237446676811887</v>
      </c>
      <c r="P160">
        <v>1.277363372111487</v>
      </c>
      <c r="Q160" t="s">
        <v>149</v>
      </c>
      <c r="R160">
        <v>1.154133732123878</v>
      </c>
      <c r="S160">
        <v>1.2154822023485663</v>
      </c>
      <c r="T160">
        <v>1.2953811605285075</v>
      </c>
      <c r="U160">
        <v>1.2357210310006459</v>
      </c>
      <c r="V160">
        <v>1.3448954049704989</v>
      </c>
      <c r="W160" s="117" t="s">
        <v>149</v>
      </c>
      <c r="X160" s="117" t="s">
        <v>149</v>
      </c>
      <c r="Y160" s="117" t="s">
        <v>149</v>
      </c>
      <c r="Z160" s="117" t="s">
        <v>149</v>
      </c>
      <c r="AA160">
        <v>0</v>
      </c>
    </row>
    <row r="161" spans="1:27" x14ac:dyDescent="0.35">
      <c r="A161" t="s">
        <v>472</v>
      </c>
      <c r="B161" t="s">
        <v>473</v>
      </c>
      <c r="C161" t="s">
        <v>217</v>
      </c>
      <c r="D161" t="s">
        <v>149</v>
      </c>
      <c r="E161" t="s">
        <v>138</v>
      </c>
      <c r="F161" t="s">
        <v>124</v>
      </c>
      <c r="G161" t="s">
        <v>149</v>
      </c>
      <c r="H161">
        <v>19.660465147307299</v>
      </c>
      <c r="I161">
        <v>72.035944299733941</v>
      </c>
      <c r="J161" t="s">
        <v>149</v>
      </c>
      <c r="K161" t="s">
        <v>149</v>
      </c>
      <c r="L161">
        <v>2.0002672189202908</v>
      </c>
      <c r="M161">
        <v>2.0546579897484136</v>
      </c>
      <c r="N161">
        <v>1.8383191452185077</v>
      </c>
      <c r="O161">
        <v>1.997820833117919</v>
      </c>
      <c r="P161">
        <v>2.0602301739989373</v>
      </c>
      <c r="Q161" t="s">
        <v>149</v>
      </c>
      <c r="R161">
        <v>1.0901307546951258</v>
      </c>
      <c r="S161">
        <v>1.0599826962241754</v>
      </c>
      <c r="T161">
        <v>1.1372607799723293</v>
      </c>
      <c r="U161">
        <v>1.0615175586333341</v>
      </c>
      <c r="V161">
        <v>1.1250789639924195</v>
      </c>
      <c r="W161" s="117">
        <v>0.99011705549342821</v>
      </c>
      <c r="X161" s="117">
        <v>0.8886830490672657</v>
      </c>
      <c r="Y161" s="117">
        <v>71.32401705974118</v>
      </c>
      <c r="Z161" s="117">
        <v>64.017122622727271</v>
      </c>
      <c r="AA161">
        <v>1</v>
      </c>
    </row>
    <row r="162" spans="1:27" x14ac:dyDescent="0.35">
      <c r="A162" t="s">
        <v>474</v>
      </c>
      <c r="B162" t="s">
        <v>475</v>
      </c>
      <c r="C162" t="s">
        <v>403</v>
      </c>
      <c r="D162" t="s">
        <v>168</v>
      </c>
      <c r="E162" t="s">
        <v>145</v>
      </c>
      <c r="F162" t="s">
        <v>167</v>
      </c>
      <c r="G162">
        <v>82.694154615109454</v>
      </c>
      <c r="H162">
        <v>0.16753565393001599</v>
      </c>
      <c r="I162">
        <v>0.61385063599957856</v>
      </c>
      <c r="J162">
        <v>1.8304129999592247</v>
      </c>
      <c r="K162">
        <v>1.3263572562220902</v>
      </c>
      <c r="L162">
        <v>1.5963240717558658</v>
      </c>
      <c r="M162">
        <v>1.5284720537489731</v>
      </c>
      <c r="N162">
        <v>1.3785984406327738</v>
      </c>
      <c r="O162">
        <v>1.5276666559417871</v>
      </c>
      <c r="P162">
        <v>1.6721470135847669</v>
      </c>
      <c r="Q162">
        <v>1.3070253557120981</v>
      </c>
      <c r="R162">
        <v>1.2095558465202498</v>
      </c>
      <c r="S162">
        <v>1.2971210859341129</v>
      </c>
      <c r="T162">
        <v>1.3393743599143302</v>
      </c>
      <c r="U162">
        <v>1.3313443191676493</v>
      </c>
      <c r="V162">
        <v>1.3335057494131222</v>
      </c>
      <c r="W162" s="117">
        <v>1.9247420877103618</v>
      </c>
      <c r="X162" s="117">
        <v>1.0214330062375656</v>
      </c>
      <c r="Y162" s="117">
        <v>1.1815041546761622</v>
      </c>
      <c r="Z162" s="117">
        <v>0.62700730050989117</v>
      </c>
      <c r="AA162">
        <v>1</v>
      </c>
    </row>
    <row r="163" spans="1:27" x14ac:dyDescent="0.35">
      <c r="A163" t="s">
        <v>476</v>
      </c>
      <c r="B163" t="s">
        <v>477</v>
      </c>
      <c r="C163" t="s">
        <v>371</v>
      </c>
      <c r="D163" t="s">
        <v>168</v>
      </c>
      <c r="E163" t="s">
        <v>145</v>
      </c>
      <c r="F163" t="s">
        <v>167</v>
      </c>
      <c r="G163">
        <v>78.573011820045451</v>
      </c>
      <c r="H163">
        <v>0.15782325030331601</v>
      </c>
      <c r="I163">
        <v>0.57826438911134992</v>
      </c>
      <c r="J163">
        <v>6.9652853245215631</v>
      </c>
      <c r="K163">
        <v>1.3263572562220902</v>
      </c>
      <c r="L163">
        <v>1.5963240717558658</v>
      </c>
      <c r="M163">
        <v>1.5284720537489731</v>
      </c>
      <c r="N163">
        <v>1.3785984406327738</v>
      </c>
      <c r="O163">
        <v>1.5276666559417871</v>
      </c>
      <c r="P163">
        <v>1.6721470135847669</v>
      </c>
      <c r="Q163">
        <v>1.3070253557120981</v>
      </c>
      <c r="R163">
        <v>1.2095558465202498</v>
      </c>
      <c r="S163">
        <v>1.2971210859341129</v>
      </c>
      <c r="T163">
        <v>1.3393743599143302</v>
      </c>
      <c r="U163">
        <v>1.3313443191676493</v>
      </c>
      <c r="V163">
        <v>1.3335057494131222</v>
      </c>
      <c r="W163" s="117">
        <v>3.265477970050898</v>
      </c>
      <c r="X163" s="117">
        <v>2.3196216085773584</v>
      </c>
      <c r="Y163" s="117">
        <v>1.8883096235080536</v>
      </c>
      <c r="Z163" s="117">
        <v>1.341354572453473</v>
      </c>
      <c r="AA163">
        <v>1</v>
      </c>
    </row>
    <row r="164" spans="1:27" x14ac:dyDescent="0.35">
      <c r="A164" t="s">
        <v>478</v>
      </c>
      <c r="B164" t="s">
        <v>479</v>
      </c>
      <c r="C164" t="s">
        <v>371</v>
      </c>
      <c r="D164" t="s">
        <v>168</v>
      </c>
      <c r="E164" t="s">
        <v>164</v>
      </c>
      <c r="F164" t="s">
        <v>167</v>
      </c>
      <c r="G164">
        <v>73.562505390150022</v>
      </c>
      <c r="H164">
        <v>0.14693888821343201</v>
      </c>
      <c r="I164">
        <v>0.53838408641401492</v>
      </c>
      <c r="J164">
        <v>1.200634489348414</v>
      </c>
      <c r="K164">
        <v>1.3263572562220902</v>
      </c>
      <c r="L164">
        <v>1.5963240717558658</v>
      </c>
      <c r="M164">
        <v>1.5284720537489731</v>
      </c>
      <c r="N164">
        <v>1.3785984406327738</v>
      </c>
      <c r="O164">
        <v>1.5276666559417871</v>
      </c>
      <c r="P164">
        <v>1.6721470135847669</v>
      </c>
      <c r="Q164">
        <v>1.3070253557120981</v>
      </c>
      <c r="R164">
        <v>1.1523297796771568</v>
      </c>
      <c r="S164">
        <v>1.261678755528314</v>
      </c>
      <c r="T164">
        <v>1.2456836932865165</v>
      </c>
      <c r="U164">
        <v>1.2512749062312558</v>
      </c>
      <c r="V164">
        <v>1.4406165004533091</v>
      </c>
      <c r="W164" s="117">
        <v>2.0888457415525536</v>
      </c>
      <c r="X164" s="117">
        <v>1.5511288983803762</v>
      </c>
      <c r="Y164" s="117">
        <v>1.1246013062255771</v>
      </c>
      <c r="Z164" s="117">
        <v>0.83510311486489619</v>
      </c>
      <c r="AA164">
        <v>1</v>
      </c>
    </row>
    <row r="165" spans="1:27" x14ac:dyDescent="0.35">
      <c r="A165" t="s">
        <v>480</v>
      </c>
      <c r="B165" t="s">
        <v>481</v>
      </c>
      <c r="C165" t="s">
        <v>132</v>
      </c>
      <c r="D165" t="s">
        <v>199</v>
      </c>
      <c r="E165" t="s">
        <v>128</v>
      </c>
      <c r="F165" t="s">
        <v>132</v>
      </c>
      <c r="G165">
        <v>229.66609311240134</v>
      </c>
      <c r="H165">
        <v>0.122512117542541</v>
      </c>
      <c r="I165">
        <v>0.44888439867587027</v>
      </c>
      <c r="J165">
        <v>2.891001149361105</v>
      </c>
      <c r="K165">
        <v>1.1764228653088502</v>
      </c>
      <c r="L165">
        <v>1.2067690036967176</v>
      </c>
      <c r="M165">
        <v>1.1866174178280724</v>
      </c>
      <c r="N165">
        <v>1.1300269287366023</v>
      </c>
      <c r="O165">
        <v>1.1919270064378424</v>
      </c>
      <c r="P165">
        <v>1.2529274166703845</v>
      </c>
      <c r="Q165">
        <v>1.234033450224737</v>
      </c>
      <c r="R165">
        <v>0.90947003354549738</v>
      </c>
      <c r="S165">
        <v>1.0160301239037073</v>
      </c>
      <c r="T165">
        <v>1.0683930558484569</v>
      </c>
      <c r="U165">
        <v>1.0727560349127803</v>
      </c>
      <c r="V165">
        <v>1.2137481184144505</v>
      </c>
      <c r="W165" s="117">
        <v>0.70533614652362975</v>
      </c>
      <c r="X165" s="117">
        <v>0.70533614652362975</v>
      </c>
      <c r="Y165" s="117">
        <v>0.31661439199661506</v>
      </c>
      <c r="Z165" s="117">
        <v>0.31661439199661506</v>
      </c>
      <c r="AA165">
        <v>1</v>
      </c>
    </row>
    <row r="166" spans="1:27" x14ac:dyDescent="0.35">
      <c r="A166" t="s">
        <v>482</v>
      </c>
      <c r="B166" t="s">
        <v>483</v>
      </c>
      <c r="C166" t="s">
        <v>371</v>
      </c>
      <c r="D166" t="s">
        <v>168</v>
      </c>
      <c r="E166" t="s">
        <v>145</v>
      </c>
      <c r="F166" t="s">
        <v>167</v>
      </c>
      <c r="G166">
        <v>131.80174130736222</v>
      </c>
      <c r="H166">
        <v>9.9155961397223394E-2</v>
      </c>
      <c r="I166">
        <v>0.36330744255942654</v>
      </c>
      <c r="J166">
        <v>3.1810711536622009</v>
      </c>
      <c r="K166">
        <v>1.3263572562220902</v>
      </c>
      <c r="L166">
        <v>1.5963240717558658</v>
      </c>
      <c r="M166">
        <v>1.5284720537489731</v>
      </c>
      <c r="N166">
        <v>1.3785984406327738</v>
      </c>
      <c r="O166">
        <v>1.5276666559417871</v>
      </c>
      <c r="P166">
        <v>1.6721470135847669</v>
      </c>
      <c r="Q166">
        <v>1.3070253557120981</v>
      </c>
      <c r="R166">
        <v>1.2095558465202498</v>
      </c>
      <c r="S166">
        <v>1.2971210859341129</v>
      </c>
      <c r="T166">
        <v>1.3393743599143302</v>
      </c>
      <c r="U166">
        <v>1.3313443191676493</v>
      </c>
      <c r="V166">
        <v>1.3335057494131222</v>
      </c>
      <c r="W166" s="117">
        <v>1.6406616729366381</v>
      </c>
      <c r="X166" s="117">
        <v>1.1311399186201465</v>
      </c>
      <c r="Y166" s="117">
        <v>0.59606459649988031</v>
      </c>
      <c r="Z166" s="117">
        <v>0.41095155101076331</v>
      </c>
      <c r="AA166">
        <v>1</v>
      </c>
    </row>
    <row r="167" spans="1:27" x14ac:dyDescent="0.35">
      <c r="A167" t="s">
        <v>484</v>
      </c>
      <c r="B167" t="s">
        <v>485</v>
      </c>
      <c r="C167" t="s">
        <v>403</v>
      </c>
      <c r="D167" t="s">
        <v>168</v>
      </c>
      <c r="E167" t="s">
        <v>145</v>
      </c>
      <c r="F167" t="s">
        <v>167</v>
      </c>
      <c r="G167">
        <v>155.27312479922412</v>
      </c>
      <c r="H167">
        <v>8.9897180157569395E-2</v>
      </c>
      <c r="I167">
        <v>0.32938326809733426</v>
      </c>
      <c r="J167">
        <v>1.4317582429037539</v>
      </c>
      <c r="K167">
        <v>1.3263572562220902</v>
      </c>
      <c r="L167">
        <v>1.5963240717558658</v>
      </c>
      <c r="M167">
        <v>1.5284720537489731</v>
      </c>
      <c r="N167">
        <v>1.3785984406327738</v>
      </c>
      <c r="O167">
        <v>1.5276666559417871</v>
      </c>
      <c r="P167">
        <v>1.6721470135847669</v>
      </c>
      <c r="Q167">
        <v>1.3070253557120981</v>
      </c>
      <c r="R167">
        <v>1.2095558465202498</v>
      </c>
      <c r="S167">
        <v>1.2971210859341129</v>
      </c>
      <c r="T167">
        <v>1.3393743599143302</v>
      </c>
      <c r="U167">
        <v>1.3313443191676493</v>
      </c>
      <c r="V167">
        <v>1.3335057494131222</v>
      </c>
      <c r="W167" s="117">
        <v>3.3377288747685214</v>
      </c>
      <c r="X167" s="117">
        <v>2.3339155859260883</v>
      </c>
      <c r="Y167" s="117">
        <v>1.0993920447940937</v>
      </c>
      <c r="Z167" s="117">
        <v>0.76875274315563968</v>
      </c>
      <c r="AA167">
        <v>1</v>
      </c>
    </row>
    <row r="168" spans="1:27" x14ac:dyDescent="0.35">
      <c r="A168" t="s">
        <v>486</v>
      </c>
      <c r="B168" t="s">
        <v>487</v>
      </c>
      <c r="C168" t="s">
        <v>188</v>
      </c>
      <c r="D168" t="s">
        <v>149</v>
      </c>
      <c r="E168" t="s">
        <v>123</v>
      </c>
      <c r="F168" t="s">
        <v>124</v>
      </c>
      <c r="G168" t="s">
        <v>149</v>
      </c>
      <c r="H168">
        <v>72.125323872128305</v>
      </c>
      <c r="I168">
        <v>264.26718666747814</v>
      </c>
      <c r="J168" t="s">
        <v>149</v>
      </c>
      <c r="K168" t="s">
        <v>149</v>
      </c>
      <c r="L168">
        <v>1.6075990253515033</v>
      </c>
      <c r="M168">
        <v>1.5477783159783653</v>
      </c>
      <c r="N168">
        <v>1.4279094998340851</v>
      </c>
      <c r="O168">
        <v>1.5230249577532384</v>
      </c>
      <c r="P168">
        <v>1.6751514690397891</v>
      </c>
      <c r="Q168" t="s">
        <v>149</v>
      </c>
      <c r="R168">
        <v>1.154133732123878</v>
      </c>
      <c r="S168">
        <v>1.2154822023485663</v>
      </c>
      <c r="T168">
        <v>1.2953811605285075</v>
      </c>
      <c r="U168">
        <v>1.2357210310006459</v>
      </c>
      <c r="V168">
        <v>1.3448954049704989</v>
      </c>
      <c r="W168" s="117" t="s">
        <v>149</v>
      </c>
      <c r="X168" s="117" t="s">
        <v>149</v>
      </c>
      <c r="Y168" s="117" t="s">
        <v>149</v>
      </c>
      <c r="Z168" s="117" t="s">
        <v>149</v>
      </c>
      <c r="AA168">
        <v>0</v>
      </c>
    </row>
    <row r="169" spans="1:27" x14ac:dyDescent="0.35">
      <c r="A169" t="s">
        <v>488</v>
      </c>
      <c r="B169" t="s">
        <v>489</v>
      </c>
      <c r="C169" t="s">
        <v>148</v>
      </c>
      <c r="D169" t="s">
        <v>156</v>
      </c>
      <c r="E169" t="s">
        <v>123</v>
      </c>
      <c r="F169" t="s">
        <v>150</v>
      </c>
      <c r="G169">
        <v>151.35254395956616</v>
      </c>
      <c r="H169">
        <v>8.4433330342301202E-2</v>
      </c>
      <c r="I169">
        <v>0.30936372237419163</v>
      </c>
      <c r="J169">
        <v>1.5458884262303065</v>
      </c>
      <c r="K169">
        <v>1.4311390552424275</v>
      </c>
      <c r="L169">
        <v>1.2385981682627154</v>
      </c>
      <c r="M169">
        <v>1.2157310073334064</v>
      </c>
      <c r="N169">
        <v>1.1641185092236064</v>
      </c>
      <c r="O169">
        <v>1.2237446676811887</v>
      </c>
      <c r="P169">
        <v>1.277363372111487</v>
      </c>
      <c r="Q169">
        <v>1.39378218396165</v>
      </c>
      <c r="R169">
        <v>1.154133732123878</v>
      </c>
      <c r="S169">
        <v>1.2154822023485663</v>
      </c>
      <c r="T169">
        <v>1.2953811605285075</v>
      </c>
      <c r="U169">
        <v>1.2357210310006459</v>
      </c>
      <c r="V169">
        <v>1.3448954049704989</v>
      </c>
      <c r="W169" s="117">
        <v>1.1809347902762182</v>
      </c>
      <c r="X169" s="117">
        <v>0.48257342504826278</v>
      </c>
      <c r="Y169" s="117">
        <v>0.36533838260103618</v>
      </c>
      <c r="Z169" s="117">
        <v>0.14929071109179354</v>
      </c>
      <c r="AA169">
        <v>1</v>
      </c>
    </row>
    <row r="170" spans="1:27" x14ac:dyDescent="0.35">
      <c r="A170" t="s">
        <v>490</v>
      </c>
      <c r="B170" t="s">
        <v>491</v>
      </c>
      <c r="C170" t="s">
        <v>148</v>
      </c>
      <c r="D170" t="s">
        <v>156</v>
      </c>
      <c r="E170" t="s">
        <v>123</v>
      </c>
      <c r="F170" t="s">
        <v>150</v>
      </c>
      <c r="G170">
        <v>163.44931702366327</v>
      </c>
      <c r="H170">
        <v>7.8100830566628601E-2</v>
      </c>
      <c r="I170">
        <v>0.28616144319612719</v>
      </c>
      <c r="J170">
        <v>0.80714752761509378</v>
      </c>
      <c r="K170">
        <v>1.4311390552424275</v>
      </c>
      <c r="L170">
        <v>1.2385981682627154</v>
      </c>
      <c r="M170">
        <v>1.2157310073334064</v>
      </c>
      <c r="N170">
        <v>1.1641185092236064</v>
      </c>
      <c r="O170">
        <v>1.2237446676811887</v>
      </c>
      <c r="P170">
        <v>1.277363372111487</v>
      </c>
      <c r="Q170">
        <v>1.39378218396165</v>
      </c>
      <c r="R170">
        <v>1.154133732123878</v>
      </c>
      <c r="S170">
        <v>1.2154822023485663</v>
      </c>
      <c r="T170">
        <v>1.2953811605285075</v>
      </c>
      <c r="U170">
        <v>1.2357210310006459</v>
      </c>
      <c r="V170">
        <v>1.3448954049704989</v>
      </c>
      <c r="W170" s="117">
        <v>1.2113324510256827</v>
      </c>
      <c r="X170" s="117">
        <v>0.55909848551059393</v>
      </c>
      <c r="Y170" s="117">
        <v>0.34663664237581138</v>
      </c>
      <c r="Z170" s="117">
        <v>0.15999242950248058</v>
      </c>
      <c r="AA170">
        <v>1</v>
      </c>
    </row>
    <row r="171" spans="1:27" x14ac:dyDescent="0.35">
      <c r="A171" t="s">
        <v>492</v>
      </c>
      <c r="B171" t="s">
        <v>493</v>
      </c>
      <c r="C171" t="s">
        <v>371</v>
      </c>
      <c r="D171" t="s">
        <v>168</v>
      </c>
      <c r="E171" t="s">
        <v>145</v>
      </c>
      <c r="F171" t="s">
        <v>167</v>
      </c>
      <c r="G171">
        <v>200.84516029166312</v>
      </c>
      <c r="H171">
        <v>7.7097564803344107E-2</v>
      </c>
      <c r="I171">
        <v>0.28248547743945279</v>
      </c>
      <c r="J171">
        <v>1.2238760645234537</v>
      </c>
      <c r="K171">
        <v>1.3263572562220902</v>
      </c>
      <c r="L171">
        <v>1.5963240717558658</v>
      </c>
      <c r="M171">
        <v>1.5284720537489731</v>
      </c>
      <c r="N171">
        <v>1.3785984406327738</v>
      </c>
      <c r="O171">
        <v>1.5276666559417871</v>
      </c>
      <c r="P171">
        <v>1.6721470135847669</v>
      </c>
      <c r="Q171">
        <v>1.3070253557120981</v>
      </c>
      <c r="R171">
        <v>1.2095558465202498</v>
      </c>
      <c r="S171">
        <v>1.2971210859341129</v>
      </c>
      <c r="T171">
        <v>1.3393743599143302</v>
      </c>
      <c r="U171">
        <v>1.3313443191676493</v>
      </c>
      <c r="V171">
        <v>1.3335057494131222</v>
      </c>
      <c r="W171" s="117">
        <v>1.4077430816183001</v>
      </c>
      <c r="X171" s="117">
        <v>1.1107199160352463</v>
      </c>
      <c r="Y171" s="117">
        <v>0.39766697652303207</v>
      </c>
      <c r="Z171" s="117">
        <v>0.31376224578272549</v>
      </c>
      <c r="AA171">
        <v>1</v>
      </c>
    </row>
    <row r="172" spans="1:27" x14ac:dyDescent="0.35">
      <c r="A172" t="s">
        <v>494</v>
      </c>
      <c r="B172" t="s">
        <v>495</v>
      </c>
      <c r="C172" t="s">
        <v>148</v>
      </c>
      <c r="D172" t="s">
        <v>149</v>
      </c>
      <c r="E172" t="s">
        <v>123</v>
      </c>
      <c r="F172" t="s">
        <v>150</v>
      </c>
      <c r="G172" t="s">
        <v>149</v>
      </c>
      <c r="H172" t="s">
        <v>149</v>
      </c>
      <c r="I172" t="s">
        <v>149</v>
      </c>
      <c r="J172" t="s">
        <v>149</v>
      </c>
      <c r="K172" t="s">
        <v>149</v>
      </c>
      <c r="L172">
        <v>1.2385981682627154</v>
      </c>
      <c r="M172">
        <v>1.2157310073334064</v>
      </c>
      <c r="N172">
        <v>1.1641185092236064</v>
      </c>
      <c r="O172">
        <v>1.2237446676811887</v>
      </c>
      <c r="P172">
        <v>1.277363372111487</v>
      </c>
      <c r="Q172" t="s">
        <v>149</v>
      </c>
      <c r="R172">
        <v>1.154133732123878</v>
      </c>
      <c r="S172">
        <v>1.2154822023485663</v>
      </c>
      <c r="T172">
        <v>1.2953811605285075</v>
      </c>
      <c r="U172">
        <v>1.2357210310006459</v>
      </c>
      <c r="V172">
        <v>1.3448954049704989</v>
      </c>
      <c r="W172" s="117" t="s">
        <v>149</v>
      </c>
      <c r="X172" s="117" t="s">
        <v>149</v>
      </c>
      <c r="Y172" s="117" t="s">
        <v>149</v>
      </c>
      <c r="Z172" s="117" t="s">
        <v>149</v>
      </c>
      <c r="AA172">
        <v>0</v>
      </c>
    </row>
    <row r="173" spans="1:27" x14ac:dyDescent="0.35">
      <c r="A173" t="s">
        <v>496</v>
      </c>
      <c r="B173" t="s">
        <v>497</v>
      </c>
      <c r="C173" t="s">
        <v>148</v>
      </c>
      <c r="D173" t="s">
        <v>156</v>
      </c>
      <c r="E173" t="s">
        <v>123</v>
      </c>
      <c r="F173" t="s">
        <v>150</v>
      </c>
      <c r="G173">
        <v>161.79831451384982</v>
      </c>
      <c r="H173">
        <v>6.3324997756725898E-2</v>
      </c>
      <c r="I173">
        <v>0.23202279178064369</v>
      </c>
      <c r="J173">
        <v>0.25769999999999998</v>
      </c>
      <c r="K173">
        <v>1.4311390552424275</v>
      </c>
      <c r="L173">
        <v>1.2385981682627154</v>
      </c>
      <c r="M173">
        <v>1.2157310073334064</v>
      </c>
      <c r="N173">
        <v>1.1641185092236064</v>
      </c>
      <c r="O173">
        <v>1.2237446676811887</v>
      </c>
      <c r="P173">
        <v>1.277363372111487</v>
      </c>
      <c r="Q173">
        <v>1.39378218396165</v>
      </c>
      <c r="R173">
        <v>1.154133732123878</v>
      </c>
      <c r="S173">
        <v>1.2154822023485663</v>
      </c>
      <c r="T173">
        <v>1.2953811605285075</v>
      </c>
      <c r="U173">
        <v>1.2357210310006459</v>
      </c>
      <c r="V173">
        <v>1.3448954049704989</v>
      </c>
      <c r="W173" s="117">
        <v>0</v>
      </c>
      <c r="X173" s="117">
        <v>0</v>
      </c>
      <c r="Y173" s="117">
        <v>0</v>
      </c>
      <c r="Z173" s="117">
        <v>0</v>
      </c>
      <c r="AA173">
        <v>1</v>
      </c>
    </row>
    <row r="174" spans="1:27" x14ac:dyDescent="0.35">
      <c r="A174" t="s">
        <v>498</v>
      </c>
      <c r="B174" t="s">
        <v>499</v>
      </c>
      <c r="C174" t="s">
        <v>374</v>
      </c>
      <c r="D174" t="s">
        <v>168</v>
      </c>
      <c r="E174" t="s">
        <v>145</v>
      </c>
      <c r="F174" t="s">
        <v>167</v>
      </c>
      <c r="G174">
        <v>170.44518023269626</v>
      </c>
      <c r="H174">
        <v>5.8472032799637398E-2</v>
      </c>
      <c r="I174">
        <v>0.21424152817787143</v>
      </c>
      <c r="J174">
        <v>2.3267209205922312</v>
      </c>
      <c r="K174">
        <v>1.3263572562220902</v>
      </c>
      <c r="L174">
        <v>1.5963240717558658</v>
      </c>
      <c r="M174">
        <v>1.5284720537489731</v>
      </c>
      <c r="N174">
        <v>1.3785984406327738</v>
      </c>
      <c r="O174">
        <v>1.5276666559417871</v>
      </c>
      <c r="P174">
        <v>1.6721470135847669</v>
      </c>
      <c r="Q174">
        <v>1.3070253557120981</v>
      </c>
      <c r="R174">
        <v>1.2095558465202498</v>
      </c>
      <c r="S174">
        <v>1.2971210859341129</v>
      </c>
      <c r="T174">
        <v>1.3393743599143302</v>
      </c>
      <c r="U174">
        <v>1.3313443191676493</v>
      </c>
      <c r="V174">
        <v>1.3335057494131222</v>
      </c>
      <c r="W174" s="117">
        <v>0.81636363834011749</v>
      </c>
      <c r="X174" s="117">
        <v>0.71214588190021066</v>
      </c>
      <c r="Y174" s="117">
        <v>0.17489899342683393</v>
      </c>
      <c r="Z174" s="117">
        <v>0.15257122202387907</v>
      </c>
      <c r="AA174">
        <v>1</v>
      </c>
    </row>
    <row r="175" spans="1:27" x14ac:dyDescent="0.35">
      <c r="A175" t="s">
        <v>500</v>
      </c>
      <c r="B175" t="s">
        <v>501</v>
      </c>
      <c r="C175" t="s">
        <v>148</v>
      </c>
      <c r="D175" t="s">
        <v>156</v>
      </c>
      <c r="E175" t="s">
        <v>123</v>
      </c>
      <c r="F175" t="s">
        <v>150</v>
      </c>
      <c r="G175">
        <v>264.87083172605821</v>
      </c>
      <c r="H175">
        <v>4.6438331688265701E-2</v>
      </c>
      <c r="I175">
        <v>0.17015004730580555</v>
      </c>
      <c r="J175">
        <v>0.48882996407081952</v>
      </c>
      <c r="K175">
        <v>1.4311390552424275</v>
      </c>
      <c r="L175">
        <v>1.2385981682627154</v>
      </c>
      <c r="M175">
        <v>1.2157310073334064</v>
      </c>
      <c r="N175">
        <v>1.1641185092236064</v>
      </c>
      <c r="O175">
        <v>1.2237446676811887</v>
      </c>
      <c r="P175">
        <v>1.277363372111487</v>
      </c>
      <c r="Q175">
        <v>1.39378218396165</v>
      </c>
      <c r="R175">
        <v>1.154133732123878</v>
      </c>
      <c r="S175">
        <v>1.2154822023485663</v>
      </c>
      <c r="T175">
        <v>1.2953811605285075</v>
      </c>
      <c r="U175">
        <v>1.2357210310006459</v>
      </c>
      <c r="V175">
        <v>1.3448954049704989</v>
      </c>
      <c r="W175" s="117">
        <v>0.67604655956087345</v>
      </c>
      <c r="X175" s="117">
        <v>0.67604655956087345</v>
      </c>
      <c r="Y175" s="117">
        <v>0.1150293540902097</v>
      </c>
      <c r="Z175" s="117">
        <v>0.1150293540902097</v>
      </c>
      <c r="AA175">
        <v>1</v>
      </c>
    </row>
    <row r="176" spans="1:27" x14ac:dyDescent="0.35">
      <c r="A176" t="s">
        <v>502</v>
      </c>
      <c r="B176" t="s">
        <v>503</v>
      </c>
      <c r="C176" t="s">
        <v>132</v>
      </c>
      <c r="D176" t="s">
        <v>149</v>
      </c>
      <c r="E176" t="s">
        <v>128</v>
      </c>
      <c r="F176" t="s">
        <v>132</v>
      </c>
      <c r="G176" t="s">
        <v>149</v>
      </c>
      <c r="H176" t="s">
        <v>149</v>
      </c>
      <c r="I176" t="s">
        <v>149</v>
      </c>
      <c r="J176" t="s">
        <v>149</v>
      </c>
      <c r="K176" t="s">
        <v>149</v>
      </c>
      <c r="L176">
        <v>1.2067690036967176</v>
      </c>
      <c r="M176">
        <v>1.1866174178280724</v>
      </c>
      <c r="N176">
        <v>1.1300269287366023</v>
      </c>
      <c r="O176">
        <v>1.1919270064378424</v>
      </c>
      <c r="P176">
        <v>1.2529274166703845</v>
      </c>
      <c r="Q176" t="s">
        <v>149</v>
      </c>
      <c r="R176">
        <v>0.90947003354549738</v>
      </c>
      <c r="S176">
        <v>1.0160301239037073</v>
      </c>
      <c r="T176">
        <v>1.0683930558484569</v>
      </c>
      <c r="U176">
        <v>1.0727560349127803</v>
      </c>
      <c r="V176">
        <v>1.2137481184144505</v>
      </c>
      <c r="W176" s="117" t="s">
        <v>149</v>
      </c>
      <c r="X176" s="117" t="s">
        <v>149</v>
      </c>
      <c r="Y176" s="117" t="s">
        <v>149</v>
      </c>
      <c r="Z176" s="117" t="s">
        <v>149</v>
      </c>
      <c r="AA176">
        <v>0</v>
      </c>
    </row>
    <row r="177" spans="1:27" x14ac:dyDescent="0.35">
      <c r="A177" t="s">
        <v>504</v>
      </c>
      <c r="B177" t="s">
        <v>505</v>
      </c>
      <c r="C177" t="s">
        <v>148</v>
      </c>
      <c r="D177" t="s">
        <v>156</v>
      </c>
      <c r="E177" t="s">
        <v>123</v>
      </c>
      <c r="F177" t="s">
        <v>150</v>
      </c>
      <c r="G177">
        <v>312.03960585956605</v>
      </c>
      <c r="H177">
        <v>4.6438331688265701E-2</v>
      </c>
      <c r="I177">
        <v>0.17015004730580555</v>
      </c>
      <c r="J177">
        <v>0.89682787311492462</v>
      </c>
      <c r="K177">
        <v>1.4311390552424275</v>
      </c>
      <c r="L177">
        <v>1.2385981682627154</v>
      </c>
      <c r="M177">
        <v>1.2157310073334064</v>
      </c>
      <c r="N177">
        <v>1.1641185092236064</v>
      </c>
      <c r="O177">
        <v>1.2237446676811887</v>
      </c>
      <c r="P177">
        <v>1.277363372111487</v>
      </c>
      <c r="Q177">
        <v>1.39378218396165</v>
      </c>
      <c r="R177">
        <v>1.154133732123878</v>
      </c>
      <c r="S177">
        <v>1.2154822023485663</v>
      </c>
      <c r="T177">
        <v>1.2953811605285075</v>
      </c>
      <c r="U177">
        <v>1.2357210310006459</v>
      </c>
      <c r="V177">
        <v>1.3448954049704989</v>
      </c>
      <c r="W177" s="117">
        <v>0.78816688227354259</v>
      </c>
      <c r="X177" s="117">
        <v>0.63042685058315917</v>
      </c>
      <c r="Y177" s="117">
        <v>0.13410663230371253</v>
      </c>
      <c r="Z177" s="117">
        <v>0.10726715844957453</v>
      </c>
      <c r="AA177">
        <v>1</v>
      </c>
    </row>
    <row r="178" spans="1:27" x14ac:dyDescent="0.35">
      <c r="A178" t="s">
        <v>506</v>
      </c>
      <c r="B178" t="s">
        <v>507</v>
      </c>
      <c r="C178" t="s">
        <v>148</v>
      </c>
      <c r="D178" t="s">
        <v>156</v>
      </c>
      <c r="E178" t="s">
        <v>123</v>
      </c>
      <c r="F178" t="s">
        <v>150</v>
      </c>
      <c r="G178">
        <v>290.70356795911607</v>
      </c>
      <c r="H178">
        <v>4.2216665171150601E-2</v>
      </c>
      <c r="I178">
        <v>0.15468186118709581</v>
      </c>
      <c r="J178">
        <v>0.40751592798229003</v>
      </c>
      <c r="K178">
        <v>1.4311390552424275</v>
      </c>
      <c r="L178">
        <v>1.2385981682627154</v>
      </c>
      <c r="M178">
        <v>1.2157310073334064</v>
      </c>
      <c r="N178">
        <v>1.1641185092236064</v>
      </c>
      <c r="O178">
        <v>1.2237446676811887</v>
      </c>
      <c r="P178">
        <v>1.277363372111487</v>
      </c>
      <c r="Q178">
        <v>1.39378218396165</v>
      </c>
      <c r="R178">
        <v>1.154133732123878</v>
      </c>
      <c r="S178">
        <v>1.2154822023485663</v>
      </c>
      <c r="T178">
        <v>1.2953811605285075</v>
      </c>
      <c r="U178">
        <v>1.2357210310006459</v>
      </c>
      <c r="V178">
        <v>1.3448954049704989</v>
      </c>
      <c r="W178" s="117">
        <v>0.55884096187342758</v>
      </c>
      <c r="X178" s="117">
        <v>0.50450575769305217</v>
      </c>
      <c r="Y178" s="117">
        <v>8.6442560090168624E-2</v>
      </c>
      <c r="Z178" s="117">
        <v>7.8037889579567296E-2</v>
      </c>
      <c r="AA178">
        <v>1</v>
      </c>
    </row>
    <row r="179" spans="1:27" x14ac:dyDescent="0.35">
      <c r="A179" t="s">
        <v>508</v>
      </c>
      <c r="B179" t="s">
        <v>509</v>
      </c>
      <c r="C179" t="s">
        <v>148</v>
      </c>
      <c r="D179" t="s">
        <v>156</v>
      </c>
      <c r="E179" t="s">
        <v>123</v>
      </c>
      <c r="F179" t="s">
        <v>150</v>
      </c>
      <c r="G179">
        <v>265.23366529428182</v>
      </c>
      <c r="H179">
        <v>4.2216665171150601E-2</v>
      </c>
      <c r="I179">
        <v>0.15468186118709581</v>
      </c>
      <c r="J179">
        <v>0.2444624</v>
      </c>
      <c r="K179">
        <v>1.4311390552424275</v>
      </c>
      <c r="L179">
        <v>1.2385981682627154</v>
      </c>
      <c r="M179">
        <v>1.2157310073334064</v>
      </c>
      <c r="N179">
        <v>1.1641185092236064</v>
      </c>
      <c r="O179">
        <v>1.2237446676811887</v>
      </c>
      <c r="P179">
        <v>1.277363372111487</v>
      </c>
      <c r="Q179">
        <v>1.39378218396165</v>
      </c>
      <c r="R179">
        <v>1.154133732123878</v>
      </c>
      <c r="S179">
        <v>1.2154822023485663</v>
      </c>
      <c r="T179">
        <v>1.2953811605285075</v>
      </c>
      <c r="U179">
        <v>1.2357210310006459</v>
      </c>
      <c r="V179">
        <v>1.3448954049704989</v>
      </c>
      <c r="W179" s="117">
        <v>0.50219354838709673</v>
      </c>
      <c r="X179" s="117">
        <v>0.50219354838709673</v>
      </c>
      <c r="Y179" s="117">
        <v>7.7680232740667987E-2</v>
      </c>
      <c r="Z179" s="117">
        <v>7.7680232740667987E-2</v>
      </c>
      <c r="AA179">
        <v>1</v>
      </c>
    </row>
    <row r="180" spans="1:27" x14ac:dyDescent="0.35">
      <c r="A180" t="s">
        <v>510</v>
      </c>
      <c r="B180" t="s">
        <v>511</v>
      </c>
      <c r="C180" t="s">
        <v>148</v>
      </c>
      <c r="D180" t="s">
        <v>149</v>
      </c>
      <c r="E180" t="s">
        <v>123</v>
      </c>
      <c r="F180" t="s">
        <v>150</v>
      </c>
      <c r="G180" t="s">
        <v>149</v>
      </c>
      <c r="H180">
        <v>7.3879164049513602E-3</v>
      </c>
      <c r="I180">
        <v>2.7069325707741784E-2</v>
      </c>
      <c r="J180" t="s">
        <v>149</v>
      </c>
      <c r="K180" t="s">
        <v>149</v>
      </c>
      <c r="L180">
        <v>1.2385981682627154</v>
      </c>
      <c r="M180">
        <v>1.2157310073334064</v>
      </c>
      <c r="N180">
        <v>1.1641185092236064</v>
      </c>
      <c r="O180">
        <v>1.2237446676811887</v>
      </c>
      <c r="P180">
        <v>1.277363372111487</v>
      </c>
      <c r="Q180" t="s">
        <v>149</v>
      </c>
      <c r="R180">
        <v>1.154133732123878</v>
      </c>
      <c r="S180">
        <v>1.2154822023485663</v>
      </c>
      <c r="T180">
        <v>1.2953811605285075</v>
      </c>
      <c r="U180">
        <v>1.2357210310006459</v>
      </c>
      <c r="V180">
        <v>1.3448954049704989</v>
      </c>
      <c r="W180" s="117" t="s">
        <v>149</v>
      </c>
      <c r="X180" s="117" t="s">
        <v>149</v>
      </c>
      <c r="Y180" s="117" t="s">
        <v>149</v>
      </c>
      <c r="Z180" s="117" t="s">
        <v>149</v>
      </c>
      <c r="AA180">
        <v>0</v>
      </c>
    </row>
    <row r="181" spans="1:27" x14ac:dyDescent="0.35">
      <c r="A181" t="s">
        <v>512</v>
      </c>
      <c r="B181" t="s">
        <v>513</v>
      </c>
      <c r="C181" t="s">
        <v>374</v>
      </c>
      <c r="D181" t="s">
        <v>168</v>
      </c>
      <c r="E181" t="s">
        <v>128</v>
      </c>
      <c r="F181" t="s">
        <v>167</v>
      </c>
      <c r="G181">
        <v>379.71313871037779</v>
      </c>
      <c r="H181">
        <v>3.3951502915918502E-2</v>
      </c>
      <c r="I181">
        <v>0.1243983066839254</v>
      </c>
      <c r="J181">
        <v>0.47291446991932956</v>
      </c>
      <c r="K181">
        <v>1.3263572562220902</v>
      </c>
      <c r="L181">
        <v>1.5963240717558658</v>
      </c>
      <c r="M181">
        <v>1.5284720537489731</v>
      </c>
      <c r="N181">
        <v>1.3785984406327738</v>
      </c>
      <c r="O181">
        <v>1.5276666559417871</v>
      </c>
      <c r="P181">
        <v>1.6721470135847669</v>
      </c>
      <c r="Q181">
        <v>1.3070253557120981</v>
      </c>
      <c r="R181">
        <v>0.90947003354549738</v>
      </c>
      <c r="S181">
        <v>1.0160301239037073</v>
      </c>
      <c r="T181">
        <v>1.0683930558484569</v>
      </c>
      <c r="U181">
        <v>1.0727560349127803</v>
      </c>
      <c r="V181">
        <v>1.2137481184144505</v>
      </c>
      <c r="W181" s="117">
        <v>1.9144473360973979</v>
      </c>
      <c r="X181" s="117">
        <v>1.4285680670528829</v>
      </c>
      <c r="Y181" s="117">
        <v>0.23815400684606811</v>
      </c>
      <c r="Z181" s="117">
        <v>0.17771144852410703</v>
      </c>
      <c r="AA181">
        <v>1</v>
      </c>
    </row>
    <row r="182" spans="1:27" x14ac:dyDescent="0.35">
      <c r="A182" t="s">
        <v>514</v>
      </c>
      <c r="B182" t="s">
        <v>515</v>
      </c>
      <c r="C182" t="s">
        <v>177</v>
      </c>
      <c r="D182" t="s">
        <v>149</v>
      </c>
      <c r="E182" t="s">
        <v>123</v>
      </c>
      <c r="F182" t="s">
        <v>129</v>
      </c>
      <c r="G182" t="s">
        <v>149</v>
      </c>
      <c r="H182" t="s">
        <v>149</v>
      </c>
      <c r="I182" t="s">
        <v>149</v>
      </c>
      <c r="J182" t="s">
        <v>149</v>
      </c>
      <c r="K182" t="s">
        <v>149</v>
      </c>
      <c r="L182">
        <v>1.4904316059472853</v>
      </c>
      <c r="M182">
        <v>1.4610847772130751</v>
      </c>
      <c r="N182">
        <v>1.3701392224490256</v>
      </c>
      <c r="O182">
        <v>1.4354696297925016</v>
      </c>
      <c r="P182">
        <v>1.5281407979197132</v>
      </c>
      <c r="Q182" t="s">
        <v>149</v>
      </c>
      <c r="R182">
        <v>1.154133732123878</v>
      </c>
      <c r="S182">
        <v>1.2154822023485663</v>
      </c>
      <c r="T182">
        <v>1.2953811605285075</v>
      </c>
      <c r="U182">
        <v>1.2357210310006459</v>
      </c>
      <c r="V182">
        <v>1.3448954049704989</v>
      </c>
      <c r="W182" s="117" t="s">
        <v>149</v>
      </c>
      <c r="X182" s="117" t="s">
        <v>149</v>
      </c>
      <c r="Y182" s="117" t="s">
        <v>149</v>
      </c>
      <c r="Z182" s="117" t="s">
        <v>149</v>
      </c>
      <c r="AA182">
        <v>0</v>
      </c>
    </row>
    <row r="183" spans="1:27" x14ac:dyDescent="0.35">
      <c r="A183" t="s">
        <v>516</v>
      </c>
      <c r="B183" t="s">
        <v>517</v>
      </c>
      <c r="C183" t="s">
        <v>171</v>
      </c>
      <c r="D183" t="s">
        <v>149</v>
      </c>
      <c r="E183" t="s">
        <v>145</v>
      </c>
      <c r="F183" t="s">
        <v>124</v>
      </c>
      <c r="G183" t="s">
        <v>149</v>
      </c>
      <c r="H183" t="s">
        <v>149</v>
      </c>
      <c r="I183" t="s">
        <v>149</v>
      </c>
      <c r="J183" t="s">
        <v>149</v>
      </c>
      <c r="K183" t="s">
        <v>149</v>
      </c>
      <c r="L183">
        <v>1.6075990253515033</v>
      </c>
      <c r="M183">
        <v>1.5477783159783653</v>
      </c>
      <c r="N183">
        <v>1.4279094998340851</v>
      </c>
      <c r="O183">
        <v>1.5230249577532384</v>
      </c>
      <c r="P183">
        <v>1.6751514690397891</v>
      </c>
      <c r="Q183" t="s">
        <v>149</v>
      </c>
      <c r="R183">
        <v>1.2095558465202498</v>
      </c>
      <c r="S183">
        <v>1.2971210859341129</v>
      </c>
      <c r="T183">
        <v>1.3393743599143302</v>
      </c>
      <c r="U183">
        <v>1.3313443191676493</v>
      </c>
      <c r="V183">
        <v>1.3335057494131222</v>
      </c>
      <c r="W183" s="117">
        <v>1.2874994620027811</v>
      </c>
      <c r="X183" s="117">
        <v>1.1330635432995582</v>
      </c>
      <c r="Y183" s="117" t="s">
        <v>149</v>
      </c>
      <c r="Z183" s="117" t="s">
        <v>149</v>
      </c>
      <c r="AA183">
        <v>0</v>
      </c>
    </row>
    <row r="184" spans="1:27" x14ac:dyDescent="0.35">
      <c r="A184" t="s">
        <v>518</v>
      </c>
      <c r="B184" t="s">
        <v>519</v>
      </c>
      <c r="C184" t="s">
        <v>148</v>
      </c>
      <c r="D184" t="s">
        <v>156</v>
      </c>
      <c r="E184" t="s">
        <v>123</v>
      </c>
      <c r="F184" t="s">
        <v>150</v>
      </c>
      <c r="G184">
        <v>624.07922647916087</v>
      </c>
      <c r="H184">
        <v>1.8997499327017799E-2</v>
      </c>
      <c r="I184">
        <v>6.9606837534193222E-2</v>
      </c>
      <c r="J184">
        <v>0.18091184364462182</v>
      </c>
      <c r="K184">
        <v>1.4311390552424275</v>
      </c>
      <c r="L184">
        <v>1.2385981682627154</v>
      </c>
      <c r="M184">
        <v>1.2157310073334064</v>
      </c>
      <c r="N184">
        <v>1.1641185092236064</v>
      </c>
      <c r="O184">
        <v>1.2237446676811887</v>
      </c>
      <c r="P184">
        <v>1.277363372111487</v>
      </c>
      <c r="Q184">
        <v>1.39378218396165</v>
      </c>
      <c r="R184">
        <v>1.154133732123878</v>
      </c>
      <c r="S184">
        <v>1.2154822023485663</v>
      </c>
      <c r="T184">
        <v>1.2953811605285075</v>
      </c>
      <c r="U184">
        <v>1.2357210310006459</v>
      </c>
      <c r="V184">
        <v>1.3448954049704989</v>
      </c>
      <c r="W184" s="117">
        <v>0.87925817218405433</v>
      </c>
      <c r="X184" s="117">
        <v>0.38265432018597645</v>
      </c>
      <c r="Y184" s="117">
        <v>6.1202380741827163E-2</v>
      </c>
      <c r="Z184" s="117">
        <v>2.6635357096942418E-2</v>
      </c>
      <c r="AA184">
        <v>1</v>
      </c>
    </row>
    <row r="185" spans="1:27" x14ac:dyDescent="0.35">
      <c r="A185" t="s">
        <v>520</v>
      </c>
      <c r="B185" t="s">
        <v>521</v>
      </c>
      <c r="C185" t="s">
        <v>148</v>
      </c>
      <c r="D185" t="s">
        <v>156</v>
      </c>
      <c r="E185" t="s">
        <v>123</v>
      </c>
      <c r="F185" t="s">
        <v>150</v>
      </c>
      <c r="G185">
        <v>852.10814516122321</v>
      </c>
      <c r="H185">
        <v>1.5831249439181499E-2</v>
      </c>
      <c r="I185">
        <v>5.8005697945161014E-2</v>
      </c>
      <c r="J185">
        <v>0.11462662555302319</v>
      </c>
      <c r="K185">
        <v>1.4311390552424275</v>
      </c>
      <c r="L185">
        <v>1.2385981682627154</v>
      </c>
      <c r="M185">
        <v>1.2157310073334064</v>
      </c>
      <c r="N185">
        <v>1.1641185092236064</v>
      </c>
      <c r="O185">
        <v>1.2237446676811887</v>
      </c>
      <c r="P185">
        <v>1.277363372111487</v>
      </c>
      <c r="Q185">
        <v>1.39378218396165</v>
      </c>
      <c r="R185">
        <v>1.154133732123878</v>
      </c>
      <c r="S185">
        <v>1.2154822023485663</v>
      </c>
      <c r="T185">
        <v>1.2953811605285075</v>
      </c>
      <c r="U185">
        <v>1.2357210310006459</v>
      </c>
      <c r="V185">
        <v>1.3448954049704989</v>
      </c>
      <c r="W185" s="117">
        <v>1.1632940086370931</v>
      </c>
      <c r="X185" s="117">
        <v>1.1632940086370931</v>
      </c>
      <c r="Y185" s="117">
        <v>6.7477680886418756E-2</v>
      </c>
      <c r="Z185" s="117">
        <v>6.7477680886418756E-2</v>
      </c>
      <c r="AA185">
        <v>1</v>
      </c>
    </row>
    <row r="186" spans="1:27" x14ac:dyDescent="0.35">
      <c r="A186" t="s">
        <v>522</v>
      </c>
      <c r="B186" t="s">
        <v>523</v>
      </c>
      <c r="C186" t="s">
        <v>148</v>
      </c>
      <c r="D186" t="s">
        <v>156</v>
      </c>
      <c r="E186" t="s">
        <v>123</v>
      </c>
      <c r="F186" t="s">
        <v>150</v>
      </c>
      <c r="G186">
        <v>3917.8301127158857</v>
      </c>
      <c r="H186">
        <v>2.1108332585575299E-3</v>
      </c>
      <c r="I186">
        <v>7.7340930593547894E-3</v>
      </c>
      <c r="J186">
        <v>5.5054710618677311E-2</v>
      </c>
      <c r="K186">
        <v>1.4311390552424275</v>
      </c>
      <c r="L186">
        <v>1.2385981682627154</v>
      </c>
      <c r="M186">
        <v>1.2157310073334064</v>
      </c>
      <c r="N186">
        <v>1.1641185092236064</v>
      </c>
      <c r="O186">
        <v>1.2237446676811887</v>
      </c>
      <c r="P186">
        <v>1.277363372111487</v>
      </c>
      <c r="Q186">
        <v>1.39378218396165</v>
      </c>
      <c r="R186">
        <v>1.154133732123878</v>
      </c>
      <c r="S186">
        <v>1.2154822023485663</v>
      </c>
      <c r="T186">
        <v>1.2953811605285075</v>
      </c>
      <c r="U186">
        <v>1.2357210310006459</v>
      </c>
      <c r="V186">
        <v>1.3448954049704989</v>
      </c>
      <c r="W186" s="117">
        <v>0.23059988992845348</v>
      </c>
      <c r="X186" s="117">
        <v>0.19388316691563803</v>
      </c>
      <c r="Y186" s="117">
        <v>1.7834810081836304E-3</v>
      </c>
      <c r="Z186" s="117">
        <v>1.4995104555679622E-3</v>
      </c>
      <c r="AA186">
        <v>0</v>
      </c>
    </row>
  </sheetData>
  <sheetProtection algorithmName="SHA-512" hashValue="gSiopW0stODHPXjmmtiGjRKgCgmlIIkHAm7fddWkW0Glb7KSfNxS3s7fvHOWUk5mCPevABYSY/y81+u6gg5AsA==" saltValue="7eL/A5IC2HVWMgU5ByHqnw==" spinCount="100000" sheet="1" objects="1" scenarios="1"/>
  <autoFilter ref="A3:AA186" xr:uid="{4F246AA6-CF6B-46D1-8ED6-61EDBC3DB07B}"/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B80EE-5054-494E-8835-549D08B4D3F4}">
  <dimension ref="A1:AA19"/>
  <sheetViews>
    <sheetView topLeftCell="K1" workbookViewId="0">
      <selection activeCell="AA31" sqref="AA31"/>
    </sheetView>
  </sheetViews>
  <sheetFormatPr baseColWidth="10" defaultColWidth="11.453125" defaultRowHeight="14.5" x14ac:dyDescent="0.35"/>
  <cols>
    <col min="1" max="2" width="0" hidden="1" customWidth="1"/>
    <col min="4" max="4" width="10.81640625" style="12"/>
    <col min="5" max="5" width="0" hidden="1" customWidth="1"/>
    <col min="6" max="6" width="0" style="13" hidden="1" customWidth="1"/>
    <col min="7" max="7" width="12.1796875" style="14" customWidth="1"/>
    <col min="10" max="10" width="13.1796875" style="13" bestFit="1" customWidth="1"/>
    <col min="16" max="16" width="10.81640625" style="13"/>
    <col min="22" max="22" width="10.81640625" style="13"/>
    <col min="24" max="24" width="10.81640625" style="13"/>
    <col min="26" max="26" width="10.81640625" style="13"/>
  </cols>
  <sheetData>
    <row r="1" spans="1:27" s="2" customFormat="1" x14ac:dyDescent="0.35">
      <c r="A1" s="1" t="s">
        <v>96</v>
      </c>
      <c r="B1" s="2" t="s">
        <v>97</v>
      </c>
      <c r="C1" s="2" t="s">
        <v>98</v>
      </c>
      <c r="D1" s="3" t="s">
        <v>99</v>
      </c>
      <c r="E1" s="2" t="s">
        <v>100</v>
      </c>
      <c r="F1" s="4" t="s">
        <v>101</v>
      </c>
      <c r="G1" s="5" t="s">
        <v>102</v>
      </c>
      <c r="H1" s="2" t="s">
        <v>103</v>
      </c>
      <c r="I1" s="2" t="s">
        <v>104</v>
      </c>
      <c r="J1" s="4" t="s">
        <v>105</v>
      </c>
      <c r="K1" s="2" t="s">
        <v>106</v>
      </c>
      <c r="P1" s="4"/>
      <c r="Q1" s="2" t="s">
        <v>107</v>
      </c>
      <c r="V1" s="4"/>
      <c r="W1" s="2" t="s">
        <v>108</v>
      </c>
      <c r="X1" s="4"/>
      <c r="Y1" s="2" t="s">
        <v>109</v>
      </c>
      <c r="Z1" s="4"/>
      <c r="AA1" s="2" t="s">
        <v>110</v>
      </c>
    </row>
    <row r="2" spans="1:27" s="2" customFormat="1" x14ac:dyDescent="0.35">
      <c r="A2" s="1"/>
      <c r="D2" s="3"/>
      <c r="F2" s="4"/>
      <c r="G2" s="5"/>
      <c r="J2" s="4"/>
      <c r="P2" s="4"/>
      <c r="V2" s="4"/>
      <c r="X2" s="4"/>
      <c r="Z2" s="4"/>
    </row>
    <row r="3" spans="1:27" s="7" customFormat="1" x14ac:dyDescent="0.35">
      <c r="A3" s="6"/>
      <c r="D3" s="8"/>
      <c r="F3" s="9"/>
      <c r="G3" s="10"/>
      <c r="H3" s="7">
        <v>2020</v>
      </c>
      <c r="J3" s="9">
        <v>2020</v>
      </c>
      <c r="K3" s="7" t="s">
        <v>111</v>
      </c>
      <c r="L3" s="7" t="s">
        <v>112</v>
      </c>
      <c r="M3" s="7" t="s">
        <v>113</v>
      </c>
      <c r="N3" s="7" t="s">
        <v>114</v>
      </c>
      <c r="O3" s="7" t="s">
        <v>115</v>
      </c>
      <c r="P3" s="9" t="s">
        <v>116</v>
      </c>
      <c r="Q3" s="7" t="s">
        <v>111</v>
      </c>
      <c r="R3" s="7" t="s">
        <v>112</v>
      </c>
      <c r="S3" s="7" t="s">
        <v>113</v>
      </c>
      <c r="T3" s="7" t="s">
        <v>114</v>
      </c>
      <c r="U3" s="7" t="s">
        <v>115</v>
      </c>
      <c r="V3" s="9" t="s">
        <v>116</v>
      </c>
      <c r="W3" s="7" t="s">
        <v>117</v>
      </c>
      <c r="X3" s="4" t="s">
        <v>118</v>
      </c>
      <c r="Y3" s="7" t="s">
        <v>117</v>
      </c>
      <c r="Z3" s="9" t="s">
        <v>118</v>
      </c>
      <c r="AA3" s="11" t="s">
        <v>119</v>
      </c>
    </row>
    <row r="4" spans="1:27" x14ac:dyDescent="0.35">
      <c r="C4" t="s">
        <v>126</v>
      </c>
      <c r="D4" s="12" t="s">
        <v>125</v>
      </c>
      <c r="G4" s="14">
        <v>5.953305611064651E-3</v>
      </c>
      <c r="H4">
        <f>SUMIF('Data_country level'!$D$4:$D$186,$D4,'Data_country level'!H$4:'Data_country level'!H$186)</f>
        <v>1287.0335996726301</v>
      </c>
      <c r="I4">
        <f>SUMIF('Data_country level'!$D$4:$D$186,$D4,'Data_country level'!I$4:'Data_country level'!I$186)</f>
        <v>4715.6911092005166</v>
      </c>
      <c r="J4" s="13">
        <f>SUMIF('Data_country level'!$D$4:$D$186,$D4,'Data_country level'!J$4:'Data_country level'!J$186)</f>
        <v>20893.743833</v>
      </c>
      <c r="K4">
        <f>VLOOKUP($D4,'Data_country level'!$D$4:$AA$186,8,FALSE)</f>
        <v>1.2065015262820036</v>
      </c>
      <c r="L4">
        <f>SUMPRODUCT(('Data_country level'!$D$4:$D$186=$D4)*1,'Data_country level'!L$4:L$186,'Data_country level'!$J$4:$J$186)/$J4</f>
        <v>1.2959589889889573</v>
      </c>
      <c r="M4">
        <f>SUMPRODUCT(('Data_country level'!$D$4:$D$186=$D4)*1,'Data_country level'!M$4:M$186,'Data_country level'!$J$4:$J$186)/$J4</f>
        <v>1.2657121856098954</v>
      </c>
      <c r="N4">
        <f>SUMPRODUCT(('Data_country level'!$D$4:$D$186=$D4)*1,'Data_country level'!N$4:N$186,'Data_country level'!$J$4:$J$186)/$J4</f>
        <v>1.1823970624118154</v>
      </c>
      <c r="O4">
        <f>SUMPRODUCT(('Data_country level'!$D$4:$D$186=$D4)*1,'Data_country level'!O$4:O$186,'Data_country level'!$J$4:$J$186)/$J4</f>
        <v>1.2835096943553725</v>
      </c>
      <c r="P4" s="13">
        <f>SUMPRODUCT(('Data_country level'!$D$4:$D$186=$D4)*1,'Data_country level'!P$4:P$186,'Data_country level'!$J$4:$J$186)/$J4</f>
        <v>1.3539260844451486</v>
      </c>
      <c r="Q4">
        <f>VLOOKUP($D4,'Data_country level'!$D$4:$AA$186,14,FALSE)</f>
        <v>1.1893129134488205</v>
      </c>
      <c r="R4">
        <f>SUMPRODUCT(('Data_country level'!$D$4:$D$186=$D4)*1,'Data_country level'!R$4:R$186,'Data_country level'!$H$4:$H$186)/$H4</f>
        <v>0.90947003354549738</v>
      </c>
      <c r="S4">
        <f>SUMPRODUCT(('Data_country level'!$D$4:$D$186=$D4)*1,'Data_country level'!S$4:S$186,'Data_country level'!$H$4:$H$186)/$H4</f>
        <v>1.0160301239037073</v>
      </c>
      <c r="T4">
        <f>SUMPRODUCT(('Data_country level'!$D$4:$D$186=$D4)*1,'Data_country level'!T$4:T$186,'Data_country level'!$H$4:$H$186)/$H4</f>
        <v>1.0683930558484569</v>
      </c>
      <c r="U4">
        <f>SUMPRODUCT(('Data_country level'!$D$4:$D$186=$D4)*1,'Data_country level'!U$4:U$186,'Data_country level'!$H$4:$H$186)/$H4</f>
        <v>1.0727560349127803</v>
      </c>
      <c r="V4" s="13">
        <f>SUMPRODUCT(('Data_country level'!$D$4:$D$186=$D4)*1,'Data_country level'!V$4:V$186,'Data_country level'!$H$4:$H$186)/$H4</f>
        <v>1.2137481184144505</v>
      </c>
      <c r="W4">
        <f>VLOOKUP($D4,Targets!$L$2:$R$17,6,FALSE)</f>
        <v>0.73106236545427317</v>
      </c>
      <c r="X4" s="15">
        <f>VLOOKUP($D4,Targets!$L$2:$R$17,7,FALSE)</f>
        <v>0.70760374301856066</v>
      </c>
      <c r="Y4">
        <f>W4*$I4</f>
        <v>3447.4642970438149</v>
      </c>
      <c r="Z4" s="13">
        <f>X4*$I4</f>
        <v>3336.8406797896337</v>
      </c>
    </row>
    <row r="5" spans="1:27" x14ac:dyDescent="0.35">
      <c r="C5" t="s">
        <v>160</v>
      </c>
      <c r="D5" s="12" t="s">
        <v>159</v>
      </c>
      <c r="G5" s="14">
        <v>0.12240284074761253</v>
      </c>
      <c r="H5">
        <f>SUMIF('Data_country level'!$D$4:$D$186,$D5,'Data_country level'!H$4:'Data_country level'!H$186)</f>
        <v>145.97811797064199</v>
      </c>
      <c r="I5">
        <f>SUMIF('Data_country level'!$D$4:$D$186,$D5,'Data_country level'!I$4:'Data_country level'!I$186)</f>
        <v>534.86382424443229</v>
      </c>
      <c r="J5" s="13">
        <f>SUMIF('Data_country level'!$D$4:$D$186,$D5,'Data_country level'!J$4:'Data_country level'!J$186)</f>
        <v>1645.4234075683632</v>
      </c>
      <c r="K5">
        <f>VLOOKUP($D5,'Data_country level'!$D$4:$AA$186,8,FALSE)</f>
        <v>1.221996946945836</v>
      </c>
      <c r="L5">
        <f>SUMPRODUCT(('Data_country level'!$D$4:$D$186=$D5)*1,'Data_country level'!L$4:L$186,'Data_country level'!$J$4:$J$186)/$J5</f>
        <v>1.2391220415267794</v>
      </c>
      <c r="M5">
        <f>SUMPRODUCT(('Data_country level'!$D$4:$D$186=$D5)*1,'Data_country level'!M$4:M$186,'Data_country level'!$J$4:$J$186)/$J5</f>
        <v>1.2445356347615457</v>
      </c>
      <c r="N5">
        <f>SUMPRODUCT(('Data_country level'!$D$4:$D$186=$D5)*1,'Data_country level'!N$4:N$186,'Data_country level'!$J$4:$J$186)/$J5</f>
        <v>1.175175430934486</v>
      </c>
      <c r="O5">
        <f>SUMPRODUCT(('Data_country level'!$D$4:$D$186=$D5)*1,'Data_country level'!O$4:O$186,'Data_country level'!$J$4:$J$186)/$J5</f>
        <v>1.2391918716841661</v>
      </c>
      <c r="P5" s="13">
        <f>SUMPRODUCT(('Data_country level'!$D$4:$D$186=$D5)*1,'Data_country level'!P$4:P$186,'Data_country level'!$J$4:$J$186)/$J5</f>
        <v>1.326252900883599</v>
      </c>
      <c r="Q5">
        <f>VLOOKUP($D5,'Data_country level'!$D$4:$AA$186,14,FALSE)</f>
        <v>1.1885119402079378</v>
      </c>
      <c r="R5">
        <f>SUMPRODUCT(('Data_country level'!$D$4:$D$186=$D5)*1,'Data_country level'!R$4:R$186,'Data_country level'!$H$4:$H$186)/$H5</f>
        <v>0.90947003354549749</v>
      </c>
      <c r="S5">
        <f>SUMPRODUCT(('Data_country level'!$D$4:$D$186=$D5)*1,'Data_country level'!S$4:S$186,'Data_country level'!$H$4:$H$186)/$H5</f>
        <v>1.0160301239037073</v>
      </c>
      <c r="T5">
        <f>SUMPRODUCT(('Data_country level'!$D$4:$D$186=$D5)*1,'Data_country level'!T$4:T$186,'Data_country level'!$H$4:$H$186)/$H5</f>
        <v>1.0683930558484569</v>
      </c>
      <c r="U5">
        <f>SUMPRODUCT(('Data_country level'!$D$4:$D$186=$D5)*1,'Data_country level'!U$4:U$186,'Data_country level'!$H$4:$H$186)/$H5</f>
        <v>1.0727560349127803</v>
      </c>
      <c r="V5" s="13">
        <f>SUMPRODUCT(('Data_country level'!$D$4:$D$186=$D5)*1,'Data_country level'!V$4:V$186,'Data_country level'!$H$4:$H$186)/$H5</f>
        <v>1.2137481184144505</v>
      </c>
      <c r="W5">
        <f>VLOOKUP($D5,Targets!$L$2:$R$17,6,FALSE)</f>
        <v>0.62594532645316192</v>
      </c>
      <c r="X5" s="13">
        <f>VLOOKUP($D5,Targets!$L$2:$R$17,7,FALSE)</f>
        <v>0.57549009126022055</v>
      </c>
      <c r="Y5">
        <f t="shared" ref="Y5:Z19" si="0">W5*$I5</f>
        <v>334.79551107466779</v>
      </c>
      <c r="Z5" s="13">
        <f>X5*$I5</f>
        <v>307.80883102621891</v>
      </c>
    </row>
    <row r="6" spans="1:27" x14ac:dyDescent="0.35">
      <c r="C6" t="s">
        <v>140</v>
      </c>
      <c r="D6" s="12" t="s">
        <v>139</v>
      </c>
      <c r="G6" s="14">
        <v>3.9810327665964554E-2</v>
      </c>
      <c r="H6">
        <f>SUMIF('Data_country level'!$D$4:$D$186,$D6,'Data_country level'!H$4:'Data_country level'!H$186)</f>
        <v>284.44978592059601</v>
      </c>
      <c r="I6">
        <f>SUMIF('Data_country level'!$D$4:$D$186,$D6,'Data_country level'!I$4:'Data_country level'!I$186)</f>
        <v>1042.2240156130638</v>
      </c>
      <c r="J6" s="13">
        <f>SUMIF('Data_country level'!$D$4:$D$186,$D6,'Data_country level'!J$4:'Data_country level'!J$186)</f>
        <v>5040.1077540841061</v>
      </c>
      <c r="K6">
        <f>VLOOKUP($D6,'Data_country level'!$D$4:$AA$186,8,FALSE)</f>
        <v>1.0840055778407973</v>
      </c>
      <c r="L6">
        <f>SUMPRODUCT(('Data_country level'!$D$4:$D$186=$D6)*1,'Data_country level'!L$4:L$186,'Data_country level'!$J$4:$J$186)/$J6</f>
        <v>1.1349615360611738</v>
      </c>
      <c r="M6">
        <f>SUMPRODUCT(('Data_country level'!$D$4:$D$186=$D6)*1,'Data_country level'!M$4:M$186,'Data_country level'!$J$4:$J$186)/$J6</f>
        <v>1.1053817683783378</v>
      </c>
      <c r="N6">
        <f>SUMPRODUCT(('Data_country level'!$D$4:$D$186=$D6)*1,'Data_country level'!N$4:N$186,'Data_country level'!$J$4:$J$186)/$J6</f>
        <v>1.0472951333306078</v>
      </c>
      <c r="O6">
        <f>SUMPRODUCT(('Data_country level'!$D$4:$D$186=$D6)*1,'Data_country level'!O$4:O$186,'Data_country level'!$J$4:$J$186)/$J6</f>
        <v>1.1243943381743213</v>
      </c>
      <c r="P6" s="13">
        <f>SUMPRODUCT(('Data_country level'!$D$4:$D$186=$D6)*1,'Data_country level'!P$4:P$186,'Data_country level'!$J$4:$J$186)/$J6</f>
        <v>1.1748329442559264</v>
      </c>
      <c r="Q6">
        <f>VLOOKUP($D6,'Data_country level'!$D$4:$AA$186,14,FALSE)</f>
        <v>1.3561674241042658</v>
      </c>
      <c r="R6">
        <f>SUMPRODUCT(('Data_country level'!$D$4:$D$186=$D6)*1,'Data_country level'!R$4:R$186,'Data_country level'!$H$4:$H$186)/$H6</f>
        <v>0.90947003354549749</v>
      </c>
      <c r="S6">
        <f>SUMPRODUCT(('Data_country level'!$D$4:$D$186=$D6)*1,'Data_country level'!S$4:S$186,'Data_country level'!$H$4:$H$186)/$H6</f>
        <v>1.0160301239037073</v>
      </c>
      <c r="T6">
        <f>SUMPRODUCT(('Data_country level'!$D$4:$D$186=$D6)*1,'Data_country level'!T$4:T$186,'Data_country level'!$H$4:$H$186)/$H6</f>
        <v>1.0683930558484569</v>
      </c>
      <c r="U6">
        <f>SUMPRODUCT(('Data_country level'!$D$4:$D$186=$D6)*1,'Data_country level'!U$4:U$186,'Data_country level'!$H$4:$H$186)/$H6</f>
        <v>1.0727560349127803</v>
      </c>
      <c r="V6" s="13">
        <f>SUMPRODUCT(('Data_country level'!$D$4:$D$186=$D6)*1,'Data_country level'!V$4:V$186,'Data_country level'!$H$4:$H$186)/$H6</f>
        <v>1.2137481184144505</v>
      </c>
      <c r="W6">
        <f>VLOOKUP($D6,Targets!$L$2:$R$17,6,FALSE)</f>
        <v>0.6185764278229714</v>
      </c>
      <c r="X6" s="13">
        <f>VLOOKUP($D6,Targets!$L$2:$R$17,7,FALSE)</f>
        <v>0.57507198284320638</v>
      </c>
      <c r="Y6">
        <f t="shared" si="0"/>
        <v>644.6952085692418</v>
      </c>
      <c r="Z6" s="13">
        <f t="shared" si="0"/>
        <v>599.3538312254135</v>
      </c>
    </row>
    <row r="7" spans="1:27" x14ac:dyDescent="0.35">
      <c r="C7" t="s">
        <v>158</v>
      </c>
      <c r="D7" s="12" t="s">
        <v>157</v>
      </c>
      <c r="G7" s="14">
        <v>5.4078714664034654E-2</v>
      </c>
      <c r="H7">
        <f>SUMIF('Data_country level'!$D$4:$D$186,$D7,'Data_country level'!H$4:'Data_country level'!H$186)</f>
        <v>163.10978222217801</v>
      </c>
      <c r="I7">
        <f>SUMIF('Data_country level'!$D$4:$D$186,$D7,'Data_country level'!I$4:'Data_country level'!I$186)</f>
        <v>597.63424206206025</v>
      </c>
      <c r="J7" s="13">
        <f>SUMIF('Data_country level'!$D$4:$D$186,$D7,'Data_country level'!J$4:'Data_country level'!J$186)</f>
        <v>1637.8958027928966</v>
      </c>
      <c r="K7">
        <f>VLOOKUP($D7,'Data_country level'!$D$4:$AA$186,8,FALSE)</f>
        <v>1.3574837009651797</v>
      </c>
      <c r="L7">
        <f>SUMPRODUCT(('Data_country level'!$D$4:$D$186=$D7)*1,'Data_country level'!L$4:L$186,'Data_country level'!$J$4:$J$186)/$J7</f>
        <v>1.414085880774504</v>
      </c>
      <c r="M7">
        <f>SUMPRODUCT(('Data_country level'!$D$4:$D$186=$D7)*1,'Data_country level'!M$4:M$186,'Data_country level'!$J$4:$J$186)/$J7</f>
        <v>1.3874143085954995</v>
      </c>
      <c r="N7">
        <f>SUMPRODUCT(('Data_country level'!$D$4:$D$186=$D7)*1,'Data_country level'!N$4:N$186,'Data_country level'!$J$4:$J$186)/$J7</f>
        <v>1.2685211094221291</v>
      </c>
      <c r="O7">
        <f>SUMPRODUCT(('Data_country level'!$D$4:$D$186=$D7)*1,'Data_country level'!O$4:O$186,'Data_country level'!$J$4:$J$186)/$J7</f>
        <v>1.4018620593009103</v>
      </c>
      <c r="P7" s="13">
        <f>SUMPRODUCT(('Data_country level'!$D$4:$D$186=$D7)*1,'Data_country level'!P$4:P$186,'Data_country level'!$J$4:$J$186)/$J7</f>
        <v>1.4576633159732433</v>
      </c>
      <c r="Q7">
        <f>VLOOKUP($D7,'Data_country level'!$D$4:$AA$186,14,FALSE)</f>
        <v>1.6054218992238367</v>
      </c>
      <c r="R7">
        <f>SUMPRODUCT(('Data_country level'!$D$4:$D$186=$D7)*1,'Data_country level'!R$4:R$186,'Data_country level'!$H$4:$H$186)/$H7</f>
        <v>0.90947003354549727</v>
      </c>
      <c r="S7">
        <f>SUMPRODUCT(('Data_country level'!$D$4:$D$186=$D7)*1,'Data_country level'!S$4:S$186,'Data_country level'!$H$4:$H$186)/$H7</f>
        <v>1.0160301239037073</v>
      </c>
      <c r="T7">
        <f>SUMPRODUCT(('Data_country level'!$D$4:$D$186=$D7)*1,'Data_country level'!T$4:T$186,'Data_country level'!$H$4:$H$186)/$H7</f>
        <v>1.0683930558484569</v>
      </c>
      <c r="U7">
        <f>SUMPRODUCT(('Data_country level'!$D$4:$D$186=$D7)*1,'Data_country level'!U$4:U$186,'Data_country level'!$H$4:$H$186)/$H7</f>
        <v>1.0727560349127803</v>
      </c>
      <c r="V7" s="13">
        <f>SUMPRODUCT(('Data_country level'!$D$4:$D$186=$D7)*1,'Data_country level'!V$4:V$186,'Data_country level'!$H$4:$H$186)/$H7</f>
        <v>1.2137481184144505</v>
      </c>
      <c r="W7">
        <f>VLOOKUP($D7,Targets!$L$2:$R$17,6,FALSE)</f>
        <v>0.64945342742783274</v>
      </c>
      <c r="X7" s="13">
        <f>VLOOKUP($D7,Targets!$L$2:$R$17,7,FALSE)</f>
        <v>0.64945342742783274</v>
      </c>
      <c r="Y7">
        <f t="shared" si="0"/>
        <v>388.13560685544007</v>
      </c>
      <c r="Z7" s="13">
        <f t="shared" si="0"/>
        <v>388.13560685544007</v>
      </c>
    </row>
    <row r="8" spans="1:27" x14ac:dyDescent="0.35">
      <c r="C8" t="s">
        <v>137</v>
      </c>
      <c r="D8" s="12" t="s">
        <v>136</v>
      </c>
      <c r="G8" s="14">
        <v>8.1395048509893472E-2</v>
      </c>
      <c r="H8">
        <f>SUMIF('Data_country level'!$D$4:$D$186,$D8,'Data_country level'!H$4:'Data_country level'!H$186)</f>
        <v>443.29187530584198</v>
      </c>
      <c r="I8">
        <f>SUMIF('Data_country level'!$D$4:$D$186,$D8,'Data_country level'!I$4:'Data_country level'!I$186)</f>
        <v>1624.2214311206051</v>
      </c>
      <c r="J8" s="13">
        <f>SUMIF('Data_country level'!$D$4:$D$186,$D8,'Data_country level'!J$4:'Data_country level'!J$186)</f>
        <v>1488.3218754897377</v>
      </c>
      <c r="K8">
        <f>VLOOKUP($D8,'Data_country level'!$D$4:$AA$186,8,FALSE)</f>
        <v>1.1171967272754229</v>
      </c>
      <c r="L8">
        <f>SUMPRODUCT(('Data_country level'!$D$4:$D$186=$D8)*1,'Data_country level'!L$4:L$186,'Data_country level'!$J$4:$J$186)/$J8</f>
        <v>1.4548504041547623</v>
      </c>
      <c r="M8">
        <f>SUMPRODUCT(('Data_country level'!$D$4:$D$186=$D8)*1,'Data_country level'!M$4:M$186,'Data_country level'!$J$4:$J$186)/$J8</f>
        <v>1.4065686993567248</v>
      </c>
      <c r="N8">
        <f>SUMPRODUCT(('Data_country level'!$D$4:$D$186=$D8)*1,'Data_country level'!N$4:N$186,'Data_country level'!$J$4:$J$186)/$J8</f>
        <v>1.3021366919447381</v>
      </c>
      <c r="O8">
        <f>SUMPRODUCT(('Data_country level'!$D$4:$D$186=$D8)*1,'Data_country level'!O$4:O$186,'Data_country level'!$J$4:$J$186)/$J8</f>
        <v>1.4080920055580388</v>
      </c>
      <c r="P8" s="13">
        <f>SUMPRODUCT(('Data_country level'!$D$4:$D$186=$D8)*1,'Data_country level'!P$4:P$186,'Data_country level'!$J$4:$J$186)/$J8</f>
        <v>1.5342057301372536</v>
      </c>
      <c r="Q8">
        <f>VLOOKUP($D8,'Data_country level'!$D$4:$AA$186,14,FALSE)</f>
        <v>1.201997037475719</v>
      </c>
      <c r="R8">
        <f>SUMPRODUCT(('Data_country level'!$D$4:$D$186=$D8)*1,'Data_country level'!R$4:R$186,'Data_country level'!$H$4:$H$186)/$H8</f>
        <v>1.0901307546951258</v>
      </c>
      <c r="S8">
        <f>SUMPRODUCT(('Data_country level'!$D$4:$D$186=$D8)*1,'Data_country level'!S$4:S$186,'Data_country level'!$H$4:$H$186)/$H8</f>
        <v>1.0599826962241754</v>
      </c>
      <c r="T8">
        <f>SUMPRODUCT(('Data_country level'!$D$4:$D$186=$D8)*1,'Data_country level'!T$4:T$186,'Data_country level'!$H$4:$H$186)/$H8</f>
        <v>1.1372607799723293</v>
      </c>
      <c r="U8">
        <f>SUMPRODUCT(('Data_country level'!$D$4:$D$186=$D8)*1,'Data_country level'!U$4:U$186,'Data_country level'!$H$4:$H$186)/$H8</f>
        <v>1.0615175586333341</v>
      </c>
      <c r="V8" s="13">
        <f>SUMPRODUCT(('Data_country level'!$D$4:$D$186=$D8)*1,'Data_country level'!V$4:V$186,'Data_country level'!$H$4:$H$186)/$H8</f>
        <v>1.1250789639924195</v>
      </c>
      <c r="W8">
        <f>VLOOKUP($D8,Targets!$L$2:$R$17,6,FALSE)</f>
        <v>1.0776972523070116</v>
      </c>
      <c r="X8" s="13">
        <f>VLOOKUP($D8,Targets!$L$2:$R$17,7,FALSE)</f>
        <v>1.0776972523070116</v>
      </c>
      <c r="Y8">
        <f t="shared" si="0"/>
        <v>1750.4189734568383</v>
      </c>
      <c r="Z8" s="13">
        <f t="shared" si="0"/>
        <v>1750.4189734568383</v>
      </c>
    </row>
    <row r="9" spans="1:27" x14ac:dyDescent="0.35">
      <c r="C9" t="s">
        <v>121</v>
      </c>
      <c r="D9" s="12" t="s">
        <v>120</v>
      </c>
      <c r="G9" s="14">
        <v>2.9863984230625112E-3</v>
      </c>
      <c r="H9">
        <f>SUMIF('Data_country level'!$D$4:$D$186,$D9,'Data_country level'!H$4:'Data_country level'!H$186)</f>
        <v>2990.2329064362998</v>
      </c>
      <c r="I9">
        <f>SUMIF('Data_country level'!$D$4:$D$186,$D9,'Data_country level'!I$4:'Data_country level'!I$186)</f>
        <v>10956.213369182602</v>
      </c>
      <c r="J9" s="13">
        <f>SUMIF('Data_country level'!$D$4:$D$186,$D9,'Data_country level'!J$4:'Data_country level'!J$186)</f>
        <v>14687.673892881985</v>
      </c>
      <c r="K9">
        <f>VLOOKUP($D9,'Data_country level'!$D$4:$AA$186,8,FALSE)</f>
        <v>1.5578423880644019</v>
      </c>
      <c r="L9">
        <f>SUMPRODUCT(('Data_country level'!$D$4:$D$186=$D9)*1,'Data_country level'!L$4:L$186,'Data_country level'!$J$4:$J$186)/$J9</f>
        <v>2.0489306940081149</v>
      </c>
      <c r="M9">
        <f>SUMPRODUCT(('Data_country level'!$D$4:$D$186=$D9)*1,'Data_country level'!M$4:M$186,'Data_country level'!$J$4:$J$186)/$J9</f>
        <v>1.9187833095795357</v>
      </c>
      <c r="N9">
        <f>SUMPRODUCT(('Data_country level'!$D$4:$D$186=$D9)*1,'Data_country level'!N$4:N$186,'Data_country level'!$J$4:$J$186)/$J9</f>
        <v>1.5661000541957077</v>
      </c>
      <c r="O9">
        <f>SUMPRODUCT(('Data_country level'!$D$4:$D$186=$D9)*1,'Data_country level'!O$4:O$186,'Data_country level'!$J$4:$J$186)/$J9</f>
        <v>1.9187253721058406</v>
      </c>
      <c r="P9" s="13">
        <f>SUMPRODUCT(('Data_country level'!$D$4:$D$186=$D9)*1,'Data_country level'!P$4:P$186,'Data_country level'!$J$4:$J$186)/$J9</f>
        <v>2.162413361753833</v>
      </c>
      <c r="Q9">
        <f>VLOOKUP($D9,'Data_country level'!$D$4:$AA$186,14,FALSE)</f>
        <v>1.1970479120810882</v>
      </c>
      <c r="R9">
        <f>SUMPRODUCT(('Data_country level'!$D$4:$D$186=$D9)*1,'Data_country level'!R$4:R$186,'Data_country level'!$H$4:$H$186)/$H9</f>
        <v>1.154133732123878</v>
      </c>
      <c r="S9">
        <f>SUMPRODUCT(('Data_country level'!$D$4:$D$186=$D9)*1,'Data_country level'!S$4:S$186,'Data_country level'!$H$4:$H$186)/$H9</f>
        <v>1.2154822023485663</v>
      </c>
      <c r="T9">
        <f>SUMPRODUCT(('Data_country level'!$D$4:$D$186=$D9)*1,'Data_country level'!T$4:T$186,'Data_country level'!$H$4:$H$186)/$H9</f>
        <v>1.2953811605285075</v>
      </c>
      <c r="U9">
        <f>SUMPRODUCT(('Data_country level'!$D$4:$D$186=$D9)*1,'Data_country level'!U$4:U$186,'Data_country level'!$H$4:$H$186)/$H9</f>
        <v>1.2357210310006459</v>
      </c>
      <c r="V9" s="13">
        <f>SUMPRODUCT(('Data_country level'!$D$4:$D$186=$D9)*1,'Data_country level'!V$4:V$186,'Data_country level'!$H$4:$H$186)/$H9</f>
        <v>1.3448954049704989</v>
      </c>
      <c r="W9">
        <f>VLOOKUP($D9,Targets!$L$2:$R$17,6,FALSE)</f>
        <v>1.1235057722432191</v>
      </c>
      <c r="X9" s="13">
        <f>VLOOKUP($D9,Targets!$L$2:$R$17,7,FALSE)</f>
        <v>1.0457572052349058</v>
      </c>
      <c r="Y9">
        <f t="shared" si="0"/>
        <v>12309.368962204981</v>
      </c>
      <c r="Z9" s="13">
        <f t="shared" si="0"/>
        <v>11457.539072913709</v>
      </c>
    </row>
    <row r="10" spans="1:27" x14ac:dyDescent="0.35">
      <c r="C10" t="s">
        <v>524</v>
      </c>
      <c r="D10" s="12" t="s">
        <v>184</v>
      </c>
      <c r="G10" s="14">
        <v>7.2649430000000001E-2</v>
      </c>
      <c r="H10">
        <f>SUMIF('Data_country level'!$D$4:$D$186,$D10,'Data_country level'!H$4:'Data_country level'!H$186)</f>
        <v>98.639847519774776</v>
      </c>
      <c r="I10">
        <f>SUMIF('Data_country level'!$D$4:$D$186,$D10,'Data_country level'!I$4:'Data_country level'!I$186)</f>
        <v>361.41640131245481</v>
      </c>
      <c r="J10" s="13">
        <f>SUMIF('Data_country level'!$D$4:$D$186,$D10,'Data_country level'!J$4:'Data_country level'!J$186)</f>
        <v>3182.7891650993224</v>
      </c>
      <c r="K10">
        <f>VLOOKUP($D10,'Data_country level'!$D$4:$AA$186,8,FALSE)</f>
        <v>1.1319269378849495</v>
      </c>
      <c r="L10">
        <f>SUMPRODUCT(('Data_country level'!$D$4:$D$186=$D10)*1,'Data_country level'!L$4:L$186,'Data_country level'!$J$4:$J$186)/$J10</f>
        <v>1.2453929597293749</v>
      </c>
      <c r="M10">
        <f>SUMPRODUCT(('Data_country level'!$D$4:$D$186=$D10)*1,'Data_country level'!M$4:M$186,'Data_country level'!$J$4:$J$186)/$J10</f>
        <v>1.2219723762769277</v>
      </c>
      <c r="N10">
        <f>SUMPRODUCT(('Data_country level'!$D$4:$D$186=$D10)*1,'Data_country level'!N$4:N$186,'Data_country level'!$J$4:$J$186)/$J10</f>
        <v>1.1590962396275728</v>
      </c>
      <c r="O10">
        <f>SUMPRODUCT(('Data_country level'!$D$4:$D$186=$D10)*1,'Data_country level'!O$4:O$186,'Data_country level'!$J$4:$J$186)/$J10</f>
        <v>1.2300474440626652</v>
      </c>
      <c r="P10" s="13">
        <f>SUMPRODUCT(('Data_country level'!$D$4:$D$186=$D10)*1,'Data_country level'!P$4:P$186,'Data_country level'!$J$4:$J$186)/$J10</f>
        <v>1.2982598673567953</v>
      </c>
      <c r="Q10">
        <f>VLOOKUP($D10,'Data_country level'!$D$4:$AA$186,14,FALSE)</f>
        <v>1.2256428748258887</v>
      </c>
      <c r="R10">
        <f>SUMPRODUCT(('Data_country level'!$D$4:$D$186=$D10)*1,'Data_country level'!R$4:R$186,'Data_country level'!$H$4:$H$186)/$H10</f>
        <v>0.90947003354549738</v>
      </c>
      <c r="S10">
        <f>SUMPRODUCT(('Data_country level'!$D$4:$D$186=$D10)*1,'Data_country level'!S$4:S$186,'Data_country level'!$H$4:$H$186)/$H10</f>
        <v>1.0160301239037073</v>
      </c>
      <c r="T10">
        <f>SUMPRODUCT(('Data_country level'!$D$4:$D$186=$D10)*1,'Data_country level'!T$4:T$186,'Data_country level'!$H$4:$H$186)/$H10</f>
        <v>1.0683930558484569</v>
      </c>
      <c r="U10">
        <f>SUMPRODUCT(('Data_country level'!$D$4:$D$186=$D10)*1,'Data_country level'!U$4:U$186,'Data_country level'!$H$4:$H$186)/$H10</f>
        <v>1.0727560349127803</v>
      </c>
      <c r="V10" s="13">
        <f>SUMPRODUCT(('Data_country level'!$D$4:$D$186=$D10)*1,'Data_country level'!V$4:V$186,'Data_country level'!$H$4:$H$186)/$H10</f>
        <v>1.2137481184144505</v>
      </c>
      <c r="W10">
        <f>VLOOKUP($D10,Targets!$L$2:$R$17,6,FALSE)</f>
        <v>0.66510577091127332</v>
      </c>
      <c r="X10" s="13">
        <f>VLOOKUP($D10,Targets!$L$2:$R$17,7,FALSE)</f>
        <v>0.66510577091127332</v>
      </c>
      <c r="Y10">
        <f t="shared" si="0"/>
        <v>240.38013421489839</v>
      </c>
      <c r="Z10" s="13">
        <f t="shared" si="0"/>
        <v>240.38013421489839</v>
      </c>
    </row>
    <row r="11" spans="1:27" x14ac:dyDescent="0.35">
      <c r="C11" t="s">
        <v>134</v>
      </c>
      <c r="D11" s="12" t="s">
        <v>133</v>
      </c>
      <c r="G11" s="14">
        <v>1.2662713963945825E-2</v>
      </c>
      <c r="H11">
        <f>SUMIF('Data_country level'!$D$4:$D$186,$D11,'Data_country level'!H$4:'Data_country level'!H$186)</f>
        <v>667.30675284223901</v>
      </c>
      <c r="I11">
        <f>SUMIF('Data_country level'!$D$4:$D$186,$D11,'Data_country level'!I$4:'Data_country level'!I$186)</f>
        <v>2445.0119424139639</v>
      </c>
      <c r="J11" s="13">
        <f>SUMIF('Data_country level'!$D$4:$D$186,$D11,'Data_country level'!J$4:'Data_country level'!J$186)</f>
        <v>2667.6879517965649</v>
      </c>
      <c r="K11">
        <f>VLOOKUP($D11,'Data_country level'!$D$4:$AA$186,8,FALSE)</f>
        <v>1.6630240731533636</v>
      </c>
      <c r="L11">
        <f>SUMPRODUCT(('Data_country level'!$D$4:$D$186=$D11)*1,'Data_country level'!L$4:L$186,'Data_country level'!$J$4:$J$186)/$J11</f>
        <v>1.9071796568781731</v>
      </c>
      <c r="M11">
        <f>SUMPRODUCT(('Data_country level'!$D$4:$D$186=$D11)*1,'Data_country level'!M$4:M$186,'Data_country level'!$J$4:$J$186)/$J11</f>
        <v>1.8280399678759807</v>
      </c>
      <c r="N11">
        <f>SUMPRODUCT(('Data_country level'!$D$4:$D$186=$D11)*1,'Data_country level'!N$4:N$186,'Data_country level'!$J$4:$J$186)/$J11</f>
        <v>1.6196120949624275</v>
      </c>
      <c r="O11">
        <f>SUMPRODUCT(('Data_country level'!$D$4:$D$186=$D11)*1,'Data_country level'!O$4:O$186,'Data_country level'!$J$4:$J$186)/$J11</f>
        <v>1.7903278371845397</v>
      </c>
      <c r="P11" s="13">
        <f>SUMPRODUCT(('Data_country level'!$D$4:$D$186=$D11)*1,'Data_country level'!P$4:P$186,'Data_country level'!$J$4:$J$186)/$J11</f>
        <v>1.9852971043624874</v>
      </c>
      <c r="Q11">
        <f>VLOOKUP($D11,'Data_country level'!$D$4:$AA$186,14,FALSE)</f>
        <v>1.5927315472174508</v>
      </c>
      <c r="R11">
        <f>SUMPRODUCT(('Data_country level'!$D$4:$D$186=$D11)*1,'Data_country level'!R$4:R$186,'Data_country level'!$H$4:$H$186)/$H11</f>
        <v>1.154133732123878</v>
      </c>
      <c r="S11">
        <f>SUMPRODUCT(('Data_country level'!$D$4:$D$186=$D11)*1,'Data_country level'!S$4:S$186,'Data_country level'!$H$4:$H$186)/$H11</f>
        <v>1.2154822023485663</v>
      </c>
      <c r="T11">
        <f>SUMPRODUCT(('Data_country level'!$D$4:$D$186=$D11)*1,'Data_country level'!T$4:T$186,'Data_country level'!$H$4:$H$186)/$H11</f>
        <v>1.2953811605285075</v>
      </c>
      <c r="U11">
        <f>SUMPRODUCT(('Data_country level'!$D$4:$D$186=$D11)*1,'Data_country level'!U$4:U$186,'Data_country level'!$H$4:$H$186)/$H11</f>
        <v>1.2357210310006459</v>
      </c>
      <c r="V11" s="13">
        <f>SUMPRODUCT(('Data_country level'!$D$4:$D$186=$D11)*1,'Data_country level'!V$4:V$186,'Data_country level'!$H$4:$H$186)/$H11</f>
        <v>1.3448954049704989</v>
      </c>
      <c r="W11">
        <f>VLOOKUP($D11,Targets!$L$2:$R$17,6,FALSE)</f>
        <v>1.8381476784731228</v>
      </c>
      <c r="X11" s="13">
        <f>VLOOKUP($D11,Targets!$L$2:$R$17,7,FALSE)</f>
        <v>1.3610571318822398</v>
      </c>
      <c r="Y11">
        <f t="shared" si="0"/>
        <v>4494.2930257872886</v>
      </c>
      <c r="Z11" s="13">
        <f t="shared" si="0"/>
        <v>3327.8009417597737</v>
      </c>
    </row>
    <row r="12" spans="1:27" x14ac:dyDescent="0.35">
      <c r="C12" t="s">
        <v>162</v>
      </c>
      <c r="D12" s="12" t="s">
        <v>161</v>
      </c>
      <c r="G12" s="14">
        <v>0.1505082450206115</v>
      </c>
      <c r="H12">
        <f>SUMIF('Data_country level'!$D$4:$D$186,$D12,'Data_country level'!H$4:'Data_country level'!H$186)</f>
        <v>120.716703817211</v>
      </c>
      <c r="I12">
        <f>SUMIF('Data_country level'!$D$4:$D$186,$D12,'Data_country level'!I$4:'Data_country level'!I$186)</f>
        <v>442.3060027862611</v>
      </c>
      <c r="J12" s="13">
        <f>SUMIF('Data_country level'!$D$4:$D$186,$D12,'Data_country level'!J$4:'Data_country level'!J$186)</f>
        <v>1448.5659367395608</v>
      </c>
      <c r="K12">
        <f>VLOOKUP($D12,'Data_country level'!$D$4:$AA$186,8,FALSE)</f>
        <v>1.1803659741701291</v>
      </c>
      <c r="L12">
        <f>SUMPRODUCT(('Data_country level'!$D$4:$D$186=$D12)*1,'Data_country level'!L$4:L$186,'Data_country level'!$J$4:$J$186)/$J12</f>
        <v>1.4251424909653108</v>
      </c>
      <c r="M12">
        <f>SUMPRODUCT(('Data_country level'!$D$4:$D$186=$D12)*1,'Data_country level'!M$4:M$186,'Data_country level'!$J$4:$J$186)/$J12</f>
        <v>1.3853642884230055</v>
      </c>
      <c r="N12">
        <f>SUMPRODUCT(('Data_country level'!$D$4:$D$186=$D12)*1,'Data_country level'!N$4:N$186,'Data_country level'!$J$4:$J$186)/$J12</f>
        <v>1.2886432636576071</v>
      </c>
      <c r="O12">
        <f>SUMPRODUCT(('Data_country level'!$D$4:$D$186=$D12)*1,'Data_country level'!O$4:O$186,'Data_country level'!$J$4:$J$186)/$J12</f>
        <v>1.3701462151588106</v>
      </c>
      <c r="P12" s="13">
        <f>SUMPRODUCT(('Data_country level'!$D$4:$D$186=$D12)*1,'Data_country level'!P$4:P$186,'Data_country level'!$J$4:$J$186)/$J12</f>
        <v>1.4678092081060481</v>
      </c>
      <c r="Q12">
        <f>VLOOKUP($D12,'Data_country level'!$D$4:$AA$186,14,FALSE)</f>
        <v>0.91680152185618657</v>
      </c>
      <c r="R12">
        <f>SUMPRODUCT(('Data_country level'!$D$4:$D$186=$D12)*1,'Data_country level'!R$4:R$186,'Data_country level'!$H$4:$H$186)/$H12</f>
        <v>1.1523297796771568</v>
      </c>
      <c r="S12">
        <f>SUMPRODUCT(('Data_country level'!$D$4:$D$186=$D12)*1,'Data_country level'!S$4:S$186,'Data_country level'!$H$4:$H$186)/$H12</f>
        <v>1.261678755528314</v>
      </c>
      <c r="T12">
        <f>SUMPRODUCT(('Data_country level'!$D$4:$D$186=$D12)*1,'Data_country level'!T$4:T$186,'Data_country level'!$H$4:$H$186)/$H12</f>
        <v>1.2456836932865165</v>
      </c>
      <c r="U12">
        <f>SUMPRODUCT(('Data_country level'!$D$4:$D$186=$D12)*1,'Data_country level'!U$4:U$186,'Data_country level'!$H$4:$H$186)/$H12</f>
        <v>1.2512749062312558</v>
      </c>
      <c r="V12" s="13">
        <f>SUMPRODUCT(('Data_country level'!$D$4:$D$186=$D12)*1,'Data_country level'!V$4:V$186,'Data_country level'!$H$4:$H$186)/$H12</f>
        <v>1.4406165004533094</v>
      </c>
      <c r="W12">
        <f>VLOOKUP($D12,Targets!$L$2:$R$17,6,FALSE)</f>
        <v>0.88378441678078301</v>
      </c>
      <c r="X12" s="13">
        <f>VLOOKUP($D12,Targets!$L$2:$R$17,7,FALSE)</f>
        <v>0.56610512105704502</v>
      </c>
      <c r="Y12">
        <f t="shared" si="0"/>
        <v>390.90315271109517</v>
      </c>
      <c r="Z12" s="13">
        <f t="shared" si="0"/>
        <v>250.39169325157403</v>
      </c>
    </row>
    <row r="13" spans="1:27" x14ac:dyDescent="0.35">
      <c r="C13" t="s">
        <v>525</v>
      </c>
      <c r="D13" s="12" t="s">
        <v>130</v>
      </c>
      <c r="G13" s="14">
        <v>1.2389401307264044E-2</v>
      </c>
      <c r="H13">
        <f>SUMIF('Data_country level'!$D$4:$D$186,$D13,'Data_country level'!H$4:'Data_country level'!H$186)</f>
        <v>718.11352411118924</v>
      </c>
      <c r="I13">
        <f>SUMIF('Data_country level'!$D$4:$D$186,$D13,'Data_country level'!I$4:'Data_country level'!I$186)</f>
        <v>2631.1679523433972</v>
      </c>
      <c r="J13" s="13">
        <f>SUMIF('Data_country level'!$D$4:$D$186,$D13,'Data_country level'!J$4:'Data_country level'!J$186)</f>
        <v>15258.169414533266</v>
      </c>
      <c r="K13">
        <f>VLOOKUP($D13,'Data_country level'!$D$4:$AA$186,8,FALSE)</f>
        <v>1.1543200760601662</v>
      </c>
      <c r="L13">
        <f>SUMPRODUCT(('Data_country level'!$D$4:$D$186=$D13)*1,'Data_country level'!L$4:L$186,'Data_country level'!$J$4:$J$186)/$J13</f>
        <v>1.2067690036967176</v>
      </c>
      <c r="M13">
        <f>SUMPRODUCT(('Data_country level'!$D$4:$D$186=$D13)*1,'Data_country level'!M$4:M$186,'Data_country level'!$J$4:$J$186)/$J13</f>
        <v>1.1866174178280724</v>
      </c>
      <c r="N13">
        <f>SUMPRODUCT(('Data_country level'!$D$4:$D$186=$D13)*1,'Data_country level'!N$4:N$186,'Data_country level'!$J$4:$J$186)/$J13</f>
        <v>1.1300269287366025</v>
      </c>
      <c r="O13">
        <f>SUMPRODUCT(('Data_country level'!$D$4:$D$186=$D13)*1,'Data_country level'!O$4:O$186,'Data_country level'!$J$4:$J$186)/$J13</f>
        <v>1.1919270064378424</v>
      </c>
      <c r="P13" s="13">
        <f>SUMPRODUCT(('Data_country level'!$D$4:$D$186=$D13)*1,'Data_country level'!P$4:P$186,'Data_country level'!$J$4:$J$186)/$J13</f>
        <v>1.2529274166703845</v>
      </c>
      <c r="Q13">
        <f>VLOOKUP($D13,'Data_country level'!$D$4:$AA$186,14,FALSE)</f>
        <v>1.2264947460114872</v>
      </c>
      <c r="R13">
        <f>SUMPRODUCT(('Data_country level'!$D$4:$D$186=$D13)*1,'Data_country level'!R$4:R$186,'Data_country level'!$H$4:$H$186)/$H13</f>
        <v>0.90947003354549738</v>
      </c>
      <c r="S13">
        <f>SUMPRODUCT(('Data_country level'!$D$4:$D$186=$D13)*1,'Data_country level'!S$4:S$186,'Data_country level'!$H$4:$H$186)/$H13</f>
        <v>1.0160301239037073</v>
      </c>
      <c r="T13">
        <f>SUMPRODUCT(('Data_country level'!$D$4:$D$186=$D13)*1,'Data_country level'!T$4:T$186,'Data_country level'!$H$4:$H$186)/$H13</f>
        <v>1.0683930558484569</v>
      </c>
      <c r="U13">
        <f>SUMPRODUCT(('Data_country level'!$D$4:$D$186=$D13)*1,'Data_country level'!U$4:U$186,'Data_country level'!$H$4:$H$186)/$H13</f>
        <v>1.0727560349127803</v>
      </c>
      <c r="V13" s="13">
        <f>SUMPRODUCT(('Data_country level'!$D$4:$D$186=$D13)*1,'Data_country level'!V$4:V$186,'Data_country level'!$H$4:$H$186)/$H13</f>
        <v>1.2137481184144505</v>
      </c>
      <c r="W13">
        <f>VLOOKUP($D13,Targets!$L$2:$R$17,6,FALSE)</f>
        <v>0.66223689747419612</v>
      </c>
      <c r="X13" s="13">
        <f>VLOOKUP($D13,Targets!$L$2:$R$17,7,FALSE)</f>
        <v>0.66223689747419612</v>
      </c>
      <c r="Y13">
        <f t="shared" si="0"/>
        <v>1742.4565014934249</v>
      </c>
      <c r="Z13" s="13">
        <f t="shared" si="0"/>
        <v>1742.4565014934249</v>
      </c>
    </row>
    <row r="14" spans="1:27" x14ac:dyDescent="0.35">
      <c r="C14" t="s">
        <v>143</v>
      </c>
      <c r="D14" s="12" t="s">
        <v>144</v>
      </c>
      <c r="G14" s="14">
        <v>4.7599926130683909E-2</v>
      </c>
      <c r="H14">
        <f>SUMIF('Data_country level'!$D$4:$D$186,$D14,'Data_country level'!H$4:'Data_country level'!H$186)</f>
        <v>706.1644285952035</v>
      </c>
      <c r="I14">
        <f>SUMIF('Data_country level'!$D$4:$D$186,$D14,'Data_country level'!I$4:'Data_country level'!I$186)</f>
        <v>2587.3864663728255</v>
      </c>
      <c r="J14" s="13">
        <f>SUMIF('Data_country level'!$D$4:$D$186,$D14,'Data_country level'!J$4:'Data_country level'!J$186)</f>
        <v>3049.4541462853813</v>
      </c>
      <c r="K14">
        <f>VLOOKUP($D14,'Data_country level'!$D$4:$AA$186,8,FALSE)</f>
        <v>1.1944928429090393</v>
      </c>
      <c r="L14">
        <f>SUMPRODUCT(('Data_country level'!$D$4:$D$186=$D14)*1,'Data_country level'!L$4:L$186,'Data_country level'!$J$4:$J$186)/$J14</f>
        <v>1.5191729833165211</v>
      </c>
      <c r="M14">
        <f>SUMPRODUCT(('Data_country level'!$D$4:$D$186=$D14)*1,'Data_country level'!M$4:M$186,'Data_country level'!$J$4:$J$186)/$J14</f>
        <v>1.5053659950823708</v>
      </c>
      <c r="N14">
        <f>SUMPRODUCT(('Data_country level'!$D$4:$D$186=$D14)*1,'Data_country level'!N$4:N$186,'Data_country level'!$J$4:$J$186)/$J14</f>
        <v>1.3904458508036863</v>
      </c>
      <c r="O14">
        <f>SUMPRODUCT(('Data_country level'!$D$4:$D$186=$D14)*1,'Data_country level'!O$4:O$186,'Data_country level'!$J$4:$J$186)/$J14</f>
        <v>1.5195104172380642</v>
      </c>
      <c r="P14" s="13">
        <f>SUMPRODUCT(('Data_country level'!$D$4:$D$186=$D14)*1,'Data_country level'!P$4:P$186,'Data_country level'!$J$4:$J$186)/$J14</f>
        <v>1.6031371129828391</v>
      </c>
      <c r="Q14">
        <f>VLOOKUP($D14,'Data_country level'!$D$4:$AA$186,14,FALSE)</f>
        <v>1.1620756490513198</v>
      </c>
      <c r="R14">
        <f>SUMPRODUCT(('Data_country level'!$D$4:$D$186=$D14)*1,'Data_country level'!R$4:R$186,'Data_country level'!$H$4:$H$186)/$H14</f>
        <v>1.1616057605319869</v>
      </c>
      <c r="S14">
        <f>SUMPRODUCT(('Data_country level'!$D$4:$D$186=$D14)*1,'Data_country level'!S$4:S$186,'Data_country level'!$H$4:$H$186)/$H14</f>
        <v>1.2522061475494199</v>
      </c>
      <c r="T14">
        <f>SUMPRODUCT(('Data_country level'!$D$4:$D$186=$D14)*1,'Data_country level'!T$4:T$186,'Data_country level'!$H$4:$H$186)/$H14</f>
        <v>1.2960748226840799</v>
      </c>
      <c r="U14">
        <f>SUMPRODUCT(('Data_country level'!$D$4:$D$186=$D14)*1,'Data_country level'!U$4:U$186,'Data_country level'!$H$4:$H$186)/$H14</f>
        <v>1.2900250367175268</v>
      </c>
      <c r="V14" s="13">
        <f>SUMPRODUCT(('Data_country level'!$D$4:$D$186=$D14)*1,'Data_country level'!V$4:V$186,'Data_country level'!$H$4:$H$186)/$H14</f>
        <v>1.3143699274053684</v>
      </c>
      <c r="W14">
        <f>VLOOKUP($D14,Targets!$L$2:$R$17,6,FALSE)</f>
        <v>1.3186843786652682</v>
      </c>
      <c r="X14" s="13">
        <f>VLOOKUP($D14,Targets!$L$2:$R$17,7,FALSE)</f>
        <v>1.1428751798067498</v>
      </c>
      <c r="Y14">
        <f t="shared" si="0"/>
        <v>3411.9461147757734</v>
      </c>
      <c r="Z14" s="13">
        <f t="shared" si="0"/>
        <v>2957.0597729853939</v>
      </c>
    </row>
    <row r="15" spans="1:27" x14ac:dyDescent="0.35">
      <c r="C15" t="s">
        <v>124</v>
      </c>
      <c r="D15" s="12" t="s">
        <v>156</v>
      </c>
      <c r="G15" s="14">
        <v>1.6714457430316274E-2</v>
      </c>
      <c r="H15">
        <f>SUMIF('Data_country level'!$D$4:$D$186,$D15,'Data_country level'!H$4:'Data_country level'!H$186)</f>
        <v>714.3862479294595</v>
      </c>
      <c r="I15">
        <f>SUMIF('Data_country level'!$D$4:$D$186,$D15,'Data_country level'!I$4:'Data_country level'!I$186)</f>
        <v>2617.5112124135394</v>
      </c>
      <c r="J15" s="13">
        <f>SUMIF('Data_country level'!$D$4:$D$186,$D15,'Data_country level'!J$4:'Data_country level'!J$186)</f>
        <v>4304.4584507178179</v>
      </c>
      <c r="K15">
        <f>VLOOKUP($D15,'Data_country level'!$D$4:$AA$186,8,FALSE)</f>
        <v>1.4311390552424275</v>
      </c>
      <c r="L15">
        <f>SUMPRODUCT(('Data_country level'!$D$4:$D$186=$D15)*1,'Data_country level'!L$4:L$186,'Data_country level'!$J$4:$J$186)/$J15</f>
        <v>1.7219001222710315</v>
      </c>
      <c r="M15">
        <f>SUMPRODUCT(('Data_country level'!$D$4:$D$186=$D15)*1,'Data_country level'!M$4:M$186,'Data_country level'!$J$4:$J$186)/$J15</f>
        <v>1.6547407054205343</v>
      </c>
      <c r="N15">
        <f>SUMPRODUCT(('Data_country level'!$D$4:$D$186=$D15)*1,'Data_country level'!N$4:N$186,'Data_country level'!$J$4:$J$186)/$J15</f>
        <v>1.5096540985146716</v>
      </c>
      <c r="O15">
        <f>SUMPRODUCT(('Data_country level'!$D$4:$D$186=$D15)*1,'Data_country level'!O$4:O$186,'Data_country level'!$J$4:$J$186)/$J15</f>
        <v>1.6191436595076441</v>
      </c>
      <c r="P15" s="13">
        <f>SUMPRODUCT(('Data_country level'!$D$4:$D$186=$D15)*1,'Data_country level'!P$4:P$186,'Data_country level'!$J$4:$J$186)/$J15</f>
        <v>1.7898750741982348</v>
      </c>
      <c r="Q15">
        <f>VLOOKUP($D15,'Data_country level'!$D$4:$AA$186,14,FALSE)</f>
        <v>1.39378218396165</v>
      </c>
      <c r="R15">
        <f>SUMPRODUCT(('Data_country level'!$D$4:$D$186=$D15)*1,'Data_country level'!R$4:R$186,'Data_country level'!$H$4:$H$186)/$H15</f>
        <v>1.1426610170715317</v>
      </c>
      <c r="S15">
        <f>SUMPRODUCT(('Data_country level'!$D$4:$D$186=$D15)*1,'Data_country level'!S$4:S$186,'Data_country level'!$H$4:$H$186)/$H15</f>
        <v>1.1876084752781089</v>
      </c>
      <c r="T15">
        <f>SUMPRODUCT(('Data_country level'!$D$4:$D$186=$D15)*1,'Data_country level'!T$4:T$186,'Data_country level'!$H$4:$H$186)/$H15</f>
        <v>1.2670376342900762</v>
      </c>
      <c r="U15">
        <f>SUMPRODUCT(('Data_country level'!$D$4:$D$186=$D15)*1,'Data_country level'!U$4:U$186,'Data_country level'!$H$4:$H$186)/$H15</f>
        <v>1.2044945649846828</v>
      </c>
      <c r="V15" s="13">
        <f>SUMPRODUCT(('Data_country level'!$D$4:$D$186=$D15)*1,'Data_country level'!V$4:V$186,'Data_country level'!$H$4:$H$186)/$H15</f>
        <v>1.3054926850896971</v>
      </c>
      <c r="W15">
        <f>VLOOKUP($D15,Targets!$L$2:$R$17,6,FALSE)</f>
        <v>1.3737751325701801</v>
      </c>
      <c r="X15" s="13">
        <f>VLOOKUP($D15,Targets!$L$2:$R$17,7,FALSE)</f>
        <v>0.981830169428626</v>
      </c>
      <c r="Y15">
        <f t="shared" si="0"/>
        <v>3595.871812837343</v>
      </c>
      <c r="Z15" s="13">
        <f t="shared" si="0"/>
        <v>2569.9514771653135</v>
      </c>
    </row>
    <row r="16" spans="1:27" x14ac:dyDescent="0.35">
      <c r="C16" t="s">
        <v>526</v>
      </c>
      <c r="D16" s="12" t="s">
        <v>174</v>
      </c>
      <c r="G16" s="14">
        <v>5.1192614855260894E-2</v>
      </c>
      <c r="H16">
        <f>SUMIF('Data_country level'!$D$4:$D$186,$D16,'Data_country level'!H$4:'Data_country level'!H$186)</f>
        <v>118.55318813181806</v>
      </c>
      <c r="I16">
        <f>SUMIF('Data_country level'!$D$4:$D$186,$D16,'Data_country level'!I$4:'Data_country level'!I$186)</f>
        <v>434.37888131498136</v>
      </c>
      <c r="J16" s="13">
        <f>SUMIF('Data_country level'!$D$4:$D$186,$D16,'Data_country level'!J$4:'Data_country level'!J$186)</f>
        <v>1539.5707033765207</v>
      </c>
      <c r="K16">
        <f>VLOOKUP($D16,'Data_country level'!$D$4:$AA$186,8,FALSE)</f>
        <v>1.3140408296254169</v>
      </c>
      <c r="L16">
        <f>SUMPRODUCT(('Data_country level'!$D$4:$D$186=$D16)*1,'Data_country level'!L$4:L$186,'Data_country level'!$J$4:$J$186)/$J16</f>
        <v>1.3543595801154618</v>
      </c>
      <c r="M16">
        <f>SUMPRODUCT(('Data_country level'!$D$4:$D$186=$D16)*1,'Data_country level'!M$4:M$186,'Data_country level'!$J$4:$J$186)/$J16</f>
        <v>1.3288572051247831</v>
      </c>
      <c r="N16">
        <f>SUMPRODUCT(('Data_country level'!$D$4:$D$186=$D16)*1,'Data_country level'!N$4:N$186,'Data_country level'!$J$4:$J$186)/$J16</f>
        <v>1.2102976121289006</v>
      </c>
      <c r="O16">
        <f>SUMPRODUCT(('Data_country level'!$D$4:$D$186=$D16)*1,'Data_country level'!O$4:O$186,'Data_country level'!$J$4:$J$186)/$J16</f>
        <v>1.3425892342080807</v>
      </c>
      <c r="P16" s="13">
        <f>SUMPRODUCT(('Data_country level'!$D$4:$D$186=$D16)*1,'Data_country level'!P$4:P$186,'Data_country level'!$J$4:$J$186)/$J16</f>
        <v>1.4318144556249657</v>
      </c>
      <c r="Q16">
        <f>VLOOKUP($D16,'Data_country level'!$D$4:$AA$186,14,FALSE)</f>
        <v>1.2691639629937483</v>
      </c>
      <c r="R16">
        <f>SUMPRODUCT(('Data_country level'!$D$4:$D$186=$D16)*1,'Data_country level'!R$4:R$186,'Data_country level'!$H$4:$H$186)/$H16</f>
        <v>0.90947003354549727</v>
      </c>
      <c r="S16">
        <f>SUMPRODUCT(('Data_country level'!$D$4:$D$186=$D16)*1,'Data_country level'!S$4:S$186,'Data_country level'!$H$4:$H$186)/$H16</f>
        <v>1.0160301239037073</v>
      </c>
      <c r="T16">
        <f>SUMPRODUCT(('Data_country level'!$D$4:$D$186=$D16)*1,'Data_country level'!T$4:T$186,'Data_country level'!$H$4:$H$186)/$H16</f>
        <v>1.0683930558484569</v>
      </c>
      <c r="U16">
        <f>SUMPRODUCT(('Data_country level'!$D$4:$D$186=$D16)*1,'Data_country level'!U$4:U$186,'Data_country level'!$H$4:$H$186)/$H16</f>
        <v>1.07275603491278</v>
      </c>
      <c r="V16" s="13">
        <f>SUMPRODUCT(('Data_country level'!$D$4:$D$186=$D16)*1,'Data_country level'!V$4:V$186,'Data_country level'!$H$4:$H$186)/$H16</f>
        <v>1.2137481184144505</v>
      </c>
      <c r="W16">
        <f>VLOOKUP($D16,Targets!$L$2:$R$17,6,FALSE)</f>
        <v>0.64758563624271648</v>
      </c>
      <c r="X16" s="13">
        <f>VLOOKUP($D16,Targets!$L$2:$R$17,7,FALSE)</f>
        <v>0.64758563624271648</v>
      </c>
      <c r="Y16">
        <f t="shared" si="0"/>
        <v>281.29752422676165</v>
      </c>
      <c r="Z16" s="13">
        <f t="shared" si="0"/>
        <v>281.29752422676165</v>
      </c>
    </row>
    <row r="17" spans="3:26" x14ac:dyDescent="0.35">
      <c r="C17" t="s">
        <v>527</v>
      </c>
      <c r="D17" s="12" t="s">
        <v>178</v>
      </c>
      <c r="G17" s="14">
        <v>3.7655849233238656E-2</v>
      </c>
      <c r="H17">
        <f>SUMIF('Data_country level'!$D$4:$D$186,$D17,'Data_country level'!H$4:'Data_country level'!H$186)</f>
        <v>288.58240798802058</v>
      </c>
      <c r="I17">
        <f>SUMIF('Data_country level'!$D$4:$D$186,$D17,'Data_country level'!I$4:'Data_country level'!I$186)</f>
        <v>1057.3659428681076</v>
      </c>
      <c r="J17" s="13">
        <f>SUMIF('Data_country level'!$D$4:$D$186,$D17,'Data_country level'!J$4:'Data_country level'!J$186)</f>
        <v>3294.3799066912093</v>
      </c>
      <c r="K17">
        <f>VLOOKUP($D17,'Data_country level'!$D$4:$AA$186,8,FALSE)</f>
        <v>1.2214137182566644</v>
      </c>
      <c r="L17">
        <f>SUMPRODUCT(('Data_country level'!$D$4:$D$186=$D17)*1,'Data_country level'!L$4:L$186,'Data_country level'!$J$4:$J$186)/$J17</f>
        <v>1.4558173080365133</v>
      </c>
      <c r="M17">
        <f>SUMPRODUCT(('Data_country level'!$D$4:$D$186=$D17)*1,'Data_country level'!M$4:M$186,'Data_country level'!$J$4:$J$186)/$J17</f>
        <v>1.4332172219355646</v>
      </c>
      <c r="N17">
        <f>SUMPRODUCT(('Data_country level'!$D$4:$D$186=$D17)*1,'Data_country level'!N$4:N$186,'Data_country level'!$J$4:$J$186)/$J17</f>
        <v>1.3573636869301091</v>
      </c>
      <c r="O17">
        <f>SUMPRODUCT(('Data_country level'!$D$4:$D$186=$D17)*1,'Data_country level'!O$4:O$186,'Data_country level'!$J$4:$J$186)/$J17</f>
        <v>1.4122767459727905</v>
      </c>
      <c r="P17" s="13">
        <f>SUMPRODUCT(('Data_country level'!$D$4:$D$186=$D17)*1,'Data_country level'!P$4:P$186,'Data_country level'!$J$4:$J$186)/$J17</f>
        <v>1.4914976017743731</v>
      </c>
      <c r="Q17">
        <f>VLOOKUP($D17,'Data_country level'!$D$4:$AA$186,14,FALSE)</f>
        <v>1.1137228775074144</v>
      </c>
      <c r="R17">
        <f>SUMPRODUCT(('Data_country level'!$D$4:$D$186=$D17)*1,'Data_country level'!R$4:R$186,'Data_country level'!$H$4:$H$186)/$H17</f>
        <v>1.1523297796771566</v>
      </c>
      <c r="S17">
        <f>SUMPRODUCT(('Data_country level'!$D$4:$D$186=$D17)*1,'Data_country level'!S$4:S$186,'Data_country level'!$H$4:$H$186)/$H17</f>
        <v>1.2616787555283142</v>
      </c>
      <c r="T17">
        <f>SUMPRODUCT(('Data_country level'!$D$4:$D$186=$D17)*1,'Data_country level'!T$4:T$186,'Data_country level'!$H$4:$H$186)/$H17</f>
        <v>1.2456836932865163</v>
      </c>
      <c r="U17">
        <f>SUMPRODUCT(('Data_country level'!$D$4:$D$186=$D17)*1,'Data_country level'!U$4:U$186,'Data_country level'!$H$4:$H$186)/$H17</f>
        <v>1.2512749062312563</v>
      </c>
      <c r="V17" s="13">
        <f>SUMPRODUCT(('Data_country level'!$D$4:$D$186=$D17)*1,'Data_country level'!V$4:V$186,'Data_country level'!$H$4:$H$186)/$H17</f>
        <v>1.4406165004533094</v>
      </c>
      <c r="W17">
        <f>VLOOKUP($D17,Targets!$L$2:$R$17,6,FALSE)</f>
        <v>1.279850123562374</v>
      </c>
      <c r="X17" s="13">
        <f>VLOOKUP($D17,Targets!$L$2:$R$17,7,FALSE)</f>
        <v>1.1187398671588795</v>
      </c>
      <c r="Y17">
        <f t="shared" si="0"/>
        <v>1353.2699326303937</v>
      </c>
      <c r="Z17" s="13">
        <f t="shared" si="0"/>
        <v>1182.9174344625901</v>
      </c>
    </row>
    <row r="18" spans="3:26" x14ac:dyDescent="0.35">
      <c r="C18" t="s">
        <v>167</v>
      </c>
      <c r="D18" s="12" t="s">
        <v>168</v>
      </c>
      <c r="G18" s="14">
        <v>3.3717403533832312E-2</v>
      </c>
      <c r="H18">
        <f>SUMIF('Data_country level'!$D$4:$D$186,$D18,'Data_country level'!H$4:'Data_country level'!H$186)</f>
        <v>369.52382776757668</v>
      </c>
      <c r="I18">
        <f>SUMIF('Data_country level'!$D$4:$D$186,$D18,'Data_country level'!I$4:'Data_country level'!I$186)</f>
        <v>1353.9353049404019</v>
      </c>
      <c r="J18" s="13">
        <f>SUMIF('Data_country level'!$D$4:$D$186,$D18,'Data_country level'!J$4:'Data_country level'!J$186)</f>
        <v>2411.8423218423864</v>
      </c>
      <c r="K18">
        <f>VLOOKUP($D18,'Data_country level'!$D$4:$AA$186,8,FALSE)</f>
        <v>1.3263572562220902</v>
      </c>
      <c r="L18">
        <f>SUMPRODUCT(('Data_country level'!$D$4:$D$186=$D18)*1,'Data_country level'!L$4:L$186,'Data_country level'!$J$4:$J$186)/$J18</f>
        <v>1.7666823095078694</v>
      </c>
      <c r="M18">
        <f>SUMPRODUCT(('Data_country level'!$D$4:$D$186=$D18)*1,'Data_country level'!M$4:M$186,'Data_country level'!$J$4:$J$186)/$J18</f>
        <v>1.6994169047912171</v>
      </c>
      <c r="N18">
        <f>SUMPRODUCT(('Data_country level'!$D$4:$D$186=$D18)*1,'Data_country level'!N$4:N$186,'Data_country level'!$J$4:$J$186)/$J18</f>
        <v>1.5805832526128178</v>
      </c>
      <c r="O18">
        <f>SUMPRODUCT(('Data_country level'!$D$4:$D$186=$D18)*1,'Data_country level'!O$4:O$186,'Data_country level'!$J$4:$J$186)/$J18</f>
        <v>1.6446826058458313</v>
      </c>
      <c r="P18" s="13">
        <f>SUMPRODUCT(('Data_country level'!$D$4:$D$186=$D18)*1,'Data_country level'!P$4:P$186,'Data_country level'!$J$4:$J$186)/$J18</f>
        <v>1.8339270661341445</v>
      </c>
      <c r="Q18">
        <f>VLOOKUP($D18,'Data_country level'!$D$4:$AA$186,14,FALSE)</f>
        <v>1.3070253557120981</v>
      </c>
      <c r="R18">
        <f>SUMPRODUCT(('Data_country level'!$D$4:$D$186=$D18)*1,'Data_country level'!R$4:R$186,'Data_country level'!$H$4:$H$186)/$H18</f>
        <v>1.2084588740143432</v>
      </c>
      <c r="S18">
        <f>SUMPRODUCT(('Data_country level'!$D$4:$D$186=$D18)*1,'Data_country level'!S$4:S$186,'Data_country level'!$H$4:$H$186)/$H18</f>
        <v>1.2955776667494447</v>
      </c>
      <c r="T18">
        <f>SUMPRODUCT(('Data_country level'!$D$4:$D$186=$D18)*1,'Data_country level'!T$4:T$186,'Data_country level'!$H$4:$H$186)/$H18</f>
        <v>1.3384436079984463</v>
      </c>
      <c r="U18">
        <f>SUMPRODUCT(('Data_country level'!$D$4:$D$186=$D18)*1,'Data_country level'!U$4:U$186,'Data_country level'!$H$4:$H$186)/$H18</f>
        <v>1.3294974920764482</v>
      </c>
      <c r="V18" s="13">
        <f>SUMPRODUCT(('Data_country level'!$D$4:$D$186=$D18)*1,'Data_country level'!V$4:V$186,'Data_country level'!$H$4:$H$186)/$H18</f>
        <v>1.3338270838610413</v>
      </c>
      <c r="W18">
        <f>VLOOKUP($D18,Targets!$L$2:$R$17,6,FALSE)</f>
        <v>1.4757193281194212</v>
      </c>
      <c r="X18" s="13">
        <f>VLOOKUP($D18,Targets!$L$2:$R$17,7,FALSE)</f>
        <v>1.0899245214980713</v>
      </c>
      <c r="Y18">
        <f t="shared" si="0"/>
        <v>1998.0284985238136</v>
      </c>
      <c r="Z18" s="13">
        <f t="shared" si="0"/>
        <v>1475.6872893765128</v>
      </c>
    </row>
    <row r="19" spans="3:26" s="16" customFormat="1" x14ac:dyDescent="0.35">
      <c r="C19" s="16" t="s">
        <v>528</v>
      </c>
      <c r="D19" s="17" t="s">
        <v>199</v>
      </c>
      <c r="F19" s="18"/>
      <c r="G19" s="19">
        <v>0.23309856322810685</v>
      </c>
      <c r="H19" s="16">
        <f>SUMIF('Data_country level'!$D$4:$D$186,$D19,'Data_country level'!H$4:'Data_country level'!H$186)</f>
        <v>95.861342948326367</v>
      </c>
      <c r="I19" s="16">
        <f>SUMIF('Data_country level'!$D$4:$D$186,$D19,'Data_country level'!I$4:'Data_country level'!I$186)</f>
        <v>351.23596056266786</v>
      </c>
      <c r="J19" s="18">
        <f>SUMIF('Data_country level'!$D$4:$D$186,$D19,'Data_country level'!J$4:'Data_country level'!J$186)</f>
        <v>341.41864866316308</v>
      </c>
      <c r="K19" s="16">
        <f>VLOOKUP($D19,'Data_country level'!$D$4:$AA$186,8,FALSE)</f>
        <v>1.1764228653088502</v>
      </c>
      <c r="L19" s="16">
        <f>SUMPRODUCT(('Data_country level'!$D$4:$D$186=$D19)*1,'Data_country level'!L$4:L$186,'Data_country level'!$J$4:$J$186)/$J19</f>
        <v>1.3891991750881394</v>
      </c>
      <c r="M19" s="16">
        <f>SUMPRODUCT(('Data_country level'!$D$4:$D$186=$D19)*1,'Data_country level'!M$4:M$186,'Data_country level'!$J$4:$J$186)/$J19</f>
        <v>1.3375567692711523</v>
      </c>
      <c r="N19" s="16">
        <f>SUMPRODUCT(('Data_country level'!$D$4:$D$186=$D19)*1,'Data_country level'!N$4:N$186,'Data_country level'!$J$4:$J$186)/$J19</f>
        <v>1.2398470082518664</v>
      </c>
      <c r="O19" s="16">
        <f>SUMPRODUCT(('Data_country level'!$D$4:$D$186=$D19)*1,'Data_country level'!O$4:O$186,'Data_country level'!$J$4:$J$186)/$J19</f>
        <v>1.3330343608818602</v>
      </c>
      <c r="P19" s="18">
        <f>SUMPRODUCT(('Data_country level'!$D$4:$D$186=$D19)*1,'Data_country level'!P$4:P$186,'Data_country level'!$J$4:$J$186)/$J19</f>
        <v>1.4503110773426875</v>
      </c>
      <c r="Q19" s="16">
        <f>VLOOKUP($D19,'Data_country level'!$D$4:$AA$186,14,FALSE)</f>
        <v>1.234033450224737</v>
      </c>
      <c r="R19" s="16">
        <f>SUMPRODUCT(('Data_country level'!$D$4:$D$186=$D19)*1,'Data_country level'!R$4:R$186,'Data_country level'!$H$4:$H$186)/$H19</f>
        <v>1.0487494457892137</v>
      </c>
      <c r="S19" s="16">
        <f>SUMPRODUCT(('Data_country level'!$D$4:$D$186=$D19)*1,'Data_country level'!S$4:S$186,'Data_country level'!$H$4:$H$186)/$H19</f>
        <v>1.0499151233681128</v>
      </c>
      <c r="T19" s="16">
        <f>SUMPRODUCT(('Data_country level'!$D$4:$D$186=$D19)*1,'Data_country level'!T$4:T$186,'Data_country level'!$H$4:$H$186)/$H19</f>
        <v>1.1214862577215474</v>
      </c>
      <c r="U19" s="16">
        <f>SUMPRODUCT(('Data_country level'!$D$4:$D$186=$D19)*1,'Data_country level'!U$4:U$186,'Data_country level'!$H$4:$H$186)/$H19</f>
        <v>1.064091792011747</v>
      </c>
      <c r="V19" s="18">
        <f>SUMPRODUCT(('Data_country level'!$D$4:$D$186=$D19)*1,'Data_country level'!V$4:V$186,'Data_country level'!$H$4:$H$186)/$H19</f>
        <v>1.1453891102500837</v>
      </c>
      <c r="W19" s="16">
        <f>VLOOKUP($D19,Targets!$L$2:$R$17,6,FALSE)</f>
        <v>0.97047669209528398</v>
      </c>
      <c r="X19" s="18">
        <f>VLOOKUP($D19,Targets!$L$2:$R$17,7,FALSE)</f>
        <v>0.94336249666276284</v>
      </c>
      <c r="Y19" s="16">
        <f t="shared" si="0"/>
        <v>340.86631315176754</v>
      </c>
      <c r="Z19" s="18">
        <f t="shared" si="0"/>
        <v>331.34283267414207</v>
      </c>
    </row>
  </sheetData>
  <sheetProtection algorithmName="SHA-512" hashValue="agcLcC7CdCNoxmQkrEgGss7eDnzRWK41+HsdanqEGXrulgcXONtnmnhUKET93Lfd0aThdbsjAdzo13SgHfdTSw==" saltValue="76L9MQdGDdu07mC+yYPfYg==" spinCount="100000" sheet="1" objects="1" scenarios="1"/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DF3A0-5E2D-4787-AEE2-7BD1F9E2AC3D}">
  <dimension ref="A1:EG55"/>
  <sheetViews>
    <sheetView zoomScaleNormal="100" workbookViewId="0">
      <pane xSplit="1" topLeftCell="B1" activePane="topRight" state="frozen"/>
      <selection activeCell="C4" sqref="C4"/>
      <selection pane="topRight" activeCell="X7" sqref="X7"/>
    </sheetView>
  </sheetViews>
  <sheetFormatPr baseColWidth="10" defaultColWidth="11.453125" defaultRowHeight="14.5" x14ac:dyDescent="0.35"/>
  <cols>
    <col min="1" max="1" width="19.453125" style="30" bestFit="1" customWidth="1"/>
    <col min="2" max="2" width="10.81640625" style="30"/>
    <col min="3" max="4" width="10.81640625" style="30" hidden="1" customWidth="1"/>
    <col min="5" max="5" width="10.81640625" style="31"/>
    <col min="6" max="7" width="10.81640625" style="30"/>
    <col min="8" max="8" width="10.81640625" style="31"/>
    <col min="9" max="14" width="10.81640625" style="30"/>
    <col min="15" max="20" width="10.81640625" style="31"/>
    <col min="21" max="22" width="10.81640625" style="30"/>
    <col min="23" max="24" width="10.81640625" style="31"/>
    <col min="26" max="27" width="10.81640625" style="27"/>
    <col min="28" max="28" width="10.81640625" style="32"/>
    <col min="29" max="29" width="10.81640625" style="33" customWidth="1"/>
    <col min="30" max="31" width="10.81640625" style="32" customWidth="1"/>
    <col min="32" max="33" width="10.81640625" style="33" customWidth="1"/>
    <col min="34" max="34" width="10.81640625" style="27" customWidth="1"/>
    <col min="35" max="35" width="10.81640625" style="32" customWidth="1"/>
    <col min="36" max="36" width="10.81640625" style="33" customWidth="1"/>
    <col min="37" max="37" width="12.81640625" style="32" bestFit="1" customWidth="1"/>
    <col min="38" max="38" width="13.1796875" style="33" bestFit="1" customWidth="1"/>
    <col min="39" max="39" width="11.81640625" style="32" bestFit="1" customWidth="1"/>
    <col min="40" max="40" width="11.81640625" style="33" bestFit="1" customWidth="1"/>
    <col min="41" max="42" width="16.453125" style="33" hidden="1" customWidth="1"/>
    <col min="43" max="43" width="19.1796875" style="33" hidden="1" customWidth="1"/>
    <col min="44" max="44" width="16.81640625" style="33" hidden="1" customWidth="1"/>
    <col min="45" max="46" width="11.81640625" style="33" customWidth="1"/>
    <col min="48" max="62" width="10.81640625" style="35"/>
    <col min="63" max="64" width="11.81640625" style="33" customWidth="1"/>
    <col min="66" max="80" width="10.81640625" style="41"/>
    <col min="81" max="82" width="11.81640625" style="33" customWidth="1"/>
    <col min="84" max="98" width="10.81640625" style="43"/>
    <col min="99" max="100" width="11.81640625" style="33" customWidth="1"/>
    <col min="102" max="116" width="10.81640625" style="45"/>
    <col min="117" max="118" width="11.81640625" style="33" customWidth="1"/>
    <col min="120" max="134" width="10.81640625" style="47"/>
    <col min="135" max="136" width="11.81640625" style="33" customWidth="1"/>
  </cols>
  <sheetData>
    <row r="1" spans="1:137" x14ac:dyDescent="0.35">
      <c r="A1" s="20" t="s">
        <v>98</v>
      </c>
      <c r="B1" s="20" t="s">
        <v>99</v>
      </c>
      <c r="C1" s="20" t="s">
        <v>100</v>
      </c>
      <c r="D1" s="20" t="s">
        <v>101</v>
      </c>
      <c r="E1" s="21" t="s">
        <v>102</v>
      </c>
      <c r="F1" s="20" t="s">
        <v>103</v>
      </c>
      <c r="G1" s="20" t="s">
        <v>104</v>
      </c>
      <c r="H1" s="21" t="s">
        <v>105</v>
      </c>
      <c r="I1" s="20" t="s">
        <v>106</v>
      </c>
      <c r="J1" s="20"/>
      <c r="K1" s="20"/>
      <c r="L1" s="20"/>
      <c r="M1" s="20"/>
      <c r="N1" s="20"/>
      <c r="O1" s="21" t="s">
        <v>107</v>
      </c>
      <c r="P1" s="21"/>
      <c r="Q1" s="21"/>
      <c r="R1" s="21"/>
      <c r="S1" s="21"/>
      <c r="T1" s="21"/>
      <c r="U1" s="20" t="s">
        <v>108</v>
      </c>
      <c r="V1" s="20"/>
      <c r="W1" s="21" t="s">
        <v>529</v>
      </c>
      <c r="X1" s="21"/>
      <c r="Y1" s="2"/>
      <c r="Z1" s="22" t="s">
        <v>111</v>
      </c>
      <c r="AA1" s="22"/>
      <c r="AB1" s="22">
        <f>1-AB2/AA2</f>
        <v>0.14502130573547189</v>
      </c>
      <c r="AC1" s="22">
        <f>1-AC2/AA2</f>
        <v>0.21557541127110846</v>
      </c>
      <c r="AD1" s="23" t="s">
        <v>530</v>
      </c>
      <c r="AE1" s="22"/>
      <c r="AF1" s="22"/>
      <c r="AG1" s="22"/>
      <c r="AH1" s="24" t="s">
        <v>531</v>
      </c>
      <c r="AI1" s="25">
        <f>(SUM(AI7:AI22)/SUM(AH7:AH22))^2</f>
        <v>6.4443152159570403</v>
      </c>
      <c r="AJ1" s="26">
        <f>(SUM(AJ7:AJ22)/SUM(AH7:AH22))^2</f>
        <v>14.240052803569906</v>
      </c>
      <c r="AK1" s="22"/>
      <c r="AL1" s="27"/>
      <c r="AM1" s="27">
        <f>SUM(AM7:AM22)</f>
        <v>1.8758328224066645E-12</v>
      </c>
      <c r="AN1" s="27">
        <f>SUM(AN7:AN22)</f>
        <v>2.8990143619012088E-12</v>
      </c>
      <c r="AO1" s="27"/>
      <c r="AP1" s="27"/>
      <c r="AQ1" s="27"/>
      <c r="AR1" s="27"/>
      <c r="AS1" s="27"/>
      <c r="AT1" s="27"/>
      <c r="AU1" s="2"/>
      <c r="AV1" s="34" t="s">
        <v>112</v>
      </c>
      <c r="AW1" s="34"/>
      <c r="AX1" s="34"/>
      <c r="AY1" s="34"/>
      <c r="AZ1" s="34"/>
      <c r="BA1" s="34"/>
      <c r="BB1" s="34"/>
      <c r="BC1" s="34"/>
      <c r="BD1" s="34"/>
      <c r="BE1" s="34">
        <f>(SUM(BE7:BE22)/SUM(BD7:BD22))^2</f>
        <v>1.0100970939045897</v>
      </c>
      <c r="BF1" s="34">
        <f>(SUM(BF7:BF22)/SUM(BD7:BD22))^2</f>
        <v>3.8497922275256173</v>
      </c>
      <c r="BG1" s="34"/>
      <c r="BH1" s="34"/>
      <c r="BI1" s="35">
        <f>SUM(BI7:BI22)</f>
        <v>6.8212102632969618E-13</v>
      </c>
      <c r="BJ1" s="35">
        <f>SUM(BJ7:BJ22)</f>
        <v>1.0800249583553523E-12</v>
      </c>
      <c r="BK1" s="27"/>
      <c r="BL1" s="27"/>
      <c r="BM1" s="2"/>
      <c r="BN1" s="40" t="s">
        <v>113</v>
      </c>
      <c r="BO1" s="40"/>
      <c r="BP1" s="40"/>
      <c r="BQ1" s="40"/>
      <c r="BR1" s="40"/>
      <c r="BS1" s="40"/>
      <c r="BT1" s="40"/>
      <c r="BU1" s="40"/>
      <c r="BV1" s="40"/>
      <c r="BW1" s="40">
        <f>(SUM(BW7:BW22)/SUM($BV7:$BV22))^2</f>
        <v>3.1596843707375823</v>
      </c>
      <c r="BX1" s="40">
        <f>(SUM(BX7:BX22)/SUM($BV7:$BV22))^2</f>
        <v>8.7610455563317231</v>
      </c>
      <c r="BY1" s="40"/>
      <c r="BZ1" s="40"/>
      <c r="CA1" s="41">
        <f>SUM(CA7:CA22)</f>
        <v>1.3642420526593924E-12</v>
      </c>
      <c r="CB1" s="41">
        <f>SUM(CB7:CB22)</f>
        <v>1.1937117960769683E-12</v>
      </c>
      <c r="CC1" s="27"/>
      <c r="CD1" s="27"/>
      <c r="CE1" s="2"/>
      <c r="CF1" s="42" t="s">
        <v>114</v>
      </c>
      <c r="CG1" s="42"/>
      <c r="CH1" s="42"/>
      <c r="CI1" s="42"/>
      <c r="CJ1" s="42"/>
      <c r="CK1" s="42"/>
      <c r="CL1" s="42"/>
      <c r="CM1" s="42"/>
      <c r="CN1" s="42"/>
      <c r="CO1" s="42">
        <f>(SUM(CO7:CO22)/SUM(CN7:CN22))^2</f>
        <v>4.9833795059987587</v>
      </c>
      <c r="CP1" s="42">
        <f>(SUM(CP7:CP22)/SUM(CN7:CN22))^2</f>
        <v>11.802184491069212</v>
      </c>
      <c r="CQ1" s="42"/>
      <c r="CR1" s="42"/>
      <c r="CS1" s="43">
        <f>SUM(CS7:CS22)</f>
        <v>-4.5474735088646412E-13</v>
      </c>
      <c r="CT1" s="43">
        <f>SUM(CT7:CT22)</f>
        <v>-1.4210854715202004E-12</v>
      </c>
      <c r="CU1" s="27"/>
      <c r="CV1" s="27"/>
      <c r="CW1" s="2"/>
      <c r="CX1" s="44" t="s">
        <v>115</v>
      </c>
      <c r="CY1" s="44"/>
      <c r="CZ1" s="44"/>
      <c r="DA1" s="44"/>
      <c r="DB1" s="44"/>
      <c r="DC1" s="44"/>
      <c r="DD1" s="44"/>
      <c r="DE1" s="44"/>
      <c r="DF1" s="44"/>
      <c r="DG1" s="44">
        <f>(SUM(DG7:DG22)/SUM(DF7:DF22))^2</f>
        <v>4.4687786387482262</v>
      </c>
      <c r="DH1" s="44">
        <f>(SUM(DH7:DH22)/SUM(DF7:DF22))^2</f>
        <v>11.220925860379944</v>
      </c>
      <c r="DI1" s="44"/>
      <c r="DJ1" s="44"/>
      <c r="DK1" s="45">
        <f>SUM(DK7:DK22)</f>
        <v>7.9580786405131221E-13</v>
      </c>
      <c r="DL1" s="45">
        <f>SUM(DL7:DL22)</f>
        <v>-1.4779288903810084E-12</v>
      </c>
      <c r="DM1" s="27"/>
      <c r="DN1" s="27"/>
      <c r="DO1" s="2"/>
      <c r="DP1" s="46" t="s">
        <v>116</v>
      </c>
      <c r="DQ1" s="46"/>
      <c r="DR1" s="46"/>
      <c r="DS1" s="46"/>
      <c r="DT1" s="46"/>
      <c r="DU1" s="46"/>
      <c r="DV1" s="46"/>
      <c r="DW1" s="46"/>
      <c r="DX1" s="46"/>
      <c r="DY1" s="46">
        <f>(SUM(DY7:DY22)/SUM(DX7:DX22))^2</f>
        <v>11.531508954311038</v>
      </c>
      <c r="DZ1" s="46">
        <f>(SUM(DZ7:DZ22)/SUM(DX7:DX22))^2</f>
        <v>22.534827464239818</v>
      </c>
      <c r="EA1" s="46"/>
      <c r="EB1" s="46"/>
      <c r="EC1" s="47">
        <f>SUM(EC7:EC158)</f>
        <v>3.0127011996228248E-12</v>
      </c>
      <c r="ED1" s="47">
        <f>SUM(ED7:ED158)</f>
        <v>2.1032064978498966E-12</v>
      </c>
      <c r="EE1" s="27"/>
      <c r="EF1" s="27"/>
      <c r="EG1" s="2"/>
    </row>
    <row r="2" spans="1:137" ht="15" thickBot="1" x14ac:dyDescent="0.4">
      <c r="A2" s="20"/>
      <c r="B2" s="20"/>
      <c r="C2" s="20"/>
      <c r="D2" s="20"/>
      <c r="E2" s="21"/>
      <c r="F2" s="20">
        <f>SUM(F7:F22)</f>
        <v>9211.9443391790064</v>
      </c>
      <c r="G2" s="20">
        <f>SUM(G7:G22)</f>
        <v>33752.564058751879</v>
      </c>
      <c r="H2" s="21"/>
      <c r="I2" s="20"/>
      <c r="J2" s="20"/>
      <c r="K2" s="20"/>
      <c r="L2" s="20"/>
      <c r="M2" s="20"/>
      <c r="N2" s="20"/>
      <c r="O2" s="21"/>
      <c r="P2" s="21"/>
      <c r="Q2" s="21"/>
      <c r="R2" s="21"/>
      <c r="S2" s="21"/>
      <c r="T2" s="21"/>
      <c r="U2" s="20"/>
      <c r="V2" s="20"/>
      <c r="W2" s="21">
        <f>SUM(W7:W22)</f>
        <v>37668.361569557543</v>
      </c>
      <c r="X2" s="21">
        <f>SUM(X7:X22)</f>
        <v>33143.552596877635</v>
      </c>
      <c r="Y2" s="2"/>
      <c r="Z2" s="22"/>
      <c r="AA2" s="22">
        <f>SUM(AA7:AA22)</f>
        <v>42241.221657529408</v>
      </c>
      <c r="AB2" s="22">
        <f>SUM(AB7:AB22)</f>
        <v>36115.344536892997</v>
      </c>
      <c r="AC2" s="22">
        <f>SUM(AC7:AC22)</f>
        <v>33135.052926113451</v>
      </c>
      <c r="AD2" s="28" t="s">
        <v>532</v>
      </c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"/>
      <c r="AV2" s="34"/>
      <c r="AW2" s="34">
        <f>SUM(AW7:AW22)</f>
        <v>36349.865946779413</v>
      </c>
      <c r="AX2" s="34">
        <f>SUM(AX7:AX22)</f>
        <v>34448.352615531745</v>
      </c>
      <c r="AY2" s="34">
        <f>SUM(AY7:AY22)</f>
        <v>32637.622413303543</v>
      </c>
      <c r="AZ2" s="34"/>
      <c r="BA2" s="34"/>
      <c r="BB2" s="34"/>
      <c r="BC2" s="34"/>
      <c r="BD2" s="34"/>
      <c r="BE2" s="34"/>
      <c r="BF2" s="34"/>
      <c r="BG2" s="34"/>
      <c r="BH2" s="34"/>
      <c r="BI2" s="34"/>
      <c r="BJ2" s="34"/>
      <c r="BK2" s="22"/>
      <c r="BL2" s="22"/>
      <c r="BM2" s="2"/>
      <c r="BN2" s="40"/>
      <c r="BO2" s="40">
        <f>SUM(BO7:BO22)</f>
        <v>38856.882979835187</v>
      </c>
      <c r="BP2" s="40">
        <f t="shared" ref="BP2:BQ2" si="0">SUM(BP7:BP22)</f>
        <v>35194.752553420534</v>
      </c>
      <c r="BQ2" s="40">
        <f t="shared" si="0"/>
        <v>32758.847794019202</v>
      </c>
      <c r="BR2" s="40"/>
      <c r="BS2" s="40"/>
      <c r="BT2" s="40"/>
      <c r="BU2" s="40"/>
      <c r="BV2" s="40"/>
      <c r="BW2" s="40"/>
      <c r="BX2" s="40"/>
      <c r="BY2" s="40"/>
      <c r="BZ2" s="40"/>
      <c r="CA2" s="40"/>
      <c r="CB2" s="40"/>
      <c r="CC2" s="22"/>
      <c r="CD2" s="22"/>
      <c r="CE2" s="2"/>
      <c r="CF2" s="42"/>
      <c r="CG2" s="42">
        <f>SUM(CG7:CG22)</f>
        <v>40973.992371888089</v>
      </c>
      <c r="CH2" s="42">
        <f t="shared" ref="CH2:CI2" si="1">SUM(CH7:CH22)</f>
        <v>35781.415829804973</v>
      </c>
      <c r="CI2" s="42">
        <f t="shared" si="1"/>
        <v>32982.974062588124</v>
      </c>
      <c r="CJ2" s="42"/>
      <c r="CK2" s="42"/>
      <c r="CL2" s="42"/>
      <c r="CM2" s="42"/>
      <c r="CN2" s="42"/>
      <c r="CO2" s="42"/>
      <c r="CP2" s="42"/>
      <c r="CQ2" s="42"/>
      <c r="CR2" s="42"/>
      <c r="CS2" s="42"/>
      <c r="CT2" s="42"/>
      <c r="CU2" s="22"/>
      <c r="CV2" s="22"/>
      <c r="CW2" s="2"/>
      <c r="CX2" s="44"/>
      <c r="CY2" s="44">
        <f>SUM(CY7:CY22)</f>
        <v>39893.217471163065</v>
      </c>
      <c r="CZ2" s="44">
        <f t="shared" ref="CZ2:DA2" si="2">SUM(CZ7:CZ22)</f>
        <v>35423.705871867904</v>
      </c>
      <c r="DA2" s="44">
        <f t="shared" si="2"/>
        <v>32810.824928192786</v>
      </c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22"/>
      <c r="DN2" s="22"/>
      <c r="DO2" s="2"/>
      <c r="DP2" s="46"/>
      <c r="DQ2" s="46">
        <f>SUM(DQ7:DQ22)</f>
        <v>43559.914208682167</v>
      </c>
      <c r="DR2" s="46">
        <f t="shared" ref="DR2:DS2" si="3">SUM(DR7:DR22)</f>
        <v>36080.347726531247</v>
      </c>
      <c r="DS2" s="46">
        <f t="shared" si="3"/>
        <v>33104.036981568395</v>
      </c>
      <c r="DT2" s="46"/>
      <c r="DU2" s="46"/>
      <c r="DV2" s="46"/>
      <c r="DW2" s="46"/>
      <c r="DX2" s="46"/>
      <c r="DY2" s="46"/>
      <c r="DZ2" s="46"/>
      <c r="EA2" s="46"/>
      <c r="EB2" s="46"/>
      <c r="EC2" s="46"/>
      <c r="ED2" s="46"/>
      <c r="EE2" s="22"/>
      <c r="EF2" s="22"/>
      <c r="EG2" s="2"/>
    </row>
    <row r="3" spans="1:137" x14ac:dyDescent="0.35">
      <c r="A3" s="20"/>
      <c r="B3" s="20"/>
      <c r="C3" s="20"/>
      <c r="D3" s="20"/>
      <c r="E3" s="21">
        <v>6</v>
      </c>
      <c r="F3" s="20">
        <v>7</v>
      </c>
      <c r="G3" s="20">
        <v>8</v>
      </c>
      <c r="H3" s="21">
        <v>9</v>
      </c>
      <c r="I3" s="20">
        <v>10</v>
      </c>
      <c r="J3" s="20">
        <v>11</v>
      </c>
      <c r="K3" s="20">
        <v>12</v>
      </c>
      <c r="L3" s="20">
        <v>13</v>
      </c>
      <c r="M3" s="20">
        <v>14</v>
      </c>
      <c r="N3" s="20">
        <v>15</v>
      </c>
      <c r="O3" s="21">
        <v>16</v>
      </c>
      <c r="P3" s="21">
        <v>17</v>
      </c>
      <c r="Q3" s="21">
        <v>18</v>
      </c>
      <c r="R3" s="21">
        <v>19</v>
      </c>
      <c r="S3" s="21">
        <v>20</v>
      </c>
      <c r="T3" s="21">
        <v>21</v>
      </c>
      <c r="U3" s="20">
        <v>22</v>
      </c>
      <c r="V3" s="20">
        <v>23</v>
      </c>
      <c r="W3" s="21">
        <v>24</v>
      </c>
      <c r="X3" s="21">
        <v>25</v>
      </c>
      <c r="Y3" s="2"/>
      <c r="Z3" s="66" t="s">
        <v>533</v>
      </c>
      <c r="AA3" s="67"/>
      <c r="AB3" s="67" t="s">
        <v>534</v>
      </c>
      <c r="AC3" s="68" t="s">
        <v>534</v>
      </c>
      <c r="AD3" s="66" t="s">
        <v>65</v>
      </c>
      <c r="AE3" s="67" t="s">
        <v>64</v>
      </c>
      <c r="AF3" s="67" t="s">
        <v>65</v>
      </c>
      <c r="AG3" s="68" t="s">
        <v>64</v>
      </c>
      <c r="AH3" s="66" t="s">
        <v>535</v>
      </c>
      <c r="AI3" s="67" t="s">
        <v>536</v>
      </c>
      <c r="AJ3" s="67" t="s">
        <v>537</v>
      </c>
      <c r="AK3" s="67" t="s">
        <v>538</v>
      </c>
      <c r="AL3" s="67" t="s">
        <v>539</v>
      </c>
      <c r="AM3" s="67" t="s">
        <v>540</v>
      </c>
      <c r="AN3" s="67" t="s">
        <v>541</v>
      </c>
      <c r="AO3" s="66"/>
      <c r="AP3" s="67"/>
      <c r="AQ3" s="67"/>
      <c r="AR3" s="67"/>
      <c r="AS3" s="66" t="s">
        <v>542</v>
      </c>
      <c r="AT3" s="68"/>
      <c r="AU3" s="2"/>
      <c r="AV3" s="34" t="s">
        <v>533</v>
      </c>
      <c r="AW3" s="34"/>
      <c r="AX3" s="34" t="s">
        <v>534</v>
      </c>
      <c r="AY3" s="34" t="s">
        <v>534</v>
      </c>
      <c r="AZ3" s="34" t="s">
        <v>65</v>
      </c>
      <c r="BA3" s="34" t="s">
        <v>64</v>
      </c>
      <c r="BB3" s="34" t="s">
        <v>65</v>
      </c>
      <c r="BC3" s="34" t="s">
        <v>64</v>
      </c>
      <c r="BD3" s="34" t="s">
        <v>535</v>
      </c>
      <c r="BE3" s="34" t="s">
        <v>536</v>
      </c>
      <c r="BF3" s="34" t="s">
        <v>537</v>
      </c>
      <c r="BG3" s="34" t="s">
        <v>538</v>
      </c>
      <c r="BH3" s="34" t="s">
        <v>539</v>
      </c>
      <c r="BI3" s="34" t="s">
        <v>540</v>
      </c>
      <c r="BJ3" s="34" t="s">
        <v>541</v>
      </c>
      <c r="BK3" s="66" t="s">
        <v>542</v>
      </c>
      <c r="BL3" s="68"/>
      <c r="BM3" s="2"/>
      <c r="BN3" s="40" t="s">
        <v>533</v>
      </c>
      <c r="BO3" s="40"/>
      <c r="BP3" s="40" t="s">
        <v>534</v>
      </c>
      <c r="BQ3" s="40" t="s">
        <v>534</v>
      </c>
      <c r="BR3" s="40" t="s">
        <v>65</v>
      </c>
      <c r="BS3" s="40" t="s">
        <v>64</v>
      </c>
      <c r="BT3" s="40" t="s">
        <v>65</v>
      </c>
      <c r="BU3" s="40" t="s">
        <v>64</v>
      </c>
      <c r="BV3" s="40" t="s">
        <v>535</v>
      </c>
      <c r="BW3" s="40" t="s">
        <v>536</v>
      </c>
      <c r="BX3" s="40" t="s">
        <v>537</v>
      </c>
      <c r="BY3" s="40" t="s">
        <v>538</v>
      </c>
      <c r="BZ3" s="40" t="s">
        <v>539</v>
      </c>
      <c r="CA3" s="40" t="s">
        <v>540</v>
      </c>
      <c r="CB3" s="40" t="s">
        <v>541</v>
      </c>
      <c r="CC3" s="66" t="s">
        <v>542</v>
      </c>
      <c r="CD3" s="68"/>
      <c r="CE3" s="2"/>
      <c r="CF3" s="42" t="s">
        <v>533</v>
      </c>
      <c r="CG3" s="42"/>
      <c r="CH3" s="42" t="s">
        <v>534</v>
      </c>
      <c r="CI3" s="42" t="s">
        <v>534</v>
      </c>
      <c r="CJ3" s="42" t="s">
        <v>65</v>
      </c>
      <c r="CK3" s="42" t="s">
        <v>64</v>
      </c>
      <c r="CL3" s="42" t="s">
        <v>65</v>
      </c>
      <c r="CM3" s="42" t="s">
        <v>64</v>
      </c>
      <c r="CN3" s="42" t="s">
        <v>535</v>
      </c>
      <c r="CO3" s="42" t="s">
        <v>536</v>
      </c>
      <c r="CP3" s="42" t="s">
        <v>537</v>
      </c>
      <c r="CQ3" s="42" t="s">
        <v>538</v>
      </c>
      <c r="CR3" s="42" t="s">
        <v>539</v>
      </c>
      <c r="CS3" s="42" t="s">
        <v>540</v>
      </c>
      <c r="CT3" s="42" t="s">
        <v>541</v>
      </c>
      <c r="CU3" s="66" t="s">
        <v>542</v>
      </c>
      <c r="CV3" s="68"/>
      <c r="CW3" s="2"/>
      <c r="CX3" s="44" t="s">
        <v>533</v>
      </c>
      <c r="CY3" s="44"/>
      <c r="CZ3" s="44" t="s">
        <v>534</v>
      </c>
      <c r="DA3" s="44" t="s">
        <v>534</v>
      </c>
      <c r="DB3" s="44" t="s">
        <v>65</v>
      </c>
      <c r="DC3" s="44" t="s">
        <v>64</v>
      </c>
      <c r="DD3" s="44" t="s">
        <v>65</v>
      </c>
      <c r="DE3" s="44" t="s">
        <v>64</v>
      </c>
      <c r="DF3" s="44" t="s">
        <v>535</v>
      </c>
      <c r="DG3" s="44" t="s">
        <v>536</v>
      </c>
      <c r="DH3" s="44" t="s">
        <v>537</v>
      </c>
      <c r="DI3" s="44" t="s">
        <v>538</v>
      </c>
      <c r="DJ3" s="44" t="s">
        <v>539</v>
      </c>
      <c r="DK3" s="44" t="s">
        <v>540</v>
      </c>
      <c r="DL3" s="44" t="s">
        <v>541</v>
      </c>
      <c r="DM3" s="66" t="s">
        <v>542</v>
      </c>
      <c r="DN3" s="68"/>
      <c r="DO3" s="2"/>
      <c r="DP3" s="46" t="s">
        <v>533</v>
      </c>
      <c r="DQ3" s="46"/>
      <c r="DR3" s="46" t="s">
        <v>534</v>
      </c>
      <c r="DS3" s="46" t="s">
        <v>534</v>
      </c>
      <c r="DT3" s="46" t="s">
        <v>65</v>
      </c>
      <c r="DU3" s="46" t="s">
        <v>64</v>
      </c>
      <c r="DV3" s="46" t="s">
        <v>65</v>
      </c>
      <c r="DW3" s="46" t="s">
        <v>64</v>
      </c>
      <c r="DX3" s="46" t="s">
        <v>535</v>
      </c>
      <c r="DY3" s="46" t="s">
        <v>536</v>
      </c>
      <c r="DZ3" s="46" t="s">
        <v>537</v>
      </c>
      <c r="EA3" s="46" t="s">
        <v>538</v>
      </c>
      <c r="EB3" s="46" t="s">
        <v>539</v>
      </c>
      <c r="EC3" s="46" t="s">
        <v>540</v>
      </c>
      <c r="ED3" s="46" t="s">
        <v>541</v>
      </c>
      <c r="EE3" s="66" t="s">
        <v>542</v>
      </c>
      <c r="EF3" s="68"/>
      <c r="EG3" s="2"/>
    </row>
    <row r="4" spans="1:137" x14ac:dyDescent="0.35">
      <c r="A4" s="20"/>
      <c r="B4" s="20"/>
      <c r="C4" s="20"/>
      <c r="D4" s="20"/>
      <c r="E4" s="21"/>
      <c r="F4" s="20">
        <v>2020</v>
      </c>
      <c r="G4" s="20"/>
      <c r="H4" s="21">
        <v>2020</v>
      </c>
      <c r="I4" s="20" t="s">
        <v>111</v>
      </c>
      <c r="J4" s="20" t="s">
        <v>112</v>
      </c>
      <c r="K4" s="20" t="s">
        <v>113</v>
      </c>
      <c r="L4" s="20" t="s">
        <v>114</v>
      </c>
      <c r="M4" s="20" t="s">
        <v>115</v>
      </c>
      <c r="N4" s="20" t="s">
        <v>116</v>
      </c>
      <c r="O4" s="21" t="s">
        <v>111</v>
      </c>
      <c r="P4" s="21" t="s">
        <v>112</v>
      </c>
      <c r="Q4" s="21" t="s">
        <v>113</v>
      </c>
      <c r="R4" s="21" t="s">
        <v>114</v>
      </c>
      <c r="S4" s="21" t="s">
        <v>115</v>
      </c>
      <c r="T4" s="21" t="s">
        <v>116</v>
      </c>
      <c r="U4" s="20" t="s">
        <v>117</v>
      </c>
      <c r="V4" s="20" t="s">
        <v>118</v>
      </c>
      <c r="W4" s="21" t="s">
        <v>117</v>
      </c>
      <c r="X4" s="21" t="s">
        <v>118</v>
      </c>
      <c r="Y4" s="29"/>
      <c r="Z4" s="78" t="s">
        <v>45</v>
      </c>
      <c r="AA4" s="22" t="s">
        <v>543</v>
      </c>
      <c r="AB4" s="25" t="s">
        <v>117</v>
      </c>
      <c r="AC4" s="69" t="s">
        <v>118</v>
      </c>
      <c r="AD4" s="75" t="s">
        <v>117</v>
      </c>
      <c r="AE4" s="25" t="s">
        <v>117</v>
      </c>
      <c r="AF4" s="26" t="s">
        <v>118</v>
      </c>
      <c r="AG4" s="69" t="s">
        <v>118</v>
      </c>
      <c r="AH4" s="78"/>
      <c r="AI4" s="25"/>
      <c r="AJ4" s="26"/>
      <c r="AK4" s="25"/>
      <c r="AL4" s="26"/>
      <c r="AM4" s="25"/>
      <c r="AN4" s="26"/>
      <c r="AO4" s="92" t="s">
        <v>544</v>
      </c>
      <c r="AP4" s="92" t="s">
        <v>331</v>
      </c>
      <c r="AQ4" s="92" t="s">
        <v>545</v>
      </c>
      <c r="AR4" s="26" t="s">
        <v>546</v>
      </c>
      <c r="AS4" s="75" t="s">
        <v>547</v>
      </c>
      <c r="AT4" s="69"/>
      <c r="AU4" s="2"/>
      <c r="AV4" s="34" t="s">
        <v>45</v>
      </c>
      <c r="AW4" s="34" t="s">
        <v>543</v>
      </c>
      <c r="AX4" s="36" t="s">
        <v>117</v>
      </c>
      <c r="AY4" s="38" t="s">
        <v>118</v>
      </c>
      <c r="AZ4" s="36" t="s">
        <v>117</v>
      </c>
      <c r="BA4" s="36" t="s">
        <v>117</v>
      </c>
      <c r="BB4" s="38" t="s">
        <v>118</v>
      </c>
      <c r="BC4" s="38" t="s">
        <v>118</v>
      </c>
      <c r="BD4" s="34"/>
      <c r="BE4" s="36"/>
      <c r="BF4" s="38"/>
      <c r="BG4" s="36"/>
      <c r="BH4" s="38"/>
      <c r="BI4" s="36"/>
      <c r="BJ4" s="38"/>
      <c r="BK4" s="75" t="s">
        <v>547</v>
      </c>
      <c r="BL4" s="69"/>
      <c r="BM4" s="2"/>
      <c r="BN4" s="40" t="s">
        <v>45</v>
      </c>
      <c r="BO4" s="40" t="s">
        <v>543</v>
      </c>
      <c r="BP4" s="40" t="s">
        <v>117</v>
      </c>
      <c r="BQ4" s="40" t="s">
        <v>118</v>
      </c>
      <c r="BR4" s="40" t="s">
        <v>117</v>
      </c>
      <c r="BS4" s="40" t="s">
        <v>117</v>
      </c>
      <c r="BT4" s="40" t="s">
        <v>118</v>
      </c>
      <c r="BU4" s="40" t="s">
        <v>118</v>
      </c>
      <c r="BV4" s="40"/>
      <c r="BW4" s="40"/>
      <c r="BX4" s="40"/>
      <c r="BY4" s="40"/>
      <c r="BZ4" s="40"/>
      <c r="CA4" s="40"/>
      <c r="CB4" s="40"/>
      <c r="CC4" s="75" t="s">
        <v>547</v>
      </c>
      <c r="CD4" s="69"/>
      <c r="CE4" s="2"/>
      <c r="CF4" s="42" t="s">
        <v>45</v>
      </c>
      <c r="CG4" s="42" t="s">
        <v>543</v>
      </c>
      <c r="CH4" s="42" t="s">
        <v>117</v>
      </c>
      <c r="CI4" s="42" t="s">
        <v>118</v>
      </c>
      <c r="CJ4" s="42" t="s">
        <v>117</v>
      </c>
      <c r="CK4" s="42" t="s">
        <v>117</v>
      </c>
      <c r="CL4" s="42" t="s">
        <v>118</v>
      </c>
      <c r="CM4" s="42" t="s">
        <v>118</v>
      </c>
      <c r="CN4" s="42"/>
      <c r="CO4" s="42"/>
      <c r="CP4" s="42"/>
      <c r="CQ4" s="42"/>
      <c r="CR4" s="42"/>
      <c r="CS4" s="42"/>
      <c r="CT4" s="42"/>
      <c r="CU4" s="75" t="s">
        <v>547</v>
      </c>
      <c r="CV4" s="69"/>
      <c r="CW4" s="2"/>
      <c r="CX4" s="44" t="s">
        <v>45</v>
      </c>
      <c r="CY4" s="44" t="s">
        <v>543</v>
      </c>
      <c r="CZ4" s="44" t="s">
        <v>117</v>
      </c>
      <c r="DA4" s="44" t="s">
        <v>118</v>
      </c>
      <c r="DB4" s="44" t="s">
        <v>117</v>
      </c>
      <c r="DC4" s="44" t="s">
        <v>117</v>
      </c>
      <c r="DD4" s="44" t="s">
        <v>118</v>
      </c>
      <c r="DE4" s="44" t="s">
        <v>118</v>
      </c>
      <c r="DF4" s="44"/>
      <c r="DG4" s="44"/>
      <c r="DH4" s="44"/>
      <c r="DI4" s="44"/>
      <c r="DJ4" s="44"/>
      <c r="DK4" s="44"/>
      <c r="DL4" s="44"/>
      <c r="DM4" s="75" t="s">
        <v>547</v>
      </c>
      <c r="DN4" s="69"/>
      <c r="DO4" s="2"/>
      <c r="DP4" s="46" t="s">
        <v>45</v>
      </c>
      <c r="DQ4" s="46" t="s">
        <v>543</v>
      </c>
      <c r="DR4" s="46" t="s">
        <v>117</v>
      </c>
      <c r="DS4" s="46" t="s">
        <v>118</v>
      </c>
      <c r="DT4" s="46" t="s">
        <v>117</v>
      </c>
      <c r="DU4" s="46" t="s">
        <v>117</v>
      </c>
      <c r="DV4" s="46" t="s">
        <v>118</v>
      </c>
      <c r="DW4" s="46" t="s">
        <v>118</v>
      </c>
      <c r="DX4" s="46"/>
      <c r="DY4" s="46"/>
      <c r="DZ4" s="46"/>
      <c r="EA4" s="46"/>
      <c r="EB4" s="46"/>
      <c r="EC4" s="46"/>
      <c r="ED4" s="46"/>
      <c r="EE4" s="75" t="s">
        <v>547</v>
      </c>
      <c r="EF4" s="69"/>
      <c r="EG4" s="2"/>
    </row>
    <row r="5" spans="1:137" x14ac:dyDescent="0.35">
      <c r="Z5" s="79" t="s">
        <v>548</v>
      </c>
      <c r="AC5" s="70"/>
      <c r="AD5" s="76"/>
      <c r="AE5" s="32" t="s">
        <v>549</v>
      </c>
      <c r="AG5" s="70"/>
      <c r="AH5" s="79"/>
      <c r="AO5" s="93" t="s">
        <v>550</v>
      </c>
      <c r="AP5" s="93"/>
      <c r="AQ5" s="93" t="s">
        <v>550</v>
      </c>
      <c r="AR5" s="33" t="s">
        <v>550</v>
      </c>
      <c r="AS5" s="75" t="s">
        <v>117</v>
      </c>
      <c r="AT5" s="69" t="s">
        <v>118</v>
      </c>
      <c r="AX5" s="37"/>
      <c r="AY5" s="39"/>
      <c r="AZ5" s="37"/>
      <c r="BA5" s="37"/>
      <c r="BB5" s="39"/>
      <c r="BC5" s="39"/>
      <c r="BE5" s="37"/>
      <c r="BF5" s="39"/>
      <c r="BG5" s="37"/>
      <c r="BH5" s="39"/>
      <c r="BI5" s="37"/>
      <c r="BJ5" s="39"/>
      <c r="BK5" s="75" t="s">
        <v>117</v>
      </c>
      <c r="BL5" s="69" t="s">
        <v>118</v>
      </c>
      <c r="CC5" s="75" t="s">
        <v>117</v>
      </c>
      <c r="CD5" s="69" t="s">
        <v>118</v>
      </c>
      <c r="CU5" s="75" t="s">
        <v>117</v>
      </c>
      <c r="CV5" s="69" t="s">
        <v>118</v>
      </c>
      <c r="DM5" s="75" t="s">
        <v>117</v>
      </c>
      <c r="DN5" s="69" t="s">
        <v>118</v>
      </c>
      <c r="EE5" s="75" t="s">
        <v>117</v>
      </c>
      <c r="EF5" s="69" t="s">
        <v>118</v>
      </c>
    </row>
    <row r="6" spans="1:137" s="60" customFormat="1" x14ac:dyDescent="0.35">
      <c r="A6" s="61" t="str">
        <f>"Model with CDR "&amp;IF(Template!J22="no",IF(Template!M22="no","","and new targets"),"and new targets")</f>
        <v xml:space="preserve">Model with CDR </v>
      </c>
      <c r="Z6" s="82" t="str">
        <f>A6</f>
        <v xml:space="preserve">Model with CDR </v>
      </c>
      <c r="AC6" s="72"/>
      <c r="AD6" s="60" t="s">
        <v>551</v>
      </c>
      <c r="AE6" s="60" t="s">
        <v>53</v>
      </c>
      <c r="AF6" s="60" t="s">
        <v>551</v>
      </c>
      <c r="AG6" s="60" t="s">
        <v>53</v>
      </c>
      <c r="AH6" s="71"/>
      <c r="AK6" s="60" t="s">
        <v>25</v>
      </c>
      <c r="AM6" s="60" t="s">
        <v>25</v>
      </c>
      <c r="AO6" s="71"/>
      <c r="AP6" s="71"/>
      <c r="AQ6" s="60" t="s">
        <v>551</v>
      </c>
      <c r="AR6" s="60" t="s">
        <v>552</v>
      </c>
      <c r="AS6" s="60" t="s">
        <v>551</v>
      </c>
      <c r="AT6" s="72"/>
      <c r="AV6" s="61" t="s">
        <v>553</v>
      </c>
      <c r="BK6" s="71" t="s">
        <v>554</v>
      </c>
      <c r="BL6" s="72"/>
      <c r="BN6" s="61" t="s">
        <v>553</v>
      </c>
      <c r="CC6" s="71" t="s">
        <v>554</v>
      </c>
      <c r="CD6" s="72"/>
      <c r="CF6" s="61" t="s">
        <v>553</v>
      </c>
      <c r="CU6" s="71" t="s">
        <v>554</v>
      </c>
      <c r="CV6" s="72"/>
      <c r="CX6" s="61" t="s">
        <v>553</v>
      </c>
      <c r="DM6" s="71" t="s">
        <v>554</v>
      </c>
      <c r="DN6" s="72"/>
      <c r="DP6" s="61" t="s">
        <v>553</v>
      </c>
      <c r="EE6" s="71" t="s">
        <v>554</v>
      </c>
      <c r="EF6" s="72"/>
    </row>
    <row r="7" spans="1:137" x14ac:dyDescent="0.35">
      <c r="A7" s="30" t="str">
        <f>'Data_world regions'!C4</f>
        <v>United States</v>
      </c>
      <c r="B7" s="30" t="str">
        <f>'Data_world regions'!D4</f>
        <v>USA</v>
      </c>
      <c r="C7" s="30">
        <f>'Data_world regions'!E4</f>
        <v>0</v>
      </c>
      <c r="D7" s="30">
        <f>'Data_world regions'!F4</f>
        <v>0</v>
      </c>
      <c r="E7" s="31">
        <f>'Data_world regions'!G4</f>
        <v>5.953305611064651E-3</v>
      </c>
      <c r="F7" s="30">
        <f>'Data_world regions'!H4</f>
        <v>1287.0335996726301</v>
      </c>
      <c r="G7" s="30">
        <f>'Data_world regions'!I4</f>
        <v>4715.6911092005166</v>
      </c>
      <c r="H7" s="31">
        <f>'Data_world regions'!J4</f>
        <v>20893.743833</v>
      </c>
      <c r="I7" s="30">
        <f>'Data_world regions'!K4</f>
        <v>1.2065015262820036</v>
      </c>
      <c r="J7" s="30">
        <f>'Data_world regions'!L4</f>
        <v>1.2959589889889573</v>
      </c>
      <c r="K7" s="30">
        <f>'Data_world regions'!M4</f>
        <v>1.2657121856098954</v>
      </c>
      <c r="L7" s="30">
        <f>'Data_world regions'!N4</f>
        <v>1.1823970624118154</v>
      </c>
      <c r="M7" s="30">
        <f>'Data_world regions'!O4</f>
        <v>1.2835096943553725</v>
      </c>
      <c r="N7" s="30">
        <f>'Data_world regions'!P4</f>
        <v>1.3539260844451486</v>
      </c>
      <c r="O7" s="31">
        <f>'Data_world regions'!Q4</f>
        <v>1.1893129134488205</v>
      </c>
      <c r="P7" s="31">
        <f>'Data_world regions'!R4</f>
        <v>0.90947003354549738</v>
      </c>
      <c r="Q7" s="31">
        <f>'Data_world regions'!S4</f>
        <v>1.0160301239037073</v>
      </c>
      <c r="R7" s="31">
        <f>'Data_world regions'!T4</f>
        <v>1.0683930558484569</v>
      </c>
      <c r="S7" s="31">
        <f>'Data_world regions'!U4</f>
        <v>1.0727560349127803</v>
      </c>
      <c r="T7" s="31">
        <f>'Data_world regions'!V4</f>
        <v>1.2137481184144505</v>
      </c>
      <c r="U7" s="30">
        <f>'Data_world regions'!W4</f>
        <v>0.73106236545427317</v>
      </c>
      <c r="V7" s="30">
        <f>'Data_world regions'!X4</f>
        <v>0.70760374301856066</v>
      </c>
      <c r="W7" s="31">
        <f>'Data_world regions'!Y4+Analysis!F9+IF(Template!$J$22="no",0,IF(Analysis!I9=0,0,Analysis!I9))</f>
        <v>3627.7042970438151</v>
      </c>
      <c r="X7" s="31">
        <f>'Data_world regions'!Z4+Analysis!F9+IF(Template!$M$22="no",0,IF(Analysis!L9=0,0,Analysis!L9))</f>
        <v>3517.0806797896339</v>
      </c>
      <c r="Z7" s="79">
        <f>$H7*I7</f>
        <v>25208.333824259702</v>
      </c>
      <c r="AA7" s="27">
        <f>$G7*O7</f>
        <v>5608.4323320079666</v>
      </c>
      <c r="AB7" s="32">
        <f>MIN(AA7,W7)</f>
        <v>3627.7042970438151</v>
      </c>
      <c r="AC7" s="70">
        <f>MIN(AA7,X7)</f>
        <v>3517.0806797896339</v>
      </c>
      <c r="AD7" s="76">
        <f>$E7*(($AA7-$AB7)/$AA7)^3*$Z7*$AA7/10^3</f>
        <v>37.076087292552067</v>
      </c>
      <c r="AE7" s="32">
        <f t="shared" ref="AE7:AE22" si="4">E7*3*((AA7-AB7)/AA7)^2*Z7</f>
        <v>56.155241867755606</v>
      </c>
      <c r="AF7" s="33">
        <f t="shared" ref="AF7:AF22" si="5">E7*((AA7-AC7)/AA7)^3*Z7*AA7/10^3</f>
        <v>43.641587664759697</v>
      </c>
      <c r="AG7" s="70">
        <f t="shared" ref="AG7:AG22" si="6">E7*3*((AA7-AC7)/AA7)^2*Z7</f>
        <v>62.602940474121091</v>
      </c>
      <c r="AH7" s="79">
        <f t="shared" ref="AH7:AH22" si="7">AA7/((3*E7*Z7)^0.5)</f>
        <v>264.3198002861385</v>
      </c>
      <c r="AI7" s="32">
        <f t="shared" ref="AI7:AI22" si="8">AA7-AB7</f>
        <v>1980.7280349641514</v>
      </c>
      <c r="AJ7" s="33">
        <f t="shared" ref="AJ7:AJ22" si="9">AA7-AC7</f>
        <v>2091.3516522183327</v>
      </c>
      <c r="AK7" s="32">
        <f>AA7-(($AI$1/(Z7*3*$E7))^0.5)*AA7</f>
        <v>4937.4391842645637</v>
      </c>
      <c r="AL7" s="33">
        <f>AA7-(($AJ$1/(Z7*3*$E7))^0.5)*AA7</f>
        <v>4610.9952792156701</v>
      </c>
      <c r="AM7" s="94">
        <f t="shared" ref="AM7:AM22" si="10">AK7-AB7</f>
        <v>1309.7348872207485</v>
      </c>
      <c r="AN7" s="95">
        <f t="shared" ref="AN7:AN22" si="11">AL7-AC7</f>
        <v>1093.9145994260361</v>
      </c>
      <c r="AO7" s="76">
        <f t="shared" ref="AO7:AO22" si="12">AA7-AK7</f>
        <v>670.99314774340291</v>
      </c>
      <c r="AP7" s="76">
        <f t="shared" ref="AP7:AP22" si="13">$E7*3*(($AA7-$AK7)/$AA7)^2*$Z7</f>
        <v>6.4443152159570323</v>
      </c>
      <c r="AQ7" s="99">
        <f>$E7*(($AA7-$AK7)/$AA7)^3*$Z7*$AA7/10^3</f>
        <v>1.4413637839352385</v>
      </c>
      <c r="AR7" s="100">
        <f>AI$1*$AM7/10^3</f>
        <v>8.4403444625864488</v>
      </c>
      <c r="AS7" s="99">
        <f>$E7*(($AA7-$AK7)/$AA7)^3*$Z7*$AA7/10^3+AI$1*$AM7/10^3</f>
        <v>9.8817082465216863</v>
      </c>
      <c r="AT7" s="70">
        <f>($E7*((AA7-AL7)/AA7)^3*Z7*AA7/10^3)+AJ$1*AN7/10^3</f>
        <v>20.311920425089255</v>
      </c>
      <c r="AV7" s="35">
        <f t="shared" ref="AV7:AV22" si="14">$H7*J7</f>
        <v>27077.435134008942</v>
      </c>
      <c r="AW7" s="35">
        <f t="shared" ref="AW7:AW22" si="15">G7*P7</f>
        <v>4288.7797512747975</v>
      </c>
      <c r="AX7" s="37">
        <f>MIN(AW7,$W7)</f>
        <v>3627.7042970438151</v>
      </c>
      <c r="AY7" s="39">
        <f>MIN(AW7,$X7)</f>
        <v>3517.0806797896339</v>
      </c>
      <c r="AZ7" s="37">
        <f t="shared" ref="AZ7:AZ22" si="16">E7*((AW7-AX7)/AW7)^3*AV7*AW7/10^3</f>
        <v>2.5319277594878349</v>
      </c>
      <c r="BA7" s="37">
        <f t="shared" ref="BA7:BA22" si="17">E7*3*((AW7-AX7)/AW7)^2*AV7</f>
        <v>11.490039797801218</v>
      </c>
      <c r="BB7" s="39">
        <f t="shared" ref="BB7:BB22" si="18">E7*((AW7-AY7)/AW7)^3*AV7*AW7/10^3</f>
        <v>4.027561188857459</v>
      </c>
      <c r="BC7" s="39">
        <f t="shared" ref="BC7:BC22" si="19">E7*3*((AW7-AY7)/AW7)^2*AV7</f>
        <v>15.65724777058343</v>
      </c>
      <c r="BD7" s="35">
        <f t="shared" ref="BD7:BD22" si="20">AW7/((3*E7*AV7)^0.5)</f>
        <v>195.0249905852489</v>
      </c>
      <c r="BE7" s="37">
        <f>AW7-AX7</f>
        <v>661.07545423098236</v>
      </c>
      <c r="BF7" s="39">
        <f>AW7-AY7</f>
        <v>771.69907148516359</v>
      </c>
      <c r="BG7" s="37">
        <f>AW7-((BE$1/(AV7*3*$E7))^0.5)*AW7</f>
        <v>4092.7726407803157</v>
      </c>
      <c r="BH7" s="39">
        <f>AW7-((BF$1/(AV7*3*$E7))^0.5)*AW7</f>
        <v>3906.1234130355069</v>
      </c>
      <c r="BI7" s="37">
        <f>BG7-AX7</f>
        <v>465.06834373650054</v>
      </c>
      <c r="BJ7" s="39">
        <f>BH7-AY7</f>
        <v>389.04273324587302</v>
      </c>
      <c r="BK7" s="76">
        <f>($E7*((AW7-BG7)/AW7)^3*AV7*AW7/10^3)+(BE$1*BI7/10^3)</f>
        <v>0.53575958670696411</v>
      </c>
      <c r="BL7" s="70">
        <f>($E7*((AW7-BH7)/AW7)^3*AV7*AW7/10^3)+(BF$1*BJ7/10^3)</f>
        <v>1.9887828228809621</v>
      </c>
      <c r="BN7" s="41">
        <f>$H7*$K7</f>
        <v>26445.466172439705</v>
      </c>
      <c r="BO7" s="41">
        <f>$G7*$Q7</f>
        <v>4791.2842219726117</v>
      </c>
      <c r="BP7" s="41">
        <f t="shared" ref="BP7:BP22" si="21">MIN(BO7,W7)</f>
        <v>3627.7042970438151</v>
      </c>
      <c r="BQ7" s="41">
        <f t="shared" ref="BQ7:BQ22" si="22">MIN(BO7,X7)</f>
        <v>3517.0806797896339</v>
      </c>
      <c r="BR7" s="41">
        <f t="shared" ref="BR7:BR22" si="23">E7*((BO7-BP7)/BO7)^3*BN7*BO7/10^3</f>
        <v>10.80423932037359</v>
      </c>
      <c r="BS7" s="41">
        <f t="shared" ref="BS7:BS22" si="24">E7*3*((BO7-BP7)/BO7)^2*BN7</f>
        <v>27.856030571431713</v>
      </c>
      <c r="BT7" s="41">
        <f t="shared" ref="BT7:BT22" si="25">E7*((BO7-BQ7)/BO7)^3*BN7*BO7/10^3</f>
        <v>14.188025494776051</v>
      </c>
      <c r="BU7" s="41">
        <f t="shared" ref="BU7:BU22" si="26">E7*3*((BO7-BQ7)/BO7)^2*BN7</f>
        <v>33.404456254616107</v>
      </c>
      <c r="BV7" s="41">
        <f t="shared" ref="BV7:BV22" si="27">BO7/((3*E7*BN7)^0.5)</f>
        <v>220.46345267985745</v>
      </c>
      <c r="BW7" s="41">
        <f>BO7-BP7</f>
        <v>1163.5799249287966</v>
      </c>
      <c r="BX7" s="41">
        <f>BO7-BQ7</f>
        <v>1274.2035421829778</v>
      </c>
      <c r="BY7" s="41">
        <f>BO7-((BW$1/(BN7*3*$E7))^0.5)*BO7</f>
        <v>4399.3993888259074</v>
      </c>
      <c r="BZ7" s="41">
        <f>BO7-((BX$1/(BN7*3*$E7))^0.5)*BO7</f>
        <v>4138.7330500975431</v>
      </c>
      <c r="CA7" s="41">
        <f>BY7-BP7</f>
        <v>771.69509178209228</v>
      </c>
      <c r="CB7" s="41">
        <f>BZ7-BQ7</f>
        <v>621.65237030790922</v>
      </c>
      <c r="CC7" s="76">
        <f>($E7*((BO7-BY7)/BO7)^3*BN7*BO7/10^3)+(BW$1*CA7/10^3)</f>
        <v>2.8510570479530295</v>
      </c>
      <c r="CD7" s="70">
        <f>($E7*((BO7-BZ7)/BO7)^3*BN7*BO7/10^3)+(BX$1*CB7/10^3)</f>
        <v>7.3520015846808979</v>
      </c>
      <c r="CF7" s="43">
        <f>$H7*$L7</f>
        <v>24704.701330924185</v>
      </c>
      <c r="CG7" s="43">
        <f>$G7*$R7</f>
        <v>5038.2116345961394</v>
      </c>
      <c r="CH7" s="43">
        <f t="shared" ref="CH7:CH22" si="28">MIN(CG7,W7)</f>
        <v>3627.7042970438151</v>
      </c>
      <c r="CI7" s="43">
        <f t="shared" ref="CI7:CI22" si="29">MIN(CG7,X7)</f>
        <v>3517.0806797896339</v>
      </c>
      <c r="CJ7" s="43">
        <f t="shared" ref="CJ7:CJ22" si="30">E7*((CG7-CH7)/CG7)^3*CF7*CG7/10^3</f>
        <v>16.259643585687346</v>
      </c>
      <c r="CK7" s="43">
        <f t="shared" ref="CK7:CK22" si="31">E7*3*((CG7-CH7)/CG7)^2*CF7</f>
        <v>34.5825430739757</v>
      </c>
      <c r="CL7" s="43">
        <f t="shared" ref="CL7:CL22" si="32">E7*((CG7-CI7)/CG7)^3*CF7*CG7/10^3</f>
        <v>20.393172139428913</v>
      </c>
      <c r="CM7" s="43">
        <f t="shared" ref="CM7:CM22" si="33">E7*3*((CG7-CI7)/CG7)^2*CF7</f>
        <v>40.219756375984772</v>
      </c>
      <c r="CN7" s="43">
        <f t="shared" ref="CN7:CN22" si="34">CG7/((3*E7*CF7)^0.5)</f>
        <v>239.8539563390097</v>
      </c>
      <c r="CO7" s="43">
        <f>CG7-CH7</f>
        <v>1410.5073375523243</v>
      </c>
      <c r="CP7" s="43">
        <f>CG7-CI7</f>
        <v>1521.1309548065055</v>
      </c>
      <c r="CQ7" s="43">
        <f>CG7-((CO$1/(CF7*3*$E7))^0.5)*CG7</f>
        <v>4502.7740321054735</v>
      </c>
      <c r="CR7" s="43">
        <f>CG7-((CP$1/(CF7*3*$E7))^0.5)*CG7</f>
        <v>4214.2099756289526</v>
      </c>
      <c r="CS7" s="43">
        <f>CQ7-CH7</f>
        <v>875.06973506165832</v>
      </c>
      <c r="CT7" s="43">
        <f>CR7-CI7</f>
        <v>697.12929583931873</v>
      </c>
      <c r="CU7" s="76">
        <f>($E7*((CG7-CQ7)/CG7)^3*CF7*CG7/10^3)+(CO$1*CS7/10^3)</f>
        <v>5.2502341756903972</v>
      </c>
      <c r="CV7" s="70">
        <f>($E7*((CG7-CR7)/CG7)^3*CF7*CG7/10^3)+(CP$1*CT7/10^3)</f>
        <v>11.469321763650754</v>
      </c>
      <c r="CX7" s="45">
        <f>$H7*$M7</f>
        <v>26817.32276103328</v>
      </c>
      <c r="CY7" s="45">
        <f>$G7*$S7</f>
        <v>5058.7860961793967</v>
      </c>
      <c r="CZ7" s="45">
        <f>MIN(CY7,$W7)</f>
        <v>3627.7042970438151</v>
      </c>
      <c r="DA7" s="45">
        <f>MIN(CY7,$X7)</f>
        <v>3517.0806797896339</v>
      </c>
      <c r="DB7" s="45">
        <f t="shared" ref="DB7:DB22" si="35">E7*((CY7-CZ7)/CY7)^3*CX7*CY7/10^3</f>
        <v>18.284131616331798</v>
      </c>
      <c r="DC7" s="45">
        <f>$E7*3*((CY7-CZ7)/CY7)^2*CX7</f>
        <v>38.329321833404599</v>
      </c>
      <c r="DD7" s="45">
        <f>$E7*((CY7-DA7)/CY7)^3*CX7*CY7/10^3</f>
        <v>22.860470185850666</v>
      </c>
      <c r="DE7" s="45">
        <f>$E7*3*((CY7-DA7)/CY7)^2*CX7</f>
        <v>44.484121174167129</v>
      </c>
      <c r="DF7" s="45">
        <f>CY7/((3*$E7*CX7)^0.5)</f>
        <v>231.15265743360374</v>
      </c>
      <c r="DG7" s="45">
        <f>CY7-CZ7</f>
        <v>1431.0817991355816</v>
      </c>
      <c r="DH7" s="45">
        <f>CY7-DA7</f>
        <v>1541.7054163897628</v>
      </c>
      <c r="DI7" s="45">
        <f>CY7-((DG$1/(CX7*3*$E7))^0.5)*CY7</f>
        <v>4570.1412620548999</v>
      </c>
      <c r="DJ7" s="45">
        <f>CY7-((DH$1/(CX7*3*$E7))^0.5)*CY7</f>
        <v>4284.4790041226161</v>
      </c>
      <c r="DK7" s="45">
        <f>DI7-CZ7</f>
        <v>942.43696501108479</v>
      </c>
      <c r="DL7" s="45">
        <f>DJ7-DA7</f>
        <v>767.39832433298216</v>
      </c>
      <c r="DM7" s="76">
        <f>($E7*((CY7-DI7)/CY7)^3*CX7*CY7/10^3)+(DG$1*DK7/10^3)</f>
        <v>4.9394240431649852</v>
      </c>
      <c r="DN7" s="70">
        <f>($E7*((CY7-DJ7)/CY7)^3*CX7*CY7/10^3)+(DH$1*DL7/10^3)</f>
        <v>11.507067193765369</v>
      </c>
      <c r="DP7" s="47">
        <f>$H7*$N7</f>
        <v>28288.584777213662</v>
      </c>
      <c r="DQ7" s="47">
        <f>$G7*$T7</f>
        <v>5723.6612108158797</v>
      </c>
      <c r="DR7" s="47">
        <f>MIN(DQ7,$W7)</f>
        <v>3627.7042970438151</v>
      </c>
      <c r="DS7" s="47">
        <f>MIN(DQ7,$X7)</f>
        <v>3517.0806797896339</v>
      </c>
      <c r="DT7" s="47">
        <f>$E7*((DQ7-DR7)/DQ7)^3*DP7*DQ7/10^3</f>
        <v>47.333499207050593</v>
      </c>
      <c r="DU7" s="47">
        <f>$E7*3*((DQ7-DR7)/DQ7)^2*DP7</f>
        <v>67.749721708541927</v>
      </c>
      <c r="DV7" s="47">
        <f>$E7*((DQ7-DS7)/DQ7)^3*DP7*DQ7/10^3</f>
        <v>55.230745532019803</v>
      </c>
      <c r="DW7" s="47">
        <f>$E7*3*((DQ7-DS7)/DQ7)^2*DP7</f>
        <v>75.090047367996405</v>
      </c>
      <c r="DX7" s="47">
        <f>DQ7/((3*$E7*DP7)^0.5)</f>
        <v>254.64115346710653</v>
      </c>
      <c r="DY7" s="47">
        <f>DQ7-DR7</f>
        <v>2095.9569137720646</v>
      </c>
      <c r="DZ7" s="47">
        <f>DQ7-DS7</f>
        <v>2206.5805310262458</v>
      </c>
      <c r="EA7" s="47">
        <f>DQ7-((DY$1/(DP7*3*$E7))^0.5)*DQ7</f>
        <v>4858.9488579190411</v>
      </c>
      <c r="EB7" s="47">
        <f>DQ7-((DZ$1/(DP7*3*$E7))^0.5)*DQ7</f>
        <v>4514.8577032551066</v>
      </c>
      <c r="EC7" s="47">
        <f>EA7-DR7</f>
        <v>1231.2445608752259</v>
      </c>
      <c r="ED7" s="47">
        <f>EB7-DS7</f>
        <v>997.77702346547267</v>
      </c>
      <c r="EE7" s="76">
        <f>($E7*((DQ7-EA7)/DQ7)^3*DP7*DQ7/10^3)+(DY$1*EC7/10^3)</f>
        <v>17.521920425457179</v>
      </c>
      <c r="EF7" s="70">
        <f>($E7*((DQ7-EB7)/DQ7)^3*DP7*DQ7/10^3)+(DZ$1*ED7/10^3)</f>
        <v>31.564792565260497</v>
      </c>
    </row>
    <row r="8" spans="1:137" x14ac:dyDescent="0.35">
      <c r="A8" s="30" t="str">
        <f>'Data_world regions'!C5</f>
        <v>Canada</v>
      </c>
      <c r="B8" s="30" t="str">
        <f>'Data_world regions'!D5</f>
        <v>CAN</v>
      </c>
      <c r="C8" s="30">
        <f>'Data_world regions'!E5</f>
        <v>0</v>
      </c>
      <c r="D8" s="30">
        <f>'Data_world regions'!F5</f>
        <v>0</v>
      </c>
      <c r="E8" s="31">
        <f>'Data_world regions'!G5</f>
        <v>0.12240284074761253</v>
      </c>
      <c r="F8" s="30">
        <f>'Data_world regions'!H5</f>
        <v>145.97811797064199</v>
      </c>
      <c r="G8" s="30">
        <f>'Data_world regions'!I5</f>
        <v>534.86382424443229</v>
      </c>
      <c r="H8" s="31">
        <f>'Data_world regions'!J5</f>
        <v>1645.4234075683632</v>
      </c>
      <c r="I8" s="30">
        <f>'Data_world regions'!K5</f>
        <v>1.221996946945836</v>
      </c>
      <c r="J8" s="30">
        <f>'Data_world regions'!L5</f>
        <v>1.2391220415267794</v>
      </c>
      <c r="K8" s="30">
        <f>'Data_world regions'!M5</f>
        <v>1.2445356347615457</v>
      </c>
      <c r="L8" s="30">
        <f>'Data_world regions'!N5</f>
        <v>1.175175430934486</v>
      </c>
      <c r="M8" s="30">
        <f>'Data_world regions'!O5</f>
        <v>1.2391918716841661</v>
      </c>
      <c r="N8" s="30">
        <f>'Data_world regions'!P5</f>
        <v>1.326252900883599</v>
      </c>
      <c r="O8" s="31">
        <f>'Data_world regions'!Q5</f>
        <v>1.1885119402079378</v>
      </c>
      <c r="P8" s="31">
        <f>'Data_world regions'!R5</f>
        <v>0.90947003354549749</v>
      </c>
      <c r="Q8" s="31">
        <f>'Data_world regions'!S5</f>
        <v>1.0160301239037073</v>
      </c>
      <c r="R8" s="31">
        <f>'Data_world regions'!T5</f>
        <v>1.0683930558484569</v>
      </c>
      <c r="S8" s="31">
        <f>'Data_world regions'!U5</f>
        <v>1.0727560349127803</v>
      </c>
      <c r="T8" s="31">
        <f>'Data_world regions'!V5</f>
        <v>1.2137481184144505</v>
      </c>
      <c r="U8" s="30">
        <f>'Data_world regions'!W5</f>
        <v>0.62594532645316192</v>
      </c>
      <c r="V8" s="30">
        <f>'Data_world regions'!X5</f>
        <v>0.57549009126022055</v>
      </c>
      <c r="W8" s="31">
        <f>'Data_world regions'!Y5+Analysis!F10+IF(Template!$J$22="no",0,IF(Analysis!I10=0,0,Analysis!I10))</f>
        <v>334.79551107466779</v>
      </c>
      <c r="X8" s="31">
        <f>'Data_world regions'!Z5+Analysis!F10+IF(Template!$M$22="no",0,IF(Analysis!L10=0,0,Analysis!L10))</f>
        <v>307.80883102621891</v>
      </c>
      <c r="Z8" s="79">
        <f t="shared" ref="Z8:Z22" si="36">$H8*I8</f>
        <v>2010.7023804817538</v>
      </c>
      <c r="AA8" s="27">
        <f t="shared" ref="AA8:AA22" si="37">$G8*O8</f>
        <v>635.69204149978771</v>
      </c>
      <c r="AB8" s="32">
        <f t="shared" ref="AB8:AB20" si="38">MIN(AA8,W8)</f>
        <v>334.79551107466779</v>
      </c>
      <c r="AC8" s="70">
        <f t="shared" ref="AC8:AC22" si="39">MIN(AA8,X8)</f>
        <v>307.80883102621891</v>
      </c>
      <c r="AD8" s="76">
        <f>E8*((AA8-AB8)/AA8)^3*Z8*AA8/10^3</f>
        <v>16.591944278619312</v>
      </c>
      <c r="AE8" s="32">
        <f t="shared" si="4"/>
        <v>165.42508072636281</v>
      </c>
      <c r="AF8" s="33">
        <f t="shared" si="5"/>
        <v>21.468577886583446</v>
      </c>
      <c r="AG8" s="70">
        <f t="shared" si="6"/>
        <v>196.42888565940217</v>
      </c>
      <c r="AH8" s="79">
        <f t="shared" si="7"/>
        <v>23.39464731479481</v>
      </c>
      <c r="AI8" s="32">
        <f t="shared" si="8"/>
        <v>300.89653042511992</v>
      </c>
      <c r="AJ8" s="33">
        <f t="shared" si="9"/>
        <v>327.88321047356879</v>
      </c>
      <c r="AK8" s="32">
        <f t="shared" ref="AK8:AK22" si="40">AA8-(($AI$1/(Z8*3*E8))^0.5)*AA8</f>
        <v>576.30319501493307</v>
      </c>
      <c r="AL8" s="33">
        <f t="shared" ref="AL8:AL22" si="41">AA8-(($AJ$1/(Z8*3*E8))^0.5)*AA8</f>
        <v>547.41001327669107</v>
      </c>
      <c r="AM8" s="94">
        <f t="shared" si="10"/>
        <v>241.50768394026528</v>
      </c>
      <c r="AN8" s="95">
        <f t="shared" si="11"/>
        <v>239.60118225047216</v>
      </c>
      <c r="AO8" s="76">
        <f t="shared" si="12"/>
        <v>59.388846484854639</v>
      </c>
      <c r="AP8" s="76">
        <f t="shared" si="13"/>
        <v>6.4443152159570323</v>
      </c>
      <c r="AQ8" s="99">
        <f>$E8*(($AA8-$AK8)/$AA8)^3*$Z8*$AA8/10^3</f>
        <v>0.12757348235349503</v>
      </c>
      <c r="AR8" s="100">
        <f t="shared" ref="AR8:AR22" si="42">AI$1*AM8/10^3</f>
        <v>1.5563516423867951</v>
      </c>
      <c r="AS8" s="99">
        <f t="shared" ref="AS8:AS22" si="43">$E8*(($AA8-$AK8)/$AA8)^3*$Z8*$AA8/10^3+AI$1*$AM8/10^3</f>
        <v>1.6839251247402902</v>
      </c>
      <c r="AT8" s="70">
        <f t="shared" ref="AT8:AT22" si="44">($E8*((AA8-AL8)/AA8)^3*Z8*AA8/10^3)+AJ$1*AN8/10^3</f>
        <v>3.8309804015455482</v>
      </c>
      <c r="AV8" s="35">
        <f t="shared" si="14"/>
        <v>2038.8804119620602</v>
      </c>
      <c r="AW8" s="35">
        <f t="shared" si="15"/>
        <v>486.4426201778569</v>
      </c>
      <c r="AX8" s="37">
        <f t="shared" ref="AX8:AX22" si="45">MIN(AW8,$W8)</f>
        <v>334.79551107466779</v>
      </c>
      <c r="AY8" s="39">
        <f t="shared" ref="AY8:AY22" si="46">MIN(AW8,$X8)</f>
        <v>307.80883102621891</v>
      </c>
      <c r="AZ8" s="37">
        <f t="shared" si="16"/>
        <v>3.6780905712527603</v>
      </c>
      <c r="BA8" s="37">
        <f t="shared" si="17"/>
        <v>72.76282270735507</v>
      </c>
      <c r="BB8" s="39">
        <f t="shared" si="18"/>
        <v>6.01188748471181</v>
      </c>
      <c r="BC8" s="39">
        <f t="shared" si="19"/>
        <v>100.96445101338237</v>
      </c>
      <c r="BD8" s="35">
        <f t="shared" si="20"/>
        <v>17.77785527606942</v>
      </c>
      <c r="BE8" s="37">
        <f t="shared" ref="BE8:BE22" si="47">AW8-AX8</f>
        <v>151.64710910318911</v>
      </c>
      <c r="BF8" s="39">
        <f t="shared" ref="BF8:BF22" si="48">AW8-AY8</f>
        <v>178.63378915163798</v>
      </c>
      <c r="BG8" s="37">
        <f t="shared" ref="BG8:BG22" si="49">AW8-((BE$1/(AV8*3*$E8))^0.5)*AW8</f>
        <v>468.57523798753056</v>
      </c>
      <c r="BH8" s="39">
        <f t="shared" ref="BH8:BH22" si="50">AW8-((BF$1/(AV8*3*$E8))^0.5)*AW8</f>
        <v>451.56089050170471</v>
      </c>
      <c r="BI8" s="37">
        <f t="shared" ref="BI8:BJ22" si="51">BG8-AX8</f>
        <v>133.77972691286277</v>
      </c>
      <c r="BJ8" s="39">
        <f t="shared" si="51"/>
        <v>143.75205947548579</v>
      </c>
      <c r="BK8" s="76">
        <f t="shared" ref="BK8:BK22" si="52">($E8*((AW8-BG8)/AW8)^3*AV8*AW8/10^3)+(BE$1*BI8/10^3)</f>
        <v>0.14114644365340939</v>
      </c>
      <c r="BL8" s="70">
        <f t="shared" ref="BL8:BL22" si="53">($E8*((AW8-BH8)/AW8)^3*AV8*AW8/10^3)+(BF$1*BJ8/10^3)</f>
        <v>0.59817803185615903</v>
      </c>
      <c r="BN8" s="41">
        <f t="shared" ref="BN8:BN22" si="54">$H8*$K8</f>
        <v>2047.7880649895985</v>
      </c>
      <c r="BO8" s="41">
        <f t="shared" ref="BO8:BO22" si="55">$G8*$Q8</f>
        <v>543.4377576186813</v>
      </c>
      <c r="BP8" s="41">
        <f t="shared" si="21"/>
        <v>334.79551107466779</v>
      </c>
      <c r="BQ8" s="41">
        <f t="shared" si="22"/>
        <v>307.80883102621891</v>
      </c>
      <c r="BR8" s="41">
        <f t="shared" si="23"/>
        <v>7.7087442313636059</v>
      </c>
      <c r="BS8" s="41">
        <f t="shared" si="24"/>
        <v>110.84156290088781</v>
      </c>
      <c r="BT8" s="41">
        <f t="shared" si="25"/>
        <v>11.103571665364464</v>
      </c>
      <c r="BU8" s="41">
        <f t="shared" si="26"/>
        <v>141.36937886962721</v>
      </c>
      <c r="BV8" s="41">
        <f t="shared" si="27"/>
        <v>19.81759413945743</v>
      </c>
      <c r="BW8" s="41">
        <f t="shared" ref="BW8:BW22" si="56">BO8-BP8</f>
        <v>208.64224654401352</v>
      </c>
      <c r="BX8" s="41">
        <f t="shared" ref="BX8:BX22" si="57">BO8-BQ8</f>
        <v>235.62892659246239</v>
      </c>
      <c r="BY8" s="41">
        <f t="shared" ref="BY8:BY22" si="58">BO8-((BW$1/(BN8*3*$E8))^0.5)*BO8</f>
        <v>508.21099110338059</v>
      </c>
      <c r="BZ8" s="41">
        <f t="shared" ref="BZ8:BZ22" si="59">BO8-((BX$1/(BN8*3*$E8))^0.5)*BO8</f>
        <v>484.77953503234437</v>
      </c>
      <c r="CA8" s="41">
        <f t="shared" ref="CA8:CB20" si="60">BY8-BP8</f>
        <v>173.41548002871281</v>
      </c>
      <c r="CB8" s="41">
        <f t="shared" si="60"/>
        <v>176.97070400612546</v>
      </c>
      <c r="CC8" s="76">
        <f t="shared" ref="CC8:CC22" si="61">($E8*((BO8-BY8)/BO8)^3*BN8*BO8/10^3)+(BW$1*CA8/10^3)</f>
        <v>0.58504000308735182</v>
      </c>
      <c r="CD8" s="70">
        <f t="shared" ref="CD8:CD22" si="62">($E8*((BO8-BZ8)/BO8)^3*BN8*BO8/10^3)+(BX$1*CB8/10^3)</f>
        <v>1.7217508533778769</v>
      </c>
      <c r="CF8" s="43">
        <f t="shared" ref="CF8:CF22" si="63">$H8*$L8</f>
        <v>1933.6611620588417</v>
      </c>
      <c r="CG8" s="43">
        <f t="shared" ref="CG8:CG22" si="64">$G8*$R8</f>
        <v>571.44479564730102</v>
      </c>
      <c r="CH8" s="43">
        <f t="shared" si="28"/>
        <v>334.79551107466779</v>
      </c>
      <c r="CI8" s="43">
        <f t="shared" si="29"/>
        <v>307.80883102621891</v>
      </c>
      <c r="CJ8" s="43">
        <f t="shared" si="30"/>
        <v>9.6059184545509417</v>
      </c>
      <c r="CK8" s="43">
        <f t="shared" si="31"/>
        <v>121.7741072646597</v>
      </c>
      <c r="CL8" s="43">
        <f t="shared" si="32"/>
        <v>13.281198700867165</v>
      </c>
      <c r="CM8" s="43">
        <f t="shared" si="33"/>
        <v>151.13111050636729</v>
      </c>
      <c r="CN8" s="43">
        <f t="shared" si="34"/>
        <v>21.445082368518225</v>
      </c>
      <c r="CO8" s="43">
        <f t="shared" ref="CO8:CO22" si="65">CG8-CH8</f>
        <v>236.64928457263323</v>
      </c>
      <c r="CP8" s="43">
        <f t="shared" ref="CP8:CP22" si="66">CG8-CI8</f>
        <v>263.63596462108211</v>
      </c>
      <c r="CQ8" s="43">
        <f t="shared" ref="CQ8:CQ22" si="67">CG8-((CO$1/(CF8*3*$E8))^0.5)*CG8</f>
        <v>523.57189972397987</v>
      </c>
      <c r="CR8" s="43">
        <f t="shared" ref="CR8:CR22" si="68">CG8-((CP$1/(CF8*3*$E8))^0.5)*CG8</f>
        <v>497.77170007671521</v>
      </c>
      <c r="CS8" s="43">
        <f t="shared" ref="CS8:CT22" si="69">CQ8-CH8</f>
        <v>188.77638864931208</v>
      </c>
      <c r="CT8" s="43">
        <f t="shared" si="69"/>
        <v>189.96286905049629</v>
      </c>
      <c r="CU8" s="76">
        <f t="shared" ref="CU8:CU22" si="70">($E8*((CG8-CQ8)/CG8)^3*CF8*CG8/10^3)+(CO$1*CS8/10^3)</f>
        <v>1.020267322557135</v>
      </c>
      <c r="CV8" s="70">
        <f t="shared" ref="CV8:CV22" si="71">($E8*((CG8-CR8)/CG8)^3*CF8*CG8/10^3)+(CP$1*CT8/10^3)</f>
        <v>2.5318113156375217</v>
      </c>
      <c r="CX8" s="45">
        <f t="shared" ref="CX8:CX22" si="72">$H8*$M8</f>
        <v>2038.9953121375786</v>
      </c>
      <c r="CY8" s="45">
        <f t="shared" ref="CY8:CY22" si="73">$G8*$S8</f>
        <v>573.77839531474342</v>
      </c>
      <c r="CZ8" s="45">
        <f t="shared" ref="CZ8:CZ22" si="74">MIN(CY8,$W8)</f>
        <v>334.79551107466779</v>
      </c>
      <c r="DA8" s="45">
        <f t="shared" ref="DA8:DA22" si="75">MIN(CY8,$X8)</f>
        <v>307.80883102621891</v>
      </c>
      <c r="DB8" s="45">
        <f t="shared" si="35"/>
        <v>10.347125960531336</v>
      </c>
      <c r="DC8" s="45">
        <f t="shared" ref="DC8:DC22" si="76">$E8*3*((CY8-CZ8)/CY8)^2*CX8</f>
        <v>129.88954409978032</v>
      </c>
      <c r="DD8" s="45">
        <f t="shared" ref="DD8:DD22" si="77">$E8*((CY8-DA8)/CY8)^3*CX8*CY8/10^3</f>
        <v>14.263140712477332</v>
      </c>
      <c r="DE8" s="45">
        <f t="shared" ref="DE8:DE22" si="78">$E8*3*((CY8-DA8)/CY8)^2*CX8</f>
        <v>160.88089722557095</v>
      </c>
      <c r="DF8" s="45">
        <f t="shared" ref="DF8:DF22" si="79">CY8/((3*$E8*CX8)^0.5)</f>
        <v>20.969095712066782</v>
      </c>
      <c r="DG8" s="45">
        <f t="shared" ref="DG8:DG22" si="80">CY8-CZ8</f>
        <v>238.98288424007563</v>
      </c>
      <c r="DH8" s="45">
        <f t="shared" ref="DH8:DH22" si="81">CY8-DA8</f>
        <v>265.96956428852451</v>
      </c>
      <c r="DI8" s="45">
        <f t="shared" ref="DI8:DI22" si="82">CY8-((DG$1/(CX8*3*$E8))^0.5)*CY8</f>
        <v>529.45080501262123</v>
      </c>
      <c r="DJ8" s="45">
        <f t="shared" ref="DJ8:DJ22" si="83">CY8-((DH$1/(CX8*3*$E8))^0.5)*CY8</f>
        <v>503.53685146169681</v>
      </c>
      <c r="DK8" s="45">
        <f t="shared" ref="DK8:DL22" si="84">DI8-CZ8</f>
        <v>194.65529393795345</v>
      </c>
      <c r="DL8" s="45">
        <f t="shared" si="84"/>
        <v>195.7280204354779</v>
      </c>
      <c r="DM8" s="76">
        <f t="shared" ref="DM8:DM22" si="85">($E8*((CY8-DI8)/CY8)^3*CX8*CY8/10^3)+(DG$1*DK8/10^3)</f>
        <v>0.93590148235228587</v>
      </c>
      <c r="DN8" s="70">
        <f t="shared" ref="DN8:DN22" si="86">($E8*((CY8-DJ8)/CY8)^3*CX8*CY8/10^3)+(DH$1*DL8/10^3)</f>
        <v>2.4589746580699821</v>
      </c>
      <c r="DP8" s="47">
        <f t="shared" ref="DP8:DP22" si="87">$H8*$N8</f>
        <v>2182.2475674693183</v>
      </c>
      <c r="DQ8" s="47">
        <f t="shared" ref="DQ8:DQ22" si="88">$G8*$T8</f>
        <v>649.1899602846371</v>
      </c>
      <c r="DR8" s="47">
        <f t="shared" ref="DR8:DR22" si="89">MIN(DQ8,$W8)</f>
        <v>334.79551107466779</v>
      </c>
      <c r="DS8" s="47">
        <f t="shared" ref="DS8:DS22" si="90">MIN(DQ8,$X8)</f>
        <v>307.80883102621891</v>
      </c>
      <c r="DT8" s="47">
        <f t="shared" ref="DT8:DT22" si="91">$E8*((DQ8-DR8)/DQ8)^3*DP8*DQ8/10^3</f>
        <v>19.695931933726161</v>
      </c>
      <c r="DU8" s="47">
        <f t="shared" ref="DU8:DU22" si="92">$E8*3*((DQ8-DR8)/DQ8)^2*DP8</f>
        <v>187.94159995400082</v>
      </c>
      <c r="DV8" s="47">
        <f t="shared" ref="DV8:DV22" si="93">$E8*((DQ8-DS8)/DQ8)^3*DP8*DQ8/10^3</f>
        <v>25.215666824012523</v>
      </c>
      <c r="DW8" s="47">
        <f t="shared" ref="DW8:DW22" si="94">$E8*3*((DQ8-DS8)/DQ8)^2*DP8</f>
        <v>221.59104293891542</v>
      </c>
      <c r="DX8" s="47">
        <f t="shared" ref="DX8:DX22" si="95">DQ8/((3*$E8*DP8)^0.5)</f>
        <v>22.933134064833002</v>
      </c>
      <c r="DY8" s="47">
        <f t="shared" ref="DY8:DY22" si="96">DQ8-DR8</f>
        <v>314.39444920996931</v>
      </c>
      <c r="DZ8" s="47">
        <f t="shared" ref="DZ8:DZ22" si="97">DQ8-DS8</f>
        <v>341.38112925841818</v>
      </c>
      <c r="EA8" s="47">
        <f t="shared" ref="EA8:EA22" si="98">DQ8-((DY$1/(DP8*3*$E8))^0.5)*DQ8</f>
        <v>571.31345035490176</v>
      </c>
      <c r="EB8" s="47">
        <f t="shared" ref="EB8:EB22" si="99">DQ8-((DZ$1/(DP8*3*$E8))^0.5)*DQ8</f>
        <v>540.32439586394912</v>
      </c>
      <c r="EC8" s="47">
        <f t="shared" ref="EC8:ED22" si="100">EA8-DR8</f>
        <v>236.51793928023397</v>
      </c>
      <c r="ED8" s="47">
        <f t="shared" si="100"/>
        <v>232.51556483773021</v>
      </c>
      <c r="EE8" s="76">
        <f t="shared" ref="EE8:EE22" si="101">($E8*((DQ8-EA8)/DQ8)^3*DP8*DQ8/10^3)+(DY$1*EC8/10^3)</f>
        <v>3.0267532918602904</v>
      </c>
      <c r="EF8" s="70">
        <f t="shared" ref="EF8:EF22" si="102">($E8*((DQ8-EB8)/DQ8)^3*DP8*DQ8/10^3)+(DZ$1*ED8/10^3)</f>
        <v>6.0574537067076131</v>
      </c>
    </row>
    <row r="9" spans="1:137" x14ac:dyDescent="0.35">
      <c r="A9" s="30" t="str">
        <f>'Data_world regions'!C6</f>
        <v>Japan</v>
      </c>
      <c r="B9" s="30" t="str">
        <f>'Data_world regions'!D6</f>
        <v>JPN</v>
      </c>
      <c r="C9" s="30">
        <f>'Data_world regions'!E6</f>
        <v>0</v>
      </c>
      <c r="D9" s="30">
        <f>'Data_world regions'!F6</f>
        <v>0</v>
      </c>
      <c r="E9" s="31">
        <f>'Data_world regions'!G6</f>
        <v>3.9810327665964554E-2</v>
      </c>
      <c r="F9" s="30">
        <f>'Data_world regions'!H6</f>
        <v>284.44978592059601</v>
      </c>
      <c r="G9" s="30">
        <f>'Data_world regions'!I6</f>
        <v>1042.2240156130638</v>
      </c>
      <c r="H9" s="31">
        <f>'Data_world regions'!J6</f>
        <v>5040.1077540841061</v>
      </c>
      <c r="I9" s="30">
        <f>'Data_world regions'!K6</f>
        <v>1.0840055778407973</v>
      </c>
      <c r="J9" s="30">
        <f>'Data_world regions'!L6</f>
        <v>1.1349615360611738</v>
      </c>
      <c r="K9" s="30">
        <f>'Data_world regions'!M6</f>
        <v>1.1053817683783378</v>
      </c>
      <c r="L9" s="30">
        <f>'Data_world regions'!N6</f>
        <v>1.0472951333306078</v>
      </c>
      <c r="M9" s="30">
        <f>'Data_world regions'!O6</f>
        <v>1.1243943381743213</v>
      </c>
      <c r="N9" s="30">
        <f>'Data_world regions'!P6</f>
        <v>1.1748329442559264</v>
      </c>
      <c r="O9" s="31">
        <f>'Data_world regions'!Q6</f>
        <v>1.3561674241042658</v>
      </c>
      <c r="P9" s="31">
        <f>'Data_world regions'!R6</f>
        <v>0.90947003354549749</v>
      </c>
      <c r="Q9" s="31">
        <f>'Data_world regions'!S6</f>
        <v>1.0160301239037073</v>
      </c>
      <c r="R9" s="31">
        <f>'Data_world regions'!T6</f>
        <v>1.0683930558484569</v>
      </c>
      <c r="S9" s="31">
        <f>'Data_world regions'!U6</f>
        <v>1.0727560349127803</v>
      </c>
      <c r="T9" s="31">
        <f>'Data_world regions'!V6</f>
        <v>1.2137481184144505</v>
      </c>
      <c r="U9" s="30">
        <f>'Data_world regions'!W6</f>
        <v>0.6185764278229714</v>
      </c>
      <c r="V9" s="30">
        <f>'Data_world regions'!X6</f>
        <v>0.57507198284320638</v>
      </c>
      <c r="W9" s="31">
        <f>'Data_world regions'!Y6+Analysis!F11+IF(Template!$J$22="no",0,IF(Analysis!I11=0,0,Analysis!I11))</f>
        <v>882.83520856924179</v>
      </c>
      <c r="X9" s="31">
        <f>'Data_world regions'!Z6+Analysis!F11+IF(Template!$M$22="no",0,IF(Analysis!L11=0,0,Analysis!L11))</f>
        <v>837.49383122541349</v>
      </c>
      <c r="Z9" s="79">
        <f t="shared" si="36"/>
        <v>5463.504918345825</v>
      </c>
      <c r="AA9" s="27">
        <f t="shared" si="37"/>
        <v>1413.4302585935729</v>
      </c>
      <c r="AB9" s="32">
        <f t="shared" si="38"/>
        <v>882.83520856924179</v>
      </c>
      <c r="AC9" s="70">
        <f t="shared" si="39"/>
        <v>837.49383122541349</v>
      </c>
      <c r="AD9" s="76">
        <f t="shared" ref="AD9:AD22" si="103">E9*((AA9-AB9)/AA9)^3*Z9*AA9/10^3</f>
        <v>16.263271190644829</v>
      </c>
      <c r="AE9" s="32">
        <f t="shared" si="4"/>
        <v>91.953013074089469</v>
      </c>
      <c r="AF9" s="33">
        <f t="shared" si="5"/>
        <v>20.798976578608986</v>
      </c>
      <c r="AG9" s="70">
        <f t="shared" si="6"/>
        <v>108.33996040320015</v>
      </c>
      <c r="AH9" s="79">
        <f t="shared" si="7"/>
        <v>55.332489694133386</v>
      </c>
      <c r="AI9" s="32">
        <f t="shared" si="8"/>
        <v>530.59505002433116</v>
      </c>
      <c r="AJ9" s="33">
        <f t="shared" si="9"/>
        <v>575.93642736815946</v>
      </c>
      <c r="AK9" s="32">
        <f t="shared" si="40"/>
        <v>1272.965104669601</v>
      </c>
      <c r="AL9" s="33">
        <f t="shared" si="41"/>
        <v>1204.627605956767</v>
      </c>
      <c r="AM9" s="94">
        <f t="shared" si="10"/>
        <v>390.12989610035925</v>
      </c>
      <c r="AN9" s="95">
        <f t="shared" si="11"/>
        <v>367.13377473135347</v>
      </c>
      <c r="AO9" s="76">
        <f t="shared" si="12"/>
        <v>140.46515392397191</v>
      </c>
      <c r="AP9" s="76">
        <f t="shared" si="13"/>
        <v>6.4443152159570323</v>
      </c>
      <c r="AQ9" s="99">
        <f t="shared" ref="AQ9:AQ22" si="104">$E9*(($AA9-$AK9)/$AA9)^3*$Z9*$AA9/10^3</f>
        <v>0.30173390958133289</v>
      </c>
      <c r="AR9" s="100">
        <f t="shared" si="42"/>
        <v>2.5141200256392846</v>
      </c>
      <c r="AS9" s="99">
        <f t="shared" si="43"/>
        <v>2.8158539352206176</v>
      </c>
      <c r="AT9" s="70">
        <f t="shared" si="44"/>
        <v>6.2191246045062716</v>
      </c>
      <c r="AV9" s="35">
        <f t="shared" si="14"/>
        <v>5720.3284384891294</v>
      </c>
      <c r="AW9" s="35">
        <f t="shared" si="15"/>
        <v>947.8715104415362</v>
      </c>
      <c r="AX9" s="37">
        <f t="shared" si="45"/>
        <v>882.83520856924179</v>
      </c>
      <c r="AY9" s="39">
        <f t="shared" si="46"/>
        <v>837.49383122541349</v>
      </c>
      <c r="AZ9" s="37">
        <f t="shared" si="16"/>
        <v>6.9724481190213294E-2</v>
      </c>
      <c r="BA9" s="37">
        <f t="shared" si="17"/>
        <v>3.2162567296857354</v>
      </c>
      <c r="BB9" s="39">
        <f t="shared" si="18"/>
        <v>0.34084862945138011</v>
      </c>
      <c r="BC9" s="39">
        <f t="shared" si="19"/>
        <v>9.2640640355552843</v>
      </c>
      <c r="BD9" s="35">
        <f t="shared" si="20"/>
        <v>36.264398985827633</v>
      </c>
      <c r="BE9" s="37">
        <f t="shared" si="47"/>
        <v>65.036301872294416</v>
      </c>
      <c r="BF9" s="39">
        <f t="shared" si="48"/>
        <v>110.37767921612271</v>
      </c>
      <c r="BG9" s="37">
        <f t="shared" si="49"/>
        <v>911.42448876651645</v>
      </c>
      <c r="BH9" s="39">
        <f t="shared" si="50"/>
        <v>876.71754149262017</v>
      </c>
      <c r="BI9" s="37">
        <f t="shared" si="51"/>
        <v>28.589280197274661</v>
      </c>
      <c r="BJ9" s="39">
        <f t="shared" si="51"/>
        <v>39.223710267206684</v>
      </c>
      <c r="BK9" s="76">
        <f t="shared" si="52"/>
        <v>4.1149625735896214E-2</v>
      </c>
      <c r="BL9" s="70">
        <f t="shared" si="53"/>
        <v>0.24231246712712104</v>
      </c>
      <c r="BN9" s="41">
        <f t="shared" si="54"/>
        <v>5571.243222026862</v>
      </c>
      <c r="BO9" s="41">
        <f t="shared" si="55"/>
        <v>1058.9309957187606</v>
      </c>
      <c r="BP9" s="41">
        <f t="shared" si="21"/>
        <v>882.83520856924179</v>
      </c>
      <c r="BQ9" s="41">
        <f t="shared" si="22"/>
        <v>837.49383122541349</v>
      </c>
      <c r="BR9" s="41">
        <f t="shared" si="23"/>
        <v>1.0800887639904833</v>
      </c>
      <c r="BS9" s="41">
        <f t="shared" si="24"/>
        <v>18.400589499737524</v>
      </c>
      <c r="BT9" s="41">
        <f t="shared" si="25"/>
        <v>2.1476528597031805</v>
      </c>
      <c r="BU9" s="41">
        <f t="shared" si="26"/>
        <v>29.096103148950469</v>
      </c>
      <c r="BV9" s="41">
        <f t="shared" si="27"/>
        <v>41.05188445147769</v>
      </c>
      <c r="BW9" s="41">
        <f t="shared" si="56"/>
        <v>176.09578714951886</v>
      </c>
      <c r="BX9" s="41">
        <f t="shared" si="57"/>
        <v>221.43716449334715</v>
      </c>
      <c r="BY9" s="41">
        <f t="shared" si="58"/>
        <v>985.95921425987865</v>
      </c>
      <c r="BZ9" s="41">
        <f t="shared" si="59"/>
        <v>937.42126255953212</v>
      </c>
      <c r="CA9" s="41">
        <f t="shared" si="60"/>
        <v>103.12400569063686</v>
      </c>
      <c r="CB9" s="41">
        <f t="shared" si="60"/>
        <v>99.927431334118637</v>
      </c>
      <c r="CC9" s="76">
        <f t="shared" si="61"/>
        <v>0.4026952414887281</v>
      </c>
      <c r="CD9" s="70">
        <f t="shared" si="62"/>
        <v>1.2303195474939941</v>
      </c>
      <c r="CF9" s="43">
        <f t="shared" si="63"/>
        <v>5278.4803223141435</v>
      </c>
      <c r="CG9" s="43">
        <f t="shared" si="64"/>
        <v>1113.5049009194911</v>
      </c>
      <c r="CH9" s="43">
        <f t="shared" si="28"/>
        <v>882.83520856924179</v>
      </c>
      <c r="CI9" s="43">
        <f t="shared" si="29"/>
        <v>837.49383122541349</v>
      </c>
      <c r="CJ9" s="43">
        <f t="shared" si="30"/>
        <v>2.0801373041611848</v>
      </c>
      <c r="CK9" s="43">
        <f t="shared" si="31"/>
        <v>27.053454005600788</v>
      </c>
      <c r="CL9" s="43">
        <f t="shared" si="32"/>
        <v>3.5636897996456196</v>
      </c>
      <c r="CM9" s="43">
        <f t="shared" si="33"/>
        <v>38.734205156287828</v>
      </c>
      <c r="CN9" s="43">
        <f t="shared" si="34"/>
        <v>44.348524581086124</v>
      </c>
      <c r="CO9" s="43">
        <f t="shared" si="65"/>
        <v>230.66969235024931</v>
      </c>
      <c r="CP9" s="43">
        <f t="shared" si="66"/>
        <v>276.01106969407761</v>
      </c>
      <c r="CQ9" s="43">
        <f t="shared" si="67"/>
        <v>1014.5035417668712</v>
      </c>
      <c r="CR9" s="43">
        <f t="shared" si="68"/>
        <v>961.14861551425156</v>
      </c>
      <c r="CS9" s="43">
        <f t="shared" si="69"/>
        <v>131.66833319762941</v>
      </c>
      <c r="CT9" s="43">
        <f t="shared" si="69"/>
        <v>123.65478428883807</v>
      </c>
      <c r="CU9" s="76">
        <f t="shared" si="70"/>
        <v>0.82060705466847883</v>
      </c>
      <c r="CV9" s="70">
        <f t="shared" si="71"/>
        <v>2.0587755736224445</v>
      </c>
      <c r="CX9" s="45">
        <f t="shared" si="72"/>
        <v>5667.0686224806632</v>
      </c>
      <c r="CY9" s="45">
        <f t="shared" si="73"/>
        <v>1118.0521024799459</v>
      </c>
      <c r="CZ9" s="45">
        <f t="shared" si="74"/>
        <v>882.83520856924179</v>
      </c>
      <c r="DA9" s="45">
        <f t="shared" si="75"/>
        <v>837.49383122541349</v>
      </c>
      <c r="DB9" s="45">
        <f t="shared" si="35"/>
        <v>2.3487439291835592</v>
      </c>
      <c r="DC9" s="45">
        <f t="shared" si="76"/>
        <v>29.956316786606543</v>
      </c>
      <c r="DD9" s="45">
        <f t="shared" si="77"/>
        <v>3.9856519317583996</v>
      </c>
      <c r="DE9" s="45">
        <f t="shared" si="78"/>
        <v>42.618439805067894</v>
      </c>
      <c r="DF9" s="45">
        <f t="shared" si="79"/>
        <v>42.975833006691566</v>
      </c>
      <c r="DG9" s="45">
        <f t="shared" si="80"/>
        <v>235.21689391070413</v>
      </c>
      <c r="DH9" s="45">
        <f t="shared" si="81"/>
        <v>280.55827125453243</v>
      </c>
      <c r="DI9" s="45">
        <f t="shared" si="82"/>
        <v>1027.2034009159204</v>
      </c>
      <c r="DJ9" s="45">
        <f t="shared" si="83"/>
        <v>974.09315927079206</v>
      </c>
      <c r="DK9" s="45">
        <f t="shared" si="84"/>
        <v>144.3681923466786</v>
      </c>
      <c r="DL9" s="45">
        <f t="shared" si="84"/>
        <v>136.59932804537857</v>
      </c>
      <c r="DM9" s="76">
        <f t="shared" si="85"/>
        <v>0.78047707304264247</v>
      </c>
      <c r="DN9" s="70">
        <f t="shared" si="86"/>
        <v>2.0712218088044323</v>
      </c>
      <c r="DP9" s="47">
        <f t="shared" si="87"/>
        <v>5921.2846320977551</v>
      </c>
      <c r="DQ9" s="47">
        <f t="shared" si="88"/>
        <v>1264.997437916709</v>
      </c>
      <c r="DR9" s="47">
        <f t="shared" si="89"/>
        <v>882.83520856924179</v>
      </c>
      <c r="DS9" s="47">
        <f t="shared" si="90"/>
        <v>837.49383122541349</v>
      </c>
      <c r="DT9" s="47">
        <f t="shared" si="91"/>
        <v>8.2219661297031745</v>
      </c>
      <c r="DU9" s="47">
        <f t="shared" si="92"/>
        <v>64.543004239916513</v>
      </c>
      <c r="DV9" s="47">
        <f t="shared" si="93"/>
        <v>11.509375180165595</v>
      </c>
      <c r="DW9" s="47">
        <f t="shared" si="94"/>
        <v>80.766863717783494</v>
      </c>
      <c r="DX9" s="47">
        <f t="shared" si="95"/>
        <v>47.568907098804615</v>
      </c>
      <c r="DY9" s="47">
        <f t="shared" si="96"/>
        <v>382.16222934746725</v>
      </c>
      <c r="DZ9" s="47">
        <f t="shared" si="97"/>
        <v>427.50360669129554</v>
      </c>
      <c r="EA9" s="47">
        <f t="shared" si="98"/>
        <v>1103.4625837814683</v>
      </c>
      <c r="EB9" s="47">
        <f t="shared" si="99"/>
        <v>1039.1837351080803</v>
      </c>
      <c r="EC9" s="47">
        <f t="shared" si="100"/>
        <v>220.62737521222653</v>
      </c>
      <c r="ED9" s="47">
        <f t="shared" si="100"/>
        <v>201.68990388266684</v>
      </c>
      <c r="EE9" s="76">
        <f t="shared" si="101"/>
        <v>3.1650800917905504</v>
      </c>
      <c r="EF9" s="70">
        <f t="shared" si="102"/>
        <v>6.2412714625595367</v>
      </c>
    </row>
    <row r="10" spans="1:137" x14ac:dyDescent="0.35">
      <c r="A10" s="30" t="str">
        <f>'Data_world regions'!C7</f>
        <v>South Korea</v>
      </c>
      <c r="B10" s="30" t="str">
        <f>'Data_world regions'!D7</f>
        <v>KOR</v>
      </c>
      <c r="C10" s="30">
        <f>'Data_world regions'!E7</f>
        <v>0</v>
      </c>
      <c r="D10" s="30">
        <f>'Data_world regions'!F7</f>
        <v>0</v>
      </c>
      <c r="E10" s="31">
        <f>'Data_world regions'!G7</f>
        <v>5.4078714664034654E-2</v>
      </c>
      <c r="F10" s="30">
        <f>'Data_world regions'!H7</f>
        <v>163.10978222217801</v>
      </c>
      <c r="G10" s="30">
        <f>'Data_world regions'!I7</f>
        <v>597.63424206206025</v>
      </c>
      <c r="H10" s="31">
        <f>'Data_world regions'!J7</f>
        <v>1637.8958027928966</v>
      </c>
      <c r="I10" s="30">
        <f>'Data_world regions'!K7</f>
        <v>1.3574837009651797</v>
      </c>
      <c r="J10" s="30">
        <f>'Data_world regions'!L7</f>
        <v>1.414085880774504</v>
      </c>
      <c r="K10" s="30">
        <f>'Data_world regions'!M7</f>
        <v>1.3874143085954995</v>
      </c>
      <c r="L10" s="30">
        <f>'Data_world regions'!N7</f>
        <v>1.2685211094221291</v>
      </c>
      <c r="M10" s="30">
        <f>'Data_world regions'!O7</f>
        <v>1.4018620593009103</v>
      </c>
      <c r="N10" s="30">
        <f>'Data_world regions'!P7</f>
        <v>1.4576633159732433</v>
      </c>
      <c r="O10" s="31">
        <f>'Data_world regions'!Q7</f>
        <v>1.6054218992238367</v>
      </c>
      <c r="P10" s="31">
        <f>'Data_world regions'!R7</f>
        <v>0.90947003354549727</v>
      </c>
      <c r="Q10" s="31">
        <f>'Data_world regions'!S7</f>
        <v>1.0160301239037073</v>
      </c>
      <c r="R10" s="31">
        <f>'Data_world regions'!T7</f>
        <v>1.0683930558484569</v>
      </c>
      <c r="S10" s="31">
        <f>'Data_world regions'!U7</f>
        <v>1.0727560349127803</v>
      </c>
      <c r="T10" s="31">
        <f>'Data_world regions'!V7</f>
        <v>1.2137481184144505</v>
      </c>
      <c r="U10" s="30">
        <f>'Data_world regions'!W7</f>
        <v>0.64945342742783274</v>
      </c>
      <c r="V10" s="30">
        <f>'Data_world regions'!X7</f>
        <v>0.64945342742783274</v>
      </c>
      <c r="W10" s="31">
        <f>'Data_world regions'!Y7+Analysis!F12+IF(Template!$J$22="no",0,IF(Analysis!I12=0,0,Analysis!I12))</f>
        <v>407.15560685544006</v>
      </c>
      <c r="X10" s="31">
        <f>'Data_world regions'!Z7+Analysis!F12+IF(Template!$M$22="no",0,IF(Analysis!L12=0,0,Analysis!L12))</f>
        <v>407.15560685544006</v>
      </c>
      <c r="Z10" s="79">
        <f t="shared" si="36"/>
        <v>2223.4168561706351</v>
      </c>
      <c r="AA10" s="27">
        <f t="shared" si="37"/>
        <v>959.45509993247094</v>
      </c>
      <c r="AB10" s="32">
        <f t="shared" si="38"/>
        <v>407.15560685544006</v>
      </c>
      <c r="AC10" s="70">
        <f t="shared" si="39"/>
        <v>407.15560685544006</v>
      </c>
      <c r="AD10" s="76">
        <f t="shared" si="103"/>
        <v>22.00502554770252</v>
      </c>
      <c r="AE10" s="32">
        <f t="shared" si="4"/>
        <v>119.52767922222273</v>
      </c>
      <c r="AF10" s="33">
        <f t="shared" si="5"/>
        <v>22.00502554770252</v>
      </c>
      <c r="AG10" s="70">
        <f t="shared" si="6"/>
        <v>119.52767922222273</v>
      </c>
      <c r="AH10" s="79">
        <f t="shared" si="7"/>
        <v>50.517331435545927</v>
      </c>
      <c r="AI10" s="32">
        <f t="shared" si="8"/>
        <v>552.29949307703089</v>
      </c>
      <c r="AJ10" s="33">
        <f t="shared" si="9"/>
        <v>552.29949307703089</v>
      </c>
      <c r="AK10" s="32">
        <f t="shared" si="40"/>
        <v>831.21354103737917</v>
      </c>
      <c r="AL10" s="33">
        <f t="shared" si="41"/>
        <v>768.82292584844333</v>
      </c>
      <c r="AM10" s="94">
        <f t="shared" si="10"/>
        <v>424.05793418193912</v>
      </c>
      <c r="AN10" s="95">
        <f t="shared" si="11"/>
        <v>361.66731899300328</v>
      </c>
      <c r="AO10" s="76">
        <f t="shared" si="12"/>
        <v>128.24155889509177</v>
      </c>
      <c r="AP10" s="76">
        <f t="shared" si="13"/>
        <v>6.4443152159570358</v>
      </c>
      <c r="AQ10" s="99">
        <f t="shared" si="104"/>
        <v>0.27547634310189673</v>
      </c>
      <c r="AR10" s="100">
        <f t="shared" si="42"/>
        <v>2.7327629976959793</v>
      </c>
      <c r="AS10" s="99">
        <f t="shared" si="43"/>
        <v>3.0082393407978758</v>
      </c>
      <c r="AT10" s="70">
        <f t="shared" si="44"/>
        <v>6.0550324614578885</v>
      </c>
      <c r="AV10" s="35">
        <f t="shared" si="14"/>
        <v>2316.1253289092565</v>
      </c>
      <c r="AW10" s="35">
        <f t="shared" si="15"/>
        <v>543.5304341761198</v>
      </c>
      <c r="AX10" s="37">
        <f t="shared" si="45"/>
        <v>407.15560685544006</v>
      </c>
      <c r="AY10" s="39">
        <f t="shared" si="46"/>
        <v>407.15560685544006</v>
      </c>
      <c r="AZ10" s="37">
        <f t="shared" si="16"/>
        <v>1.0753338681079323</v>
      </c>
      <c r="BA10" s="37">
        <f t="shared" si="17"/>
        <v>23.655403769920007</v>
      </c>
      <c r="BB10" s="39">
        <f t="shared" si="18"/>
        <v>1.0753338681079323</v>
      </c>
      <c r="BC10" s="39">
        <f t="shared" si="19"/>
        <v>23.655403769920007</v>
      </c>
      <c r="BD10" s="35">
        <f t="shared" si="20"/>
        <v>28.039420328068296</v>
      </c>
      <c r="BE10" s="37">
        <f t="shared" si="47"/>
        <v>136.37482732067974</v>
      </c>
      <c r="BF10" s="39">
        <f t="shared" si="48"/>
        <v>136.37482732067974</v>
      </c>
      <c r="BG10" s="37">
        <f t="shared" si="49"/>
        <v>515.34981105724557</v>
      </c>
      <c r="BH10" s="39">
        <f t="shared" si="50"/>
        <v>488.51460324648872</v>
      </c>
      <c r="BI10" s="37">
        <f t="shared" si="51"/>
        <v>108.19420420180552</v>
      </c>
      <c r="BJ10" s="39">
        <f t="shared" si="51"/>
        <v>81.358996391048663</v>
      </c>
      <c r="BK10" s="76">
        <f t="shared" si="52"/>
        <v>0.11877503974716194</v>
      </c>
      <c r="BL10" s="70">
        <f t="shared" si="53"/>
        <v>0.38381507138012971</v>
      </c>
      <c r="BN10" s="41">
        <f t="shared" si="54"/>
        <v>2272.4400727833772</v>
      </c>
      <c r="BO10" s="41">
        <f t="shared" si="55"/>
        <v>607.21439301141322</v>
      </c>
      <c r="BP10" s="41">
        <f t="shared" si="21"/>
        <v>407.15560685544006</v>
      </c>
      <c r="BQ10" s="41">
        <f t="shared" si="22"/>
        <v>407.15560685544006</v>
      </c>
      <c r="BR10" s="41">
        <f t="shared" si="23"/>
        <v>2.6687480418904701</v>
      </c>
      <c r="BS10" s="41">
        <f t="shared" si="24"/>
        <v>40.019457677951976</v>
      </c>
      <c r="BT10" s="41">
        <f t="shared" si="25"/>
        <v>2.6687480418904701</v>
      </c>
      <c r="BU10" s="41">
        <f t="shared" si="26"/>
        <v>40.019457677951976</v>
      </c>
      <c r="BV10" s="41">
        <f t="shared" si="27"/>
        <v>31.624380731541024</v>
      </c>
      <c r="BW10" s="41">
        <f t="shared" si="56"/>
        <v>200.05878615597317</v>
      </c>
      <c r="BX10" s="41">
        <f t="shared" si="57"/>
        <v>200.05878615597317</v>
      </c>
      <c r="BY10" s="41">
        <f t="shared" si="58"/>
        <v>551.00047176640635</v>
      </c>
      <c r="BZ10" s="41">
        <f t="shared" si="59"/>
        <v>513.60918790670382</v>
      </c>
      <c r="CA10" s="41">
        <f t="shared" si="60"/>
        <v>143.84486491096629</v>
      </c>
      <c r="CB10" s="41">
        <f t="shared" si="60"/>
        <v>106.45358105126377</v>
      </c>
      <c r="CC10" s="76">
        <f t="shared" si="61"/>
        <v>0.51371045426194617</v>
      </c>
      <c r="CD10" s="70">
        <f t="shared" si="62"/>
        <v>1.2060044953021514</v>
      </c>
      <c r="CF10" s="43">
        <f t="shared" si="63"/>
        <v>2077.7054008766941</v>
      </c>
      <c r="CG10" s="43">
        <f t="shared" si="64"/>
        <v>638.50827415636093</v>
      </c>
      <c r="CH10" s="43">
        <f t="shared" si="28"/>
        <v>407.15560685544006</v>
      </c>
      <c r="CI10" s="43">
        <f t="shared" si="29"/>
        <v>407.15560685544006</v>
      </c>
      <c r="CJ10" s="43">
        <f t="shared" si="30"/>
        <v>3.4127211447834593</v>
      </c>
      <c r="CK10" s="43">
        <f t="shared" si="31"/>
        <v>44.253492098422967</v>
      </c>
      <c r="CL10" s="43">
        <f t="shared" si="32"/>
        <v>3.4127211447834593</v>
      </c>
      <c r="CM10" s="43">
        <f t="shared" si="33"/>
        <v>44.253492098422967</v>
      </c>
      <c r="CN10" s="43">
        <f t="shared" si="34"/>
        <v>34.777690432174424</v>
      </c>
      <c r="CO10" s="43">
        <f t="shared" si="65"/>
        <v>231.35266730092087</v>
      </c>
      <c r="CP10" s="43">
        <f t="shared" si="66"/>
        <v>231.35266730092087</v>
      </c>
      <c r="CQ10" s="43">
        <f t="shared" si="67"/>
        <v>560.87235157501027</v>
      </c>
      <c r="CR10" s="43">
        <f t="shared" si="68"/>
        <v>519.03192676330252</v>
      </c>
      <c r="CS10" s="43">
        <f t="shared" si="69"/>
        <v>153.71674471957022</v>
      </c>
      <c r="CT10" s="43">
        <f t="shared" si="69"/>
        <v>111.87631990786247</v>
      </c>
      <c r="CU10" s="76">
        <f t="shared" si="70"/>
        <v>0.89499196387141866</v>
      </c>
      <c r="CV10" s="70">
        <f t="shared" si="71"/>
        <v>1.790412265818456</v>
      </c>
      <c r="CX10" s="45">
        <f t="shared" si="72"/>
        <v>2296.1039830235677</v>
      </c>
      <c r="CY10" s="45">
        <f t="shared" si="73"/>
        <v>641.11573984260053</v>
      </c>
      <c r="CZ10" s="45">
        <f t="shared" si="74"/>
        <v>407.15560685544006</v>
      </c>
      <c r="DA10" s="45">
        <f t="shared" si="75"/>
        <v>407.15560685544006</v>
      </c>
      <c r="DB10" s="45">
        <f t="shared" si="35"/>
        <v>3.8687495237563434</v>
      </c>
      <c r="DC10" s="45">
        <f t="shared" si="76"/>
        <v>49.607804642109556</v>
      </c>
      <c r="DD10" s="45">
        <f t="shared" si="77"/>
        <v>3.8687495237563434</v>
      </c>
      <c r="DE10" s="45">
        <f t="shared" si="78"/>
        <v>49.607804642109556</v>
      </c>
      <c r="DF10" s="45">
        <f t="shared" si="79"/>
        <v>33.217493257040182</v>
      </c>
      <c r="DG10" s="45">
        <f t="shared" si="80"/>
        <v>233.96013298716048</v>
      </c>
      <c r="DH10" s="45">
        <f t="shared" si="81"/>
        <v>233.96013298716048</v>
      </c>
      <c r="DI10" s="45">
        <f t="shared" si="82"/>
        <v>570.89566682751808</v>
      </c>
      <c r="DJ10" s="45">
        <f t="shared" si="83"/>
        <v>529.84494202941744</v>
      </c>
      <c r="DK10" s="45">
        <f t="shared" si="84"/>
        <v>163.74005997207803</v>
      </c>
      <c r="DL10" s="45">
        <f t="shared" si="84"/>
        <v>122.68933517397738</v>
      </c>
      <c r="DM10" s="76">
        <f t="shared" si="85"/>
        <v>0.83631740307762281</v>
      </c>
      <c r="DN10" s="70">
        <f t="shared" si="86"/>
        <v>1.7928750580755231</v>
      </c>
      <c r="DP10" s="47">
        <f t="shared" si="87"/>
        <v>2387.5006271177508</v>
      </c>
      <c r="DQ10" s="47">
        <f t="shared" si="88"/>
        <v>725.3774368028719</v>
      </c>
      <c r="DR10" s="47">
        <f t="shared" si="89"/>
        <v>407.15560685544006</v>
      </c>
      <c r="DS10" s="47">
        <f t="shared" si="90"/>
        <v>407.15560685544006</v>
      </c>
      <c r="DT10" s="47">
        <f t="shared" si="91"/>
        <v>7.9073630066335676</v>
      </c>
      <c r="DU10" s="47">
        <f t="shared" si="92"/>
        <v>74.545762695850996</v>
      </c>
      <c r="DV10" s="47">
        <f t="shared" si="93"/>
        <v>7.9073630066335676</v>
      </c>
      <c r="DW10" s="47">
        <f t="shared" si="94"/>
        <v>74.545762695850996</v>
      </c>
      <c r="DX10" s="47">
        <f t="shared" si="95"/>
        <v>36.856873122154106</v>
      </c>
      <c r="DY10" s="47">
        <f t="shared" si="96"/>
        <v>318.22182994743184</v>
      </c>
      <c r="DZ10" s="47">
        <f t="shared" si="97"/>
        <v>318.22182994743184</v>
      </c>
      <c r="EA10" s="47">
        <f t="shared" si="98"/>
        <v>600.21858858081873</v>
      </c>
      <c r="EB10" s="47">
        <f t="shared" si="99"/>
        <v>550.41468274223496</v>
      </c>
      <c r="EC10" s="47">
        <f t="shared" si="100"/>
        <v>193.06298172537868</v>
      </c>
      <c r="ED10" s="47">
        <f t="shared" si="100"/>
        <v>143.2590758867949</v>
      </c>
      <c r="EE10" s="76">
        <f t="shared" si="101"/>
        <v>2.7073976288401465</v>
      </c>
      <c r="EF10" s="70">
        <f t="shared" si="102"/>
        <v>4.5425703829369217</v>
      </c>
    </row>
    <row r="11" spans="1:137" x14ac:dyDescent="0.35">
      <c r="A11" s="30" t="str">
        <f>'Data_world regions'!C8</f>
        <v>Russia</v>
      </c>
      <c r="B11" s="30" t="str">
        <f>'Data_world regions'!D8</f>
        <v>RUS</v>
      </c>
      <c r="C11" s="30">
        <f>'Data_world regions'!E8</f>
        <v>0</v>
      </c>
      <c r="D11" s="30">
        <f>'Data_world regions'!F8</f>
        <v>0</v>
      </c>
      <c r="E11" s="31">
        <f>'Data_world regions'!G8</f>
        <v>8.1395048509893472E-2</v>
      </c>
      <c r="F11" s="30">
        <f>'Data_world regions'!H8</f>
        <v>443.29187530584198</v>
      </c>
      <c r="G11" s="30">
        <f>'Data_world regions'!I8</f>
        <v>1624.2214311206051</v>
      </c>
      <c r="H11" s="31">
        <f>'Data_world regions'!J8</f>
        <v>1488.3218754897377</v>
      </c>
      <c r="I11" s="30">
        <f>'Data_world regions'!K8</f>
        <v>1.1171967272754229</v>
      </c>
      <c r="J11" s="30">
        <f>'Data_world regions'!L8</f>
        <v>1.4548504041547623</v>
      </c>
      <c r="K11" s="30">
        <f>'Data_world regions'!M8</f>
        <v>1.4065686993567248</v>
      </c>
      <c r="L11" s="30">
        <f>'Data_world regions'!N8</f>
        <v>1.3021366919447381</v>
      </c>
      <c r="M11" s="30">
        <f>'Data_world regions'!O8</f>
        <v>1.4080920055580388</v>
      </c>
      <c r="N11" s="30">
        <f>'Data_world regions'!P8</f>
        <v>1.5342057301372536</v>
      </c>
      <c r="O11" s="31">
        <f>'Data_world regions'!Q8</f>
        <v>1.201997037475719</v>
      </c>
      <c r="P11" s="31">
        <f>'Data_world regions'!R8</f>
        <v>1.0901307546951258</v>
      </c>
      <c r="Q11" s="31">
        <f>'Data_world regions'!S8</f>
        <v>1.0599826962241754</v>
      </c>
      <c r="R11" s="31">
        <f>'Data_world regions'!T8</f>
        <v>1.1372607799723293</v>
      </c>
      <c r="S11" s="31">
        <f>'Data_world regions'!U8</f>
        <v>1.0615175586333341</v>
      </c>
      <c r="T11" s="31">
        <f>'Data_world regions'!V8</f>
        <v>1.1250789639924195</v>
      </c>
      <c r="U11" s="30">
        <f>'Data_world regions'!W8</f>
        <v>1.0776972523070116</v>
      </c>
      <c r="V11" s="30">
        <f>'Data_world regions'!X8</f>
        <v>1.0776972523070116</v>
      </c>
      <c r="W11" s="31">
        <f>'Data_world regions'!Y8+Analysis!F13+IF(Template!$J$22="no",0,IF(Analysis!I13=0,0,Analysis!I13))</f>
        <v>1750.4189734568383</v>
      </c>
      <c r="X11" s="31">
        <f>'Data_world regions'!Z8+Analysis!F13+IF(Template!$M$22="no",0,IF(Analysis!L13=0,0,Analysis!L13))</f>
        <v>1750.4189734568383</v>
      </c>
      <c r="Z11" s="79">
        <f t="shared" si="36"/>
        <v>1662.7483284295545</v>
      </c>
      <c r="AA11" s="27">
        <f t="shared" si="37"/>
        <v>1952.3093484115398</v>
      </c>
      <c r="AB11" s="32">
        <f t="shared" si="38"/>
        <v>1750.4189734568383</v>
      </c>
      <c r="AC11" s="70">
        <f t="shared" si="39"/>
        <v>1750.4189734568383</v>
      </c>
      <c r="AD11" s="76">
        <f t="shared" si="103"/>
        <v>0.29219587619832293</v>
      </c>
      <c r="AE11" s="32">
        <f t="shared" si="4"/>
        <v>4.3418990568106617</v>
      </c>
      <c r="AF11" s="33">
        <f t="shared" si="5"/>
        <v>0.29219587619832293</v>
      </c>
      <c r="AG11" s="70">
        <f t="shared" si="6"/>
        <v>4.3418990568106617</v>
      </c>
      <c r="AH11" s="79">
        <f t="shared" si="7"/>
        <v>96.889285525727715</v>
      </c>
      <c r="AI11" s="32">
        <f t="shared" si="8"/>
        <v>201.89037495470143</v>
      </c>
      <c r="AJ11" s="33">
        <f t="shared" si="9"/>
        <v>201.89037495470143</v>
      </c>
      <c r="AK11" s="32">
        <f t="shared" si="40"/>
        <v>1706.3495428762042</v>
      </c>
      <c r="AL11" s="33">
        <f t="shared" si="41"/>
        <v>1586.6879939109886</v>
      </c>
      <c r="AM11" s="94">
        <f t="shared" si="10"/>
        <v>-44.069430580634162</v>
      </c>
      <c r="AN11" s="95">
        <f t="shared" si="11"/>
        <v>-163.73097954584978</v>
      </c>
      <c r="AO11" s="76">
        <f t="shared" si="12"/>
        <v>245.95980553533559</v>
      </c>
      <c r="AP11" s="76">
        <f t="shared" si="13"/>
        <v>6.4443152159570376</v>
      </c>
      <c r="AQ11" s="99">
        <f t="shared" si="104"/>
        <v>0.52834750577506573</v>
      </c>
      <c r="AR11" s="100">
        <f t="shared" si="42"/>
        <v>-0.2839973020493432</v>
      </c>
      <c r="AS11" s="99">
        <f t="shared" si="43"/>
        <v>0.24435020372572253</v>
      </c>
      <c r="AT11" s="70">
        <f t="shared" si="44"/>
        <v>-0.5960486629129258</v>
      </c>
      <c r="AV11" s="35">
        <f t="shared" si="14"/>
        <v>2165.2856820686188</v>
      </c>
      <c r="AW11" s="35">
        <f t="shared" si="15"/>
        <v>1770.6137344995025</v>
      </c>
      <c r="AX11" s="37">
        <f t="shared" si="45"/>
        <v>1750.4189734568383</v>
      </c>
      <c r="AY11" s="39">
        <f t="shared" si="46"/>
        <v>1750.4189734568383</v>
      </c>
      <c r="AZ11" s="37">
        <f t="shared" si="16"/>
        <v>4.6300074429433057E-4</v>
      </c>
      <c r="BA11" s="37">
        <f t="shared" si="17"/>
        <v>6.8780325251115298E-2</v>
      </c>
      <c r="BB11" s="39">
        <f t="shared" si="18"/>
        <v>4.6300074429433057E-4</v>
      </c>
      <c r="BC11" s="39">
        <f t="shared" si="19"/>
        <v>6.8780325251115298E-2</v>
      </c>
      <c r="BD11" s="35">
        <f t="shared" si="20"/>
        <v>77.002815722451814</v>
      </c>
      <c r="BE11" s="37">
        <f t="shared" si="47"/>
        <v>20.19476104266414</v>
      </c>
      <c r="BF11" s="39">
        <f t="shared" si="48"/>
        <v>20.19476104266414</v>
      </c>
      <c r="BG11" s="37">
        <f t="shared" si="49"/>
        <v>1693.2231428404332</v>
      </c>
      <c r="BH11" s="39">
        <f t="shared" si="50"/>
        <v>1619.5273767458364</v>
      </c>
      <c r="BI11" s="37">
        <f t="shared" si="51"/>
        <v>-57.195830616405146</v>
      </c>
      <c r="BJ11" s="39">
        <f t="shared" si="51"/>
        <v>-130.89159671100197</v>
      </c>
      <c r="BK11" s="76">
        <f t="shared" si="52"/>
        <v>-3.1716005045629055E-2</v>
      </c>
      <c r="BL11" s="70">
        <f t="shared" si="53"/>
        <v>-0.31002175641136004</v>
      </c>
      <c r="BN11" s="41">
        <f t="shared" si="54"/>
        <v>2093.4269646317616</v>
      </c>
      <c r="BO11" s="41">
        <f t="shared" si="55"/>
        <v>1721.6466118243077</v>
      </c>
      <c r="BP11" s="41">
        <f t="shared" si="21"/>
        <v>1721.6466118243077</v>
      </c>
      <c r="BQ11" s="41">
        <f t="shared" si="22"/>
        <v>1721.6466118243077</v>
      </c>
      <c r="BR11" s="41">
        <f t="shared" si="23"/>
        <v>0</v>
      </c>
      <c r="BS11" s="41">
        <f t="shared" si="24"/>
        <v>0</v>
      </c>
      <c r="BT11" s="41">
        <f t="shared" si="25"/>
        <v>0</v>
      </c>
      <c r="BU11" s="41">
        <f t="shared" si="26"/>
        <v>0</v>
      </c>
      <c r="BV11" s="41">
        <f t="shared" si="27"/>
        <v>76.147471104112284</v>
      </c>
      <c r="BW11" s="41">
        <f t="shared" si="56"/>
        <v>0</v>
      </c>
      <c r="BX11" s="41">
        <f t="shared" si="57"/>
        <v>0</v>
      </c>
      <c r="BY11" s="41">
        <f t="shared" si="58"/>
        <v>1586.2906666758311</v>
      </c>
      <c r="BZ11" s="41">
        <f t="shared" si="59"/>
        <v>1496.2572291384249</v>
      </c>
      <c r="CA11" s="41">
        <f t="shared" si="60"/>
        <v>-135.35594514847662</v>
      </c>
      <c r="CB11" s="41">
        <f t="shared" si="60"/>
        <v>-225.38938268588277</v>
      </c>
      <c r="CC11" s="76">
        <f t="shared" si="61"/>
        <v>-0.28512137624803657</v>
      </c>
      <c r="CD11" s="70">
        <f t="shared" si="62"/>
        <v>-1.3164310997496695</v>
      </c>
      <c r="CF11" s="43">
        <f t="shared" si="63"/>
        <v>1937.9985234991955</v>
      </c>
      <c r="CG11" s="43">
        <f t="shared" si="64"/>
        <v>1847.1633316039922</v>
      </c>
      <c r="CH11" s="43">
        <f t="shared" si="28"/>
        <v>1750.4189734568383</v>
      </c>
      <c r="CI11" s="43">
        <f t="shared" si="29"/>
        <v>1750.4189734568383</v>
      </c>
      <c r="CJ11" s="43">
        <f t="shared" si="30"/>
        <v>4.1861787962104061E-2</v>
      </c>
      <c r="CK11" s="43">
        <f t="shared" si="31"/>
        <v>1.2981156347669331</v>
      </c>
      <c r="CL11" s="43">
        <f t="shared" si="32"/>
        <v>4.1861787962104061E-2</v>
      </c>
      <c r="CM11" s="43">
        <f t="shared" si="33"/>
        <v>1.2981156347669331</v>
      </c>
      <c r="CN11" s="43">
        <f t="shared" si="34"/>
        <v>84.91197790622806</v>
      </c>
      <c r="CO11" s="43">
        <f t="shared" si="65"/>
        <v>96.744358147153889</v>
      </c>
      <c r="CP11" s="43">
        <f t="shared" si="66"/>
        <v>96.744358147153889</v>
      </c>
      <c r="CQ11" s="43">
        <f t="shared" si="67"/>
        <v>1657.610211168527</v>
      </c>
      <c r="CR11" s="43">
        <f t="shared" si="68"/>
        <v>1555.4541110063351</v>
      </c>
      <c r="CS11" s="43">
        <f t="shared" si="69"/>
        <v>-92.8087622883113</v>
      </c>
      <c r="CT11" s="43">
        <f t="shared" si="69"/>
        <v>-194.96486245050323</v>
      </c>
      <c r="CU11" s="76">
        <f t="shared" si="70"/>
        <v>-0.14762957207261018</v>
      </c>
      <c r="CV11" s="70">
        <f t="shared" si="71"/>
        <v>-1.1534092628369201</v>
      </c>
      <c r="CX11" s="45">
        <f t="shared" si="72"/>
        <v>2095.6941345742466</v>
      </c>
      <c r="CY11" s="45">
        <f t="shared" si="73"/>
        <v>1724.1395682430848</v>
      </c>
      <c r="CZ11" s="45">
        <f t="shared" si="74"/>
        <v>1724.1395682430848</v>
      </c>
      <c r="DA11" s="45">
        <f t="shared" si="75"/>
        <v>1724.1395682430848</v>
      </c>
      <c r="DB11" s="45">
        <f t="shared" si="35"/>
        <v>0</v>
      </c>
      <c r="DC11" s="45">
        <f t="shared" si="76"/>
        <v>0</v>
      </c>
      <c r="DD11" s="45">
        <f t="shared" si="77"/>
        <v>0</v>
      </c>
      <c r="DE11" s="45">
        <f t="shared" si="78"/>
        <v>0</v>
      </c>
      <c r="DF11" s="45">
        <f t="shared" si="79"/>
        <v>76.216473334878017</v>
      </c>
      <c r="DG11" s="45">
        <f t="shared" si="80"/>
        <v>0</v>
      </c>
      <c r="DH11" s="45">
        <f t="shared" si="81"/>
        <v>0</v>
      </c>
      <c r="DI11" s="45">
        <f t="shared" si="82"/>
        <v>1563.0218619455777</v>
      </c>
      <c r="DJ11" s="45">
        <f t="shared" si="83"/>
        <v>1468.8322899709151</v>
      </c>
      <c r="DK11" s="45">
        <f t="shared" si="84"/>
        <v>-161.11770629750708</v>
      </c>
      <c r="DL11" s="45">
        <f t="shared" si="84"/>
        <v>-255.3072782721697</v>
      </c>
      <c r="DM11" s="76">
        <f t="shared" si="85"/>
        <v>-0.47999957615093974</v>
      </c>
      <c r="DN11" s="70">
        <f t="shared" si="86"/>
        <v>-1.9098560274049379</v>
      </c>
      <c r="DP11" s="47">
        <f t="shared" si="87"/>
        <v>2283.3919496649796</v>
      </c>
      <c r="DQ11" s="47">
        <f t="shared" si="88"/>
        <v>1827.3773650194553</v>
      </c>
      <c r="DR11" s="47">
        <f t="shared" si="89"/>
        <v>1750.4189734568383</v>
      </c>
      <c r="DS11" s="47">
        <f t="shared" si="90"/>
        <v>1750.4189734568383</v>
      </c>
      <c r="DT11" s="47">
        <f t="shared" si="91"/>
        <v>2.5368215396222221E-2</v>
      </c>
      <c r="DU11" s="47">
        <f t="shared" si="92"/>
        <v>0.98890640310153011</v>
      </c>
      <c r="DV11" s="47">
        <f t="shared" si="93"/>
        <v>2.5368215396222221E-2</v>
      </c>
      <c r="DW11" s="47">
        <f t="shared" si="94"/>
        <v>0.98890640310153011</v>
      </c>
      <c r="DX11" s="47">
        <f t="shared" si="95"/>
        <v>77.388849070611045</v>
      </c>
      <c r="DY11" s="47">
        <f t="shared" si="96"/>
        <v>76.958391562616953</v>
      </c>
      <c r="DZ11" s="47">
        <f t="shared" si="97"/>
        <v>76.958391562616953</v>
      </c>
      <c r="EA11" s="47">
        <f t="shared" si="98"/>
        <v>1564.5797266303771</v>
      </c>
      <c r="EB11" s="47">
        <f t="shared" si="99"/>
        <v>1460.00582695921</v>
      </c>
      <c r="EC11" s="47">
        <f t="shared" si="100"/>
        <v>-185.83924682646125</v>
      </c>
      <c r="ED11" s="47">
        <f t="shared" si="100"/>
        <v>-290.4131464976283</v>
      </c>
      <c r="EE11" s="76">
        <f t="shared" si="101"/>
        <v>-1.1328558320899402</v>
      </c>
      <c r="EF11" s="70">
        <f t="shared" si="102"/>
        <v>-3.7848587411843777</v>
      </c>
    </row>
    <row r="12" spans="1:137" x14ac:dyDescent="0.35">
      <c r="A12" s="30" t="str">
        <f>'Data_world regions'!C9</f>
        <v>China</v>
      </c>
      <c r="B12" s="30" t="str">
        <f>'Data_world regions'!D9</f>
        <v>CHN</v>
      </c>
      <c r="C12" s="30">
        <f>'Data_world regions'!E9</f>
        <v>0</v>
      </c>
      <c r="D12" s="30">
        <f>'Data_world regions'!F9</f>
        <v>0</v>
      </c>
      <c r="E12" s="31">
        <f>'Data_world regions'!G9</f>
        <v>2.9863984230625112E-3</v>
      </c>
      <c r="F12" s="30">
        <f>'Data_world regions'!H9</f>
        <v>2990.2329064362998</v>
      </c>
      <c r="G12" s="30">
        <f>'Data_world regions'!I9</f>
        <v>10956.213369182602</v>
      </c>
      <c r="H12" s="31">
        <f>'Data_world regions'!J9</f>
        <v>14687.673892881985</v>
      </c>
      <c r="I12" s="30">
        <f>'Data_world regions'!K9</f>
        <v>1.5578423880644019</v>
      </c>
      <c r="J12" s="30">
        <f>'Data_world regions'!L9</f>
        <v>2.0489306940081149</v>
      </c>
      <c r="K12" s="30">
        <f>'Data_world regions'!M9</f>
        <v>1.9187833095795357</v>
      </c>
      <c r="L12" s="30">
        <f>'Data_world regions'!N9</f>
        <v>1.5661000541957077</v>
      </c>
      <c r="M12" s="30">
        <f>'Data_world regions'!O9</f>
        <v>1.9187253721058406</v>
      </c>
      <c r="N12" s="30">
        <f>'Data_world regions'!P9</f>
        <v>2.162413361753833</v>
      </c>
      <c r="O12" s="31">
        <f>'Data_world regions'!Q9</f>
        <v>1.1970479120810882</v>
      </c>
      <c r="P12" s="31">
        <f>'Data_world regions'!R9</f>
        <v>1.154133732123878</v>
      </c>
      <c r="Q12" s="31">
        <f>'Data_world regions'!S9</f>
        <v>1.2154822023485663</v>
      </c>
      <c r="R12" s="31">
        <f>'Data_world regions'!T9</f>
        <v>1.2953811605285075</v>
      </c>
      <c r="S12" s="31">
        <f>'Data_world regions'!U9</f>
        <v>1.2357210310006459</v>
      </c>
      <c r="T12" s="31">
        <f>'Data_world regions'!V9</f>
        <v>1.3448954049704989</v>
      </c>
      <c r="U12" s="30">
        <f>'Data_world regions'!W9</f>
        <v>1.1235057722432191</v>
      </c>
      <c r="V12" s="30">
        <f>'Data_world regions'!X9</f>
        <v>1.0457572052349058</v>
      </c>
      <c r="W12" s="31">
        <f>'Data_world regions'!Y9+Analysis!F14+IF(Template!$J$22="no",0,IF(Analysis!I14=0,0,Analysis!I14))</f>
        <v>12309.368962204981</v>
      </c>
      <c r="X12" s="31">
        <f>'Data_world regions'!Z9+Analysis!F14+IF(Template!$M$22="no",0,IF(Analysis!L14=0,0,Analysis!L14))</f>
        <v>11457.539072913709</v>
      </c>
      <c r="Z12" s="79">
        <f t="shared" si="36"/>
        <v>22881.080972398442</v>
      </c>
      <c r="AA12" s="27">
        <f t="shared" si="37"/>
        <v>13115.112337894938</v>
      </c>
      <c r="AB12" s="32">
        <f t="shared" si="38"/>
        <v>12309.368962204981</v>
      </c>
      <c r="AC12" s="70">
        <f t="shared" si="39"/>
        <v>11457.539072913709</v>
      </c>
      <c r="AD12" s="76">
        <f t="shared" si="103"/>
        <v>0.20781193532827574</v>
      </c>
      <c r="AE12" s="32">
        <f t="shared" si="4"/>
        <v>0.77373990875318055</v>
      </c>
      <c r="AF12" s="33">
        <f t="shared" si="5"/>
        <v>1.8092494777399446</v>
      </c>
      <c r="AG12" s="70">
        <f t="shared" si="6"/>
        <v>3.2745149477789743</v>
      </c>
      <c r="AH12" s="79">
        <f t="shared" si="7"/>
        <v>916.00795386807397</v>
      </c>
      <c r="AI12" s="32">
        <f t="shared" si="8"/>
        <v>805.74337568995725</v>
      </c>
      <c r="AJ12" s="33">
        <f t="shared" si="9"/>
        <v>1657.5732649812289</v>
      </c>
      <c r="AK12" s="32">
        <f t="shared" si="40"/>
        <v>10789.766073034863</v>
      </c>
      <c r="AL12" s="33">
        <f t="shared" si="41"/>
        <v>9658.4652276466932</v>
      </c>
      <c r="AM12" s="94">
        <f t="shared" si="10"/>
        <v>-1519.6028891701171</v>
      </c>
      <c r="AN12" s="95">
        <f t="shared" si="11"/>
        <v>-1799.0738452670157</v>
      </c>
      <c r="AO12" s="76">
        <f t="shared" si="12"/>
        <v>2325.3462648600744</v>
      </c>
      <c r="AP12" s="76">
        <f t="shared" si="13"/>
        <v>6.4443152159570403</v>
      </c>
      <c r="AQ12" s="99">
        <f t="shared" si="104"/>
        <v>4.9950881056688834</v>
      </c>
      <c r="AR12" s="100">
        <f t="shared" si="42"/>
        <v>-9.7928000208912653</v>
      </c>
      <c r="AS12" s="99">
        <f t="shared" si="43"/>
        <v>-4.7977119152223819</v>
      </c>
      <c r="AT12" s="70">
        <f t="shared" si="44"/>
        <v>-9.2112940963764096</v>
      </c>
      <c r="AV12" s="35">
        <f t="shared" si="14"/>
        <v>30094.025862707556</v>
      </c>
      <c r="AW12" s="35">
        <f t="shared" si="15"/>
        <v>12644.935425720245</v>
      </c>
      <c r="AX12" s="37">
        <f t="shared" si="45"/>
        <v>12309.368962204981</v>
      </c>
      <c r="AY12" s="39">
        <f t="shared" si="46"/>
        <v>11457.539072913709</v>
      </c>
      <c r="AZ12" s="37">
        <f t="shared" si="16"/>
        <v>2.1238823637608227E-2</v>
      </c>
      <c r="BA12" s="37">
        <f t="shared" si="17"/>
        <v>0.18987735021359287</v>
      </c>
      <c r="BB12" s="39">
        <f t="shared" si="18"/>
        <v>0.94098334699861519</v>
      </c>
      <c r="BC12" s="39">
        <f t="shared" si="19"/>
        <v>2.3774285935134518</v>
      </c>
      <c r="BD12" s="35">
        <f t="shared" si="20"/>
        <v>770.09086154784268</v>
      </c>
      <c r="BE12" s="37">
        <f t="shared" si="47"/>
        <v>335.56646351526433</v>
      </c>
      <c r="BF12" s="39">
        <f t="shared" si="48"/>
        <v>1187.396352806536</v>
      </c>
      <c r="BG12" s="37">
        <f t="shared" si="49"/>
        <v>11870.966489035598</v>
      </c>
      <c r="BH12" s="39">
        <f t="shared" si="50"/>
        <v>11133.948816736778</v>
      </c>
      <c r="BI12" s="37">
        <f t="shared" si="51"/>
        <v>-438.40247316938257</v>
      </c>
      <c r="BJ12" s="39">
        <f t="shared" si="51"/>
        <v>-323.59025617693078</v>
      </c>
      <c r="BK12" s="76">
        <f t="shared" si="52"/>
        <v>-0.18223447286978284</v>
      </c>
      <c r="BL12" s="70">
        <f t="shared" si="53"/>
        <v>0.6932395812536396</v>
      </c>
      <c r="BN12" s="41">
        <f t="shared" si="54"/>
        <v>28182.463522209036</v>
      </c>
      <c r="BO12" s="41">
        <f t="shared" si="55"/>
        <v>13317.082355374874</v>
      </c>
      <c r="BP12" s="41">
        <f t="shared" si="21"/>
        <v>12309.368962204981</v>
      </c>
      <c r="BQ12" s="41">
        <f t="shared" si="22"/>
        <v>11457.539072913709</v>
      </c>
      <c r="BR12" s="41">
        <f t="shared" si="23"/>
        <v>0.48564578311251488</v>
      </c>
      <c r="BS12" s="41">
        <f t="shared" si="24"/>
        <v>1.4457854378163602</v>
      </c>
      <c r="BT12" s="41">
        <f t="shared" si="25"/>
        <v>3.0515985810301309</v>
      </c>
      <c r="BU12" s="41">
        <f t="shared" si="26"/>
        <v>4.9231420582874117</v>
      </c>
      <c r="BV12" s="41">
        <f t="shared" si="27"/>
        <v>838.07928760906543</v>
      </c>
      <c r="BW12" s="41">
        <f t="shared" si="56"/>
        <v>1007.7133931698936</v>
      </c>
      <c r="BX12" s="41">
        <f t="shared" si="57"/>
        <v>1859.5432824611653</v>
      </c>
      <c r="BY12" s="41">
        <f t="shared" si="58"/>
        <v>11827.354430877054</v>
      </c>
      <c r="BZ12" s="41">
        <f t="shared" si="59"/>
        <v>10836.446156468584</v>
      </c>
      <c r="CA12" s="41">
        <f t="shared" si="60"/>
        <v>-482.01453132792631</v>
      </c>
      <c r="CB12" s="41">
        <f t="shared" si="60"/>
        <v>-621.0929164451245</v>
      </c>
      <c r="CC12" s="76">
        <f t="shared" si="61"/>
        <v>4.600956545711532E-2</v>
      </c>
      <c r="CD12" s="70">
        <f t="shared" si="62"/>
        <v>1.802898913410516</v>
      </c>
      <c r="CF12" s="43">
        <f t="shared" si="63"/>
        <v>23002.366879651359</v>
      </c>
      <c r="CG12" s="43">
        <f t="shared" si="64"/>
        <v>14192.472389169709</v>
      </c>
      <c r="CH12" s="43">
        <f t="shared" si="28"/>
        <v>12309.368962204981</v>
      </c>
      <c r="CI12" s="43">
        <f t="shared" si="29"/>
        <v>11457.539072913709</v>
      </c>
      <c r="CJ12" s="43">
        <f t="shared" si="30"/>
        <v>2.277333730887749</v>
      </c>
      <c r="CK12" s="43">
        <f t="shared" si="31"/>
        <v>3.6280541444690466</v>
      </c>
      <c r="CL12" s="43">
        <f t="shared" si="32"/>
        <v>6.9766089829345326</v>
      </c>
      <c r="CM12" s="43">
        <f t="shared" si="33"/>
        <v>7.6527741369049487</v>
      </c>
      <c r="CN12" s="43">
        <f t="shared" si="34"/>
        <v>988.63798755820756</v>
      </c>
      <c r="CO12" s="43">
        <f t="shared" si="65"/>
        <v>1883.103426964728</v>
      </c>
      <c r="CP12" s="43">
        <f t="shared" si="66"/>
        <v>2734.9333162559997</v>
      </c>
      <c r="CQ12" s="43">
        <f t="shared" si="67"/>
        <v>11985.487931339154</v>
      </c>
      <c r="CR12" s="43">
        <f t="shared" si="68"/>
        <v>10796.075038464631</v>
      </c>
      <c r="CS12" s="43">
        <f t="shared" si="69"/>
        <v>-323.88103086582669</v>
      </c>
      <c r="CT12" s="43">
        <f t="shared" si="69"/>
        <v>-661.4640344490781</v>
      </c>
      <c r="CU12" s="76">
        <f t="shared" si="70"/>
        <v>2.0520582808050092</v>
      </c>
      <c r="CV12" s="70">
        <f t="shared" si="71"/>
        <v>5.554915477225034</v>
      </c>
      <c r="CX12" s="45">
        <f t="shared" si="72"/>
        <v>28181.612555489228</v>
      </c>
      <c r="CY12" s="45">
        <f t="shared" si="73"/>
        <v>13538.823280429386</v>
      </c>
      <c r="CZ12" s="45">
        <f t="shared" si="74"/>
        <v>12309.368962204981</v>
      </c>
      <c r="DA12" s="45">
        <f t="shared" si="75"/>
        <v>11457.539072913709</v>
      </c>
      <c r="DB12" s="45">
        <f t="shared" si="35"/>
        <v>0.85327483684119398</v>
      </c>
      <c r="DC12" s="45">
        <f t="shared" si="76"/>
        <v>2.0820818411704103</v>
      </c>
      <c r="DD12" s="45">
        <f t="shared" si="77"/>
        <v>4.1394812050135705</v>
      </c>
      <c r="DE12" s="45">
        <f t="shared" si="78"/>
        <v>5.9667216856769292</v>
      </c>
      <c r="DF12" s="45">
        <f t="shared" si="79"/>
        <v>852.04689554803622</v>
      </c>
      <c r="DG12" s="45">
        <f t="shared" si="80"/>
        <v>1229.4543182244051</v>
      </c>
      <c r="DH12" s="45">
        <f t="shared" si="81"/>
        <v>2081.2842075156768</v>
      </c>
      <c r="DI12" s="45">
        <f t="shared" si="82"/>
        <v>11737.639947458383</v>
      </c>
      <c r="DJ12" s="45">
        <f t="shared" si="83"/>
        <v>10684.666372554282</v>
      </c>
      <c r="DK12" s="45">
        <f t="shared" si="84"/>
        <v>-571.72901474659739</v>
      </c>
      <c r="DL12" s="45">
        <f t="shared" si="84"/>
        <v>-772.87270035942674</v>
      </c>
      <c r="DM12" s="76">
        <f t="shared" si="85"/>
        <v>0.12809945936455458</v>
      </c>
      <c r="DN12" s="70">
        <f t="shared" si="86"/>
        <v>2.0030804154744981</v>
      </c>
      <c r="DP12" s="47">
        <f t="shared" si="87"/>
        <v>31760.822279050943</v>
      </c>
      <c r="DQ12" s="47">
        <f t="shared" si="88"/>
        <v>14734.96101609003</v>
      </c>
      <c r="DR12" s="47">
        <f t="shared" si="89"/>
        <v>12309.368962204981</v>
      </c>
      <c r="DS12" s="47">
        <f t="shared" si="90"/>
        <v>11457.539072913709</v>
      </c>
      <c r="DT12" s="47">
        <f t="shared" si="91"/>
        <v>6.2344017705945269</v>
      </c>
      <c r="DU12" s="47">
        <f t="shared" si="92"/>
        <v>7.7107794288107163</v>
      </c>
      <c r="DV12" s="47">
        <f t="shared" si="93"/>
        <v>15.379371018978297</v>
      </c>
      <c r="DW12" s="47">
        <f t="shared" si="94"/>
        <v>14.077562748060455</v>
      </c>
      <c r="DX12" s="47">
        <f t="shared" si="95"/>
        <v>873.51148841949998</v>
      </c>
      <c r="DY12" s="47">
        <f t="shared" si="96"/>
        <v>2425.5920538850496</v>
      </c>
      <c r="DZ12" s="47">
        <f t="shared" si="97"/>
        <v>3277.4219431763213</v>
      </c>
      <c r="EA12" s="47">
        <f t="shared" si="98"/>
        <v>11768.684103857864</v>
      </c>
      <c r="EB12" s="47">
        <f t="shared" si="99"/>
        <v>10588.326677063129</v>
      </c>
      <c r="EC12" s="47">
        <f t="shared" si="100"/>
        <v>-540.68485834711646</v>
      </c>
      <c r="ED12" s="47">
        <f t="shared" si="100"/>
        <v>-869.21239585057992</v>
      </c>
      <c r="EE12" s="76">
        <f t="shared" si="101"/>
        <v>5.1669706393002786</v>
      </c>
      <c r="EF12" s="70">
        <f t="shared" si="102"/>
        <v>11.560345092149774</v>
      </c>
    </row>
    <row r="13" spans="1:137" x14ac:dyDescent="0.35">
      <c r="A13" s="30" t="str">
        <f>'Data_world regions'!C10</f>
        <v>Great Britain + Ireland</v>
      </c>
      <c r="B13" s="30" t="str">
        <f>'Data_world regions'!D10</f>
        <v>GBR</v>
      </c>
      <c r="C13" s="30">
        <f>'Data_world regions'!E10</f>
        <v>0</v>
      </c>
      <c r="D13" s="30">
        <f>'Data_world regions'!F10</f>
        <v>0</v>
      </c>
      <c r="E13" s="31">
        <f>'Data_world regions'!G10</f>
        <v>7.2649430000000001E-2</v>
      </c>
      <c r="F13" s="30">
        <f>'Data_world regions'!H10</f>
        <v>98.639847519774776</v>
      </c>
      <c r="G13" s="30">
        <f>'Data_world regions'!I10</f>
        <v>361.41640131245481</v>
      </c>
      <c r="H13" s="31">
        <f>'Data_world regions'!J10</f>
        <v>3182.7891650993224</v>
      </c>
      <c r="I13" s="30">
        <f>'Data_world regions'!K10</f>
        <v>1.1319269378849495</v>
      </c>
      <c r="J13" s="30">
        <f>'Data_world regions'!L10</f>
        <v>1.2453929597293749</v>
      </c>
      <c r="K13" s="30">
        <f>'Data_world regions'!M10</f>
        <v>1.2219723762769277</v>
      </c>
      <c r="L13" s="30">
        <f>'Data_world regions'!N10</f>
        <v>1.1590962396275728</v>
      </c>
      <c r="M13" s="30">
        <f>'Data_world regions'!O10</f>
        <v>1.2300474440626652</v>
      </c>
      <c r="N13" s="30">
        <f>'Data_world regions'!P10</f>
        <v>1.2982598673567953</v>
      </c>
      <c r="O13" s="31">
        <f>'Data_world regions'!Q10</f>
        <v>1.2256428748258887</v>
      </c>
      <c r="P13" s="31">
        <f>'Data_world regions'!R10</f>
        <v>0.90947003354549738</v>
      </c>
      <c r="Q13" s="31">
        <f>'Data_world regions'!S10</f>
        <v>1.0160301239037073</v>
      </c>
      <c r="R13" s="31">
        <f>'Data_world regions'!T10</f>
        <v>1.0683930558484569</v>
      </c>
      <c r="S13" s="31">
        <f>'Data_world regions'!U10</f>
        <v>1.0727560349127803</v>
      </c>
      <c r="T13" s="31">
        <f>'Data_world regions'!V10</f>
        <v>1.2137481184144505</v>
      </c>
      <c r="U13" s="30">
        <f>'Data_world regions'!W10</f>
        <v>0.66510577091127332</v>
      </c>
      <c r="V13" s="30">
        <f>'Data_world regions'!X10</f>
        <v>0.66510577091127332</v>
      </c>
      <c r="W13" s="31">
        <f>'Data_world regions'!Y10+Analysis!F15+IF(Template!$J$22="no",0,IF(Analysis!I15=0,0,Analysis!I15))</f>
        <v>240.38013421489839</v>
      </c>
      <c r="X13" s="31">
        <f>'Data_world regions'!Z10+Analysis!F15+IF(Template!$M$22="no",0,IF(Analysis!L15=0,0,Analysis!L15))</f>
        <v>240.38013421489839</v>
      </c>
      <c r="Z13" s="79">
        <f t="shared" si="36"/>
        <v>3602.6847935842711</v>
      </c>
      <c r="AA13" s="27">
        <f t="shared" si="37"/>
        <v>442.96743711382425</v>
      </c>
      <c r="AB13" s="32">
        <f t="shared" si="38"/>
        <v>240.38013421489839</v>
      </c>
      <c r="AC13" s="70">
        <f t="shared" si="39"/>
        <v>240.38013421489839</v>
      </c>
      <c r="AD13" s="76">
        <f t="shared" si="103"/>
        <v>11.0905106019224</v>
      </c>
      <c r="AE13" s="32">
        <f t="shared" si="4"/>
        <v>164.23305572297843</v>
      </c>
      <c r="AF13" s="33">
        <f t="shared" si="5"/>
        <v>11.0905106019224</v>
      </c>
      <c r="AG13" s="70">
        <f t="shared" si="6"/>
        <v>164.23305572297843</v>
      </c>
      <c r="AH13" s="79">
        <f t="shared" si="7"/>
        <v>15.808182311401557</v>
      </c>
      <c r="AI13" s="32">
        <f t="shared" si="8"/>
        <v>202.58730289892586</v>
      </c>
      <c r="AJ13" s="33">
        <f t="shared" si="9"/>
        <v>202.58730289892586</v>
      </c>
      <c r="AK13" s="32">
        <f t="shared" si="40"/>
        <v>402.83732957838367</v>
      </c>
      <c r="AL13" s="33">
        <f t="shared" si="41"/>
        <v>383.31368904947777</v>
      </c>
      <c r="AM13" s="94">
        <f t="shared" si="10"/>
        <v>162.45719536348528</v>
      </c>
      <c r="AN13" s="95">
        <f t="shared" si="11"/>
        <v>142.93355483457938</v>
      </c>
      <c r="AO13" s="76">
        <f t="shared" si="12"/>
        <v>40.130107535440573</v>
      </c>
      <c r="AP13" s="76">
        <f t="shared" si="13"/>
        <v>6.4443152159570349</v>
      </c>
      <c r="AQ13" s="99">
        <f t="shared" si="104"/>
        <v>8.6203687536210605E-2</v>
      </c>
      <c r="AR13" s="100">
        <f t="shared" si="42"/>
        <v>1.0469253760226138</v>
      </c>
      <c r="AS13" s="99">
        <f t="shared" si="43"/>
        <v>1.1331290635588245</v>
      </c>
      <c r="AT13" s="70">
        <f t="shared" si="44"/>
        <v>2.3185388757020817</v>
      </c>
      <c r="AV13" s="35">
        <f t="shared" si="14"/>
        <v>3963.8232185176312</v>
      </c>
      <c r="AW13" s="35">
        <f t="shared" si="15"/>
        <v>328.69738662553124</v>
      </c>
      <c r="AX13" s="37">
        <f t="shared" si="45"/>
        <v>240.38013421489839</v>
      </c>
      <c r="AY13" s="39">
        <f t="shared" si="46"/>
        <v>240.38013421489839</v>
      </c>
      <c r="AZ13" s="37">
        <f t="shared" si="16"/>
        <v>1.8360759190491407</v>
      </c>
      <c r="BA13" s="37">
        <f t="shared" si="17"/>
        <v>62.368649463151385</v>
      </c>
      <c r="BB13" s="39">
        <f t="shared" si="18"/>
        <v>1.8360759190491407</v>
      </c>
      <c r="BC13" s="39">
        <f t="shared" si="19"/>
        <v>62.368649463151385</v>
      </c>
      <c r="BD13" s="35">
        <f t="shared" si="20"/>
        <v>11.183104406994291</v>
      </c>
      <c r="BE13" s="37">
        <f t="shared" si="47"/>
        <v>88.317252410632847</v>
      </c>
      <c r="BF13" s="39">
        <f t="shared" si="48"/>
        <v>88.317252410632847</v>
      </c>
      <c r="BG13" s="37">
        <f t="shared" si="49"/>
        <v>317.45796559238471</v>
      </c>
      <c r="BH13" s="39">
        <f t="shared" si="50"/>
        <v>306.75514337923528</v>
      </c>
      <c r="BI13" s="37">
        <f t="shared" si="51"/>
        <v>77.077831377486319</v>
      </c>
      <c r="BJ13" s="39">
        <f t="shared" si="51"/>
        <v>66.375009164336888</v>
      </c>
      <c r="BK13" s="76">
        <f t="shared" si="52"/>
        <v>8.1640395653117384E-2</v>
      </c>
      <c r="BL13" s="70">
        <f t="shared" si="53"/>
        <v>0.28368768688416135</v>
      </c>
      <c r="BN13" s="41">
        <f t="shared" si="54"/>
        <v>3889.2804392648777</v>
      </c>
      <c r="BO13" s="41">
        <f t="shared" si="55"/>
        <v>367.20995100632547</v>
      </c>
      <c r="BP13" s="41">
        <f t="shared" si="21"/>
        <v>240.38013421489839</v>
      </c>
      <c r="BQ13" s="41">
        <f t="shared" si="22"/>
        <v>240.38013421489839</v>
      </c>
      <c r="BR13" s="41">
        <f t="shared" si="23"/>
        <v>4.2750055480090392</v>
      </c>
      <c r="BS13" s="41">
        <f t="shared" si="24"/>
        <v>101.11988622610714</v>
      </c>
      <c r="BT13" s="41">
        <f t="shared" si="25"/>
        <v>4.2750055480090392</v>
      </c>
      <c r="BU13" s="41">
        <f t="shared" si="26"/>
        <v>101.11988622610714</v>
      </c>
      <c r="BV13" s="41">
        <f t="shared" si="27"/>
        <v>12.612555170317339</v>
      </c>
      <c r="BW13" s="41">
        <f t="shared" si="56"/>
        <v>126.82981679142708</v>
      </c>
      <c r="BX13" s="41">
        <f t="shared" si="57"/>
        <v>126.82981679142708</v>
      </c>
      <c r="BY13" s="41">
        <f t="shared" si="58"/>
        <v>344.79050225691833</v>
      </c>
      <c r="BZ13" s="41">
        <f t="shared" si="59"/>
        <v>329.87796896265723</v>
      </c>
      <c r="CA13" s="41">
        <f t="shared" si="60"/>
        <v>104.41036804201994</v>
      </c>
      <c r="CB13" s="41">
        <f t="shared" si="60"/>
        <v>89.497834747758844</v>
      </c>
      <c r="CC13" s="76">
        <f t="shared" si="61"/>
        <v>0.35351660198334711</v>
      </c>
      <c r="CD13" s="70">
        <f t="shared" si="62"/>
        <v>0.89311700588240861</v>
      </c>
      <c r="CF13" s="43">
        <f t="shared" si="63"/>
        <v>3689.1589527940064</v>
      </c>
      <c r="CG13" s="43">
        <f t="shared" si="64"/>
        <v>386.13477343196587</v>
      </c>
      <c r="CH13" s="43">
        <f t="shared" si="28"/>
        <v>240.38013421489839</v>
      </c>
      <c r="CI13" s="43">
        <f t="shared" si="29"/>
        <v>240.38013421489839</v>
      </c>
      <c r="CJ13" s="43">
        <f t="shared" si="30"/>
        <v>5.5660731774502938</v>
      </c>
      <c r="CK13" s="43">
        <f t="shared" si="31"/>
        <v>114.56389739665704</v>
      </c>
      <c r="CL13" s="43">
        <f t="shared" si="32"/>
        <v>5.5660731774502938</v>
      </c>
      <c r="CM13" s="43">
        <f t="shared" si="33"/>
        <v>114.56389739665704</v>
      </c>
      <c r="CN13" s="43">
        <f t="shared" si="34"/>
        <v>13.617534899090293</v>
      </c>
      <c r="CO13" s="43">
        <f t="shared" si="65"/>
        <v>145.75463921706748</v>
      </c>
      <c r="CP13" s="43">
        <f t="shared" si="66"/>
        <v>145.75463921706748</v>
      </c>
      <c r="CQ13" s="43">
        <f t="shared" si="67"/>
        <v>355.73569080063214</v>
      </c>
      <c r="CR13" s="43">
        <f t="shared" si="68"/>
        <v>339.35267519534403</v>
      </c>
      <c r="CS13" s="43">
        <f t="shared" si="69"/>
        <v>115.35555658573375</v>
      </c>
      <c r="CT13" s="43">
        <f t="shared" si="69"/>
        <v>98.972540980445643</v>
      </c>
      <c r="CU13" s="76">
        <f t="shared" si="70"/>
        <v>0.62535723838780943</v>
      </c>
      <c r="CV13" s="70">
        <f t="shared" si="71"/>
        <v>1.3521358396237722</v>
      </c>
      <c r="CX13" s="45">
        <f t="shared" si="72"/>
        <v>3914.9816775207655</v>
      </c>
      <c r="CY13" s="45">
        <f t="shared" si="73"/>
        <v>387.7116256243952</v>
      </c>
      <c r="CZ13" s="45">
        <f t="shared" si="74"/>
        <v>240.38013421489839</v>
      </c>
      <c r="DA13" s="45">
        <f t="shared" si="75"/>
        <v>240.38013421489839</v>
      </c>
      <c r="DB13" s="45">
        <f t="shared" si="35"/>
        <v>6.0510543437996711</v>
      </c>
      <c r="DC13" s="45">
        <f t="shared" si="76"/>
        <v>123.21305416602119</v>
      </c>
      <c r="DD13" s="45">
        <f t="shared" si="77"/>
        <v>6.0510543437996711</v>
      </c>
      <c r="DE13" s="45">
        <f t="shared" si="78"/>
        <v>123.21305416602119</v>
      </c>
      <c r="DF13" s="45">
        <f t="shared" si="79"/>
        <v>13.272942828386713</v>
      </c>
      <c r="DG13" s="45">
        <f t="shared" si="80"/>
        <v>147.33149140949681</v>
      </c>
      <c r="DH13" s="45">
        <f t="shared" si="81"/>
        <v>147.33149140949681</v>
      </c>
      <c r="DI13" s="45">
        <f t="shared" si="82"/>
        <v>359.65330685475732</v>
      </c>
      <c r="DJ13" s="45">
        <f t="shared" si="83"/>
        <v>343.25038568629896</v>
      </c>
      <c r="DK13" s="45">
        <f t="shared" si="84"/>
        <v>119.27317263985893</v>
      </c>
      <c r="DL13" s="45">
        <f t="shared" si="84"/>
        <v>102.87025147140056</v>
      </c>
      <c r="DM13" s="76">
        <f t="shared" si="85"/>
        <v>0.57480087792104639</v>
      </c>
      <c r="DN13" s="70">
        <f t="shared" si="86"/>
        <v>1.3205982240012071</v>
      </c>
      <c r="DP13" s="47">
        <f t="shared" si="87"/>
        <v>4132.0874393064914</v>
      </c>
      <c r="DQ13" s="47">
        <f t="shared" si="88"/>
        <v>438.66847705711399</v>
      </c>
      <c r="DR13" s="47">
        <f t="shared" si="89"/>
        <v>240.38013421489839</v>
      </c>
      <c r="DS13" s="47">
        <f t="shared" si="90"/>
        <v>240.38013421489839</v>
      </c>
      <c r="DT13" s="47">
        <f t="shared" si="91"/>
        <v>12.162431582554303</v>
      </c>
      <c r="DU13" s="47">
        <f t="shared" si="92"/>
        <v>184.01129498922194</v>
      </c>
      <c r="DV13" s="47">
        <f t="shared" si="93"/>
        <v>12.162431582554303</v>
      </c>
      <c r="DW13" s="47">
        <f t="shared" si="94"/>
        <v>184.01129498922194</v>
      </c>
      <c r="DX13" s="47">
        <f t="shared" si="95"/>
        <v>14.617561927122852</v>
      </c>
      <c r="DY13" s="47">
        <f t="shared" si="96"/>
        <v>198.2883428422156</v>
      </c>
      <c r="DZ13" s="47">
        <f t="shared" si="97"/>
        <v>198.2883428422156</v>
      </c>
      <c r="EA13" s="47">
        <f t="shared" si="98"/>
        <v>389.03004982131199</v>
      </c>
      <c r="EB13" s="47">
        <f t="shared" si="99"/>
        <v>369.27765044127625</v>
      </c>
      <c r="EC13" s="47">
        <f t="shared" si="100"/>
        <v>148.6499156064136</v>
      </c>
      <c r="ED13" s="47">
        <f t="shared" si="100"/>
        <v>128.89751622637786</v>
      </c>
      <c r="EE13" s="76">
        <f t="shared" si="101"/>
        <v>1.9049598222554611</v>
      </c>
      <c r="EF13" s="70">
        <f t="shared" si="102"/>
        <v>3.4259200571934385</v>
      </c>
    </row>
    <row r="14" spans="1:137" x14ac:dyDescent="0.35">
      <c r="A14" s="30" t="str">
        <f>'Data_world regions'!C11</f>
        <v>India</v>
      </c>
      <c r="B14" s="30" t="str">
        <f>'Data_world regions'!D11</f>
        <v>IND</v>
      </c>
      <c r="C14" s="30">
        <f>'Data_world regions'!E11</f>
        <v>0</v>
      </c>
      <c r="D14" s="30">
        <f>'Data_world regions'!F11</f>
        <v>0</v>
      </c>
      <c r="E14" s="31">
        <f>'Data_world regions'!G11</f>
        <v>1.2662713963945825E-2</v>
      </c>
      <c r="F14" s="30">
        <f>'Data_world regions'!H11</f>
        <v>667.30675284223901</v>
      </c>
      <c r="G14" s="30">
        <f>'Data_world regions'!I11</f>
        <v>2445.0119424139639</v>
      </c>
      <c r="H14" s="31">
        <f>'Data_world regions'!J11</f>
        <v>2667.6879517965649</v>
      </c>
      <c r="I14" s="30">
        <f>'Data_world regions'!K11</f>
        <v>1.6630240731533636</v>
      </c>
      <c r="J14" s="30">
        <f>'Data_world regions'!L11</f>
        <v>1.9071796568781731</v>
      </c>
      <c r="K14" s="30">
        <f>'Data_world regions'!M11</f>
        <v>1.8280399678759807</v>
      </c>
      <c r="L14" s="30">
        <f>'Data_world regions'!N11</f>
        <v>1.6196120949624275</v>
      </c>
      <c r="M14" s="30">
        <f>'Data_world regions'!O11</f>
        <v>1.7903278371845397</v>
      </c>
      <c r="N14" s="30">
        <f>'Data_world regions'!P11</f>
        <v>1.9852971043624874</v>
      </c>
      <c r="O14" s="31">
        <f>'Data_world regions'!Q11</f>
        <v>1.5927315472174508</v>
      </c>
      <c r="P14" s="31">
        <f>'Data_world regions'!R11</f>
        <v>1.154133732123878</v>
      </c>
      <c r="Q14" s="31">
        <f>'Data_world regions'!S11</f>
        <v>1.2154822023485663</v>
      </c>
      <c r="R14" s="31">
        <f>'Data_world regions'!T11</f>
        <v>1.2953811605285075</v>
      </c>
      <c r="S14" s="31">
        <f>'Data_world regions'!U11</f>
        <v>1.2357210310006459</v>
      </c>
      <c r="T14" s="31">
        <f>'Data_world regions'!V11</f>
        <v>1.3448954049704989</v>
      </c>
      <c r="U14" s="30">
        <f>'Data_world regions'!W11</f>
        <v>1.8381476784731228</v>
      </c>
      <c r="V14" s="30">
        <f>'Data_world regions'!X11</f>
        <v>1.3610571318822398</v>
      </c>
      <c r="W14" s="31">
        <f>'Data_world regions'!Y11+Analysis!F16+IF(Template!$J$22="no",0,IF(Analysis!I16=0,0,Analysis!I16))</f>
        <v>4494.2930257872886</v>
      </c>
      <c r="X14" s="31">
        <f>'Data_world regions'!Z11+Analysis!F16+IF(Template!$M$22="no",0,IF(Analysis!L16=0,0,Analysis!L16))</f>
        <v>3327.8009417597737</v>
      </c>
      <c r="Z14" s="79">
        <f t="shared" si="36"/>
        <v>4436.4292834988773</v>
      </c>
      <c r="AA14" s="27">
        <f t="shared" si="37"/>
        <v>3894.2476540061375</v>
      </c>
      <c r="AB14" s="32">
        <f>MIN(AA14,W14)</f>
        <v>3894.2476540061375</v>
      </c>
      <c r="AC14" s="70">
        <f t="shared" si="39"/>
        <v>3327.8009417597737</v>
      </c>
      <c r="AD14" s="76">
        <f>E14*((AA14-AB14)/AA14)^3*Z14*AA14/10^3</f>
        <v>0</v>
      </c>
      <c r="AE14" s="32">
        <f t="shared" si="4"/>
        <v>0</v>
      </c>
      <c r="AF14" s="33">
        <f t="shared" si="5"/>
        <v>0.67327177364974089</v>
      </c>
      <c r="AG14" s="70">
        <f t="shared" si="6"/>
        <v>3.5657640467877711</v>
      </c>
      <c r="AH14" s="79">
        <f t="shared" si="7"/>
        <v>299.97340966452214</v>
      </c>
      <c r="AI14" s="32">
        <f t="shared" si="8"/>
        <v>0</v>
      </c>
      <c r="AJ14" s="33">
        <f t="shared" si="9"/>
        <v>566.44671224636386</v>
      </c>
      <c r="AK14" s="32">
        <f t="shared" si="40"/>
        <v>3132.7454806077617</v>
      </c>
      <c r="AL14" s="33">
        <f t="shared" si="41"/>
        <v>2762.2681604989002</v>
      </c>
      <c r="AM14" s="94">
        <f t="shared" si="10"/>
        <v>-761.50217339837582</v>
      </c>
      <c r="AN14" s="95">
        <f t="shared" si="11"/>
        <v>-565.53278126087343</v>
      </c>
      <c r="AO14" s="76">
        <f t="shared" si="12"/>
        <v>761.50217339837582</v>
      </c>
      <c r="AP14" s="76">
        <f t="shared" si="13"/>
        <v>6.4443152159570385</v>
      </c>
      <c r="AQ14" s="99">
        <f t="shared" si="104"/>
        <v>1.6357866810051693</v>
      </c>
      <c r="AR14" s="100">
        <f t="shared" si="42"/>
        <v>-4.90736004301551</v>
      </c>
      <c r="AS14" s="99">
        <f t="shared" si="43"/>
        <v>-3.2715733620103409</v>
      </c>
      <c r="AT14" s="70">
        <f t="shared" si="44"/>
        <v>-2.6800674139374641</v>
      </c>
      <c r="AV14" s="35">
        <f t="shared" si="14"/>
        <v>5087.7601925654089</v>
      </c>
      <c r="AW14" s="35">
        <f t="shared" si="15"/>
        <v>2821.8707581856806</v>
      </c>
      <c r="AX14" s="37">
        <f t="shared" si="45"/>
        <v>2821.8707581856806</v>
      </c>
      <c r="AY14" s="39">
        <f t="shared" si="46"/>
        <v>2821.8707581856806</v>
      </c>
      <c r="AZ14" s="37">
        <f t="shared" si="16"/>
        <v>0</v>
      </c>
      <c r="BA14" s="37">
        <f t="shared" si="17"/>
        <v>0</v>
      </c>
      <c r="BB14" s="39">
        <f t="shared" si="18"/>
        <v>0</v>
      </c>
      <c r="BC14" s="39">
        <f t="shared" si="19"/>
        <v>0</v>
      </c>
      <c r="BD14" s="35">
        <f t="shared" si="20"/>
        <v>202.97837761528984</v>
      </c>
      <c r="BE14" s="37">
        <f t="shared" si="47"/>
        <v>0</v>
      </c>
      <c r="BF14" s="39">
        <f t="shared" si="48"/>
        <v>0</v>
      </c>
      <c r="BG14" s="37">
        <f t="shared" si="49"/>
        <v>2617.8702084620804</v>
      </c>
      <c r="BH14" s="39">
        <f t="shared" si="50"/>
        <v>2423.6091688019987</v>
      </c>
      <c r="BI14" s="37">
        <f t="shared" si="51"/>
        <v>-204.00054972360022</v>
      </c>
      <c r="BJ14" s="39">
        <f t="shared" si="51"/>
        <v>-398.26158938368189</v>
      </c>
      <c r="BK14" s="76">
        <f t="shared" si="52"/>
        <v>-0.13737357495383151</v>
      </c>
      <c r="BL14" s="70">
        <f t="shared" si="53"/>
        <v>-1.0221495808875314</v>
      </c>
      <c r="BN14" s="41">
        <f t="shared" si="54"/>
        <v>4876.6401977053329</v>
      </c>
      <c r="BO14" s="41">
        <f t="shared" si="55"/>
        <v>2971.8685005338707</v>
      </c>
      <c r="BP14" s="41">
        <f t="shared" si="21"/>
        <v>2971.8685005338707</v>
      </c>
      <c r="BQ14" s="41">
        <f t="shared" si="22"/>
        <v>2971.8685005338707</v>
      </c>
      <c r="BR14" s="41">
        <f t="shared" si="23"/>
        <v>0</v>
      </c>
      <c r="BS14" s="41">
        <f t="shared" si="24"/>
        <v>0</v>
      </c>
      <c r="BT14" s="41">
        <f t="shared" si="25"/>
        <v>0</v>
      </c>
      <c r="BU14" s="41">
        <f t="shared" si="26"/>
        <v>0</v>
      </c>
      <c r="BV14" s="41">
        <f t="shared" si="27"/>
        <v>218.34598276736543</v>
      </c>
      <c r="BW14" s="41">
        <f t="shared" si="56"/>
        <v>0</v>
      </c>
      <c r="BX14" s="41">
        <f t="shared" si="57"/>
        <v>0</v>
      </c>
      <c r="BY14" s="41">
        <f t="shared" si="58"/>
        <v>2583.7475762494441</v>
      </c>
      <c r="BZ14" s="41">
        <f t="shared" si="59"/>
        <v>2325.5848412828254</v>
      </c>
      <c r="CA14" s="41">
        <f t="shared" si="60"/>
        <v>-388.12092428442656</v>
      </c>
      <c r="CB14" s="41">
        <f t="shared" si="60"/>
        <v>-646.28365925104526</v>
      </c>
      <c r="CC14" s="76">
        <f t="shared" si="61"/>
        <v>-0.8175597456118181</v>
      </c>
      <c r="CD14" s="70">
        <f t="shared" si="62"/>
        <v>-3.7747470540074497</v>
      </c>
      <c r="CF14" s="43">
        <f t="shared" si="63"/>
        <v>4320.6196723152616</v>
      </c>
      <c r="CG14" s="43">
        <f t="shared" si="64"/>
        <v>3167.2224074702608</v>
      </c>
      <c r="CH14" s="43">
        <f t="shared" si="28"/>
        <v>3167.2224074702608</v>
      </c>
      <c r="CI14" s="43">
        <f t="shared" si="29"/>
        <v>3167.2224074702608</v>
      </c>
      <c r="CJ14" s="43">
        <f t="shared" si="30"/>
        <v>0</v>
      </c>
      <c r="CK14" s="43">
        <f t="shared" si="31"/>
        <v>0</v>
      </c>
      <c r="CL14" s="43">
        <f t="shared" si="32"/>
        <v>0</v>
      </c>
      <c r="CM14" s="43">
        <f t="shared" si="33"/>
        <v>0</v>
      </c>
      <c r="CN14" s="43">
        <f t="shared" si="34"/>
        <v>247.21881262177388</v>
      </c>
      <c r="CO14" s="43">
        <f t="shared" si="65"/>
        <v>0</v>
      </c>
      <c r="CP14" s="43">
        <f t="shared" si="66"/>
        <v>0</v>
      </c>
      <c r="CQ14" s="43">
        <f t="shared" si="67"/>
        <v>2615.3438796310138</v>
      </c>
      <c r="CR14" s="43">
        <f t="shared" si="68"/>
        <v>2317.9192947030997</v>
      </c>
      <c r="CS14" s="43">
        <f t="shared" si="69"/>
        <v>-551.878527839247</v>
      </c>
      <c r="CT14" s="43">
        <f t="shared" si="69"/>
        <v>-849.30311276716111</v>
      </c>
      <c r="CU14" s="76">
        <f t="shared" si="70"/>
        <v>-1.833480096956579</v>
      </c>
      <c r="CV14" s="70">
        <f t="shared" si="71"/>
        <v>-6.6824213504782639</v>
      </c>
      <c r="CX14" s="45">
        <f t="shared" si="72"/>
        <v>4776.0360010231989</v>
      </c>
      <c r="CY14" s="45">
        <f t="shared" si="73"/>
        <v>3021.3526782886752</v>
      </c>
      <c r="CZ14" s="45">
        <f t="shared" si="74"/>
        <v>3021.3526782886752</v>
      </c>
      <c r="DA14" s="45">
        <f t="shared" si="75"/>
        <v>3021.3526782886752</v>
      </c>
      <c r="DB14" s="45">
        <f t="shared" si="35"/>
        <v>0</v>
      </c>
      <c r="DC14" s="45">
        <f t="shared" si="76"/>
        <v>0</v>
      </c>
      <c r="DD14" s="45">
        <f t="shared" si="77"/>
        <v>0</v>
      </c>
      <c r="DE14" s="45">
        <f t="shared" si="78"/>
        <v>0</v>
      </c>
      <c r="DF14" s="45">
        <f t="shared" si="79"/>
        <v>224.30739989655299</v>
      </c>
      <c r="DG14" s="45">
        <f t="shared" si="80"/>
        <v>0</v>
      </c>
      <c r="DH14" s="45">
        <f t="shared" si="81"/>
        <v>0</v>
      </c>
      <c r="DI14" s="45">
        <f t="shared" si="82"/>
        <v>2547.1783666789038</v>
      </c>
      <c r="DJ14" s="45">
        <f t="shared" si="83"/>
        <v>2269.9755906572859</v>
      </c>
      <c r="DK14" s="45">
        <f t="shared" si="84"/>
        <v>-474.17431160977139</v>
      </c>
      <c r="DL14" s="45">
        <f t="shared" si="84"/>
        <v>-751.37708763138926</v>
      </c>
      <c r="DM14" s="76">
        <f t="shared" si="85"/>
        <v>-1.4126533565099275</v>
      </c>
      <c r="DN14" s="70">
        <f t="shared" si="86"/>
        <v>-5.620764395666682</v>
      </c>
      <c r="DP14" s="47">
        <f t="shared" si="87"/>
        <v>5296.1531660444152</v>
      </c>
      <c r="DQ14" s="47">
        <f t="shared" si="88"/>
        <v>3288.2853264505338</v>
      </c>
      <c r="DR14" s="47">
        <f t="shared" si="89"/>
        <v>3288.2853264505338</v>
      </c>
      <c r="DS14" s="47">
        <f t="shared" si="90"/>
        <v>3288.2853264505338</v>
      </c>
      <c r="DT14" s="47">
        <f t="shared" si="91"/>
        <v>0</v>
      </c>
      <c r="DU14" s="47">
        <f t="shared" si="92"/>
        <v>0</v>
      </c>
      <c r="DV14" s="47">
        <f t="shared" si="93"/>
        <v>0</v>
      </c>
      <c r="DW14" s="47">
        <f t="shared" si="94"/>
        <v>0</v>
      </c>
      <c r="DX14" s="47">
        <f t="shared" si="95"/>
        <v>231.8276327168181</v>
      </c>
      <c r="DY14" s="47">
        <f t="shared" si="96"/>
        <v>0</v>
      </c>
      <c r="DZ14" s="47">
        <f t="shared" si="97"/>
        <v>0</v>
      </c>
      <c r="EA14" s="47">
        <f t="shared" si="98"/>
        <v>2501.0432996861555</v>
      </c>
      <c r="EB14" s="47">
        <f t="shared" si="99"/>
        <v>2187.7795685947053</v>
      </c>
      <c r="EC14" s="47">
        <f t="shared" si="100"/>
        <v>-787.24202676437835</v>
      </c>
      <c r="ED14" s="47">
        <f t="shared" si="100"/>
        <v>-1100.5057578558285</v>
      </c>
      <c r="EE14" s="76">
        <f t="shared" si="101"/>
        <v>-6.0520589872289303</v>
      </c>
      <c r="EF14" s="70">
        <f t="shared" si="102"/>
        <v>-16.533138251122388</v>
      </c>
    </row>
    <row r="15" spans="1:137" x14ac:dyDescent="0.35">
      <c r="A15" s="30" t="str">
        <f>'Data_world regions'!C12</f>
        <v>Brazil</v>
      </c>
      <c r="B15" s="30" t="str">
        <f>'Data_world regions'!D12</f>
        <v>BRA</v>
      </c>
      <c r="C15" s="30">
        <f>'Data_world regions'!E12</f>
        <v>0</v>
      </c>
      <c r="D15" s="30">
        <f>'Data_world regions'!F12</f>
        <v>0</v>
      </c>
      <c r="E15" s="31">
        <f>'Data_world regions'!G12</f>
        <v>0.1505082450206115</v>
      </c>
      <c r="F15" s="30">
        <f>'Data_world regions'!H12</f>
        <v>120.716703817211</v>
      </c>
      <c r="G15" s="30">
        <f>'Data_world regions'!I12</f>
        <v>442.3060027862611</v>
      </c>
      <c r="H15" s="31">
        <f>'Data_world regions'!J12</f>
        <v>1448.5659367395608</v>
      </c>
      <c r="I15" s="30">
        <f>'Data_world regions'!K12</f>
        <v>1.1803659741701291</v>
      </c>
      <c r="J15" s="30">
        <f>'Data_world regions'!L12</f>
        <v>1.4251424909653108</v>
      </c>
      <c r="K15" s="30">
        <f>'Data_world regions'!M12</f>
        <v>1.3853642884230055</v>
      </c>
      <c r="L15" s="30">
        <f>'Data_world regions'!N12</f>
        <v>1.2886432636576071</v>
      </c>
      <c r="M15" s="30">
        <f>'Data_world regions'!O12</f>
        <v>1.3701462151588106</v>
      </c>
      <c r="N15" s="30">
        <f>'Data_world regions'!P12</f>
        <v>1.4678092081060481</v>
      </c>
      <c r="O15" s="31">
        <f>'Data_world regions'!Q12</f>
        <v>0.91680152185618657</v>
      </c>
      <c r="P15" s="31">
        <f>'Data_world regions'!R12</f>
        <v>1.1523297796771568</v>
      </c>
      <c r="Q15" s="31">
        <f>'Data_world regions'!S12</f>
        <v>1.261678755528314</v>
      </c>
      <c r="R15" s="31">
        <f>'Data_world regions'!T12</f>
        <v>1.2456836932865165</v>
      </c>
      <c r="S15" s="31">
        <f>'Data_world regions'!U12</f>
        <v>1.2512749062312558</v>
      </c>
      <c r="T15" s="31">
        <f>'Data_world regions'!V12</f>
        <v>1.4406165004533094</v>
      </c>
      <c r="U15" s="30">
        <f>'Data_world regions'!W12</f>
        <v>0.88378441678078301</v>
      </c>
      <c r="V15" s="30">
        <f>'Data_world regions'!X12</f>
        <v>0.56610512105704502</v>
      </c>
      <c r="W15" s="31">
        <f>'Data_world regions'!Y12+Analysis!F17+IF(Template!$J$22="no",0,IF(Analysis!I17=0,0,Analysis!I17))</f>
        <v>549.21315271109518</v>
      </c>
      <c r="X15" s="31">
        <f>'Data_world regions'!Z12+Analysis!F17+IF(Template!$M$22="no",0,IF(Analysis!L17=0,0,Analysis!L17))</f>
        <v>408.70169325157406</v>
      </c>
      <c r="Z15" s="79">
        <f t="shared" si="36"/>
        <v>1709.8379430692573</v>
      </c>
      <c r="AA15" s="27">
        <f t="shared" si="37"/>
        <v>405.50681648057088</v>
      </c>
      <c r="AB15" s="32">
        <f t="shared" si="38"/>
        <v>405.50681648057088</v>
      </c>
      <c r="AC15" s="70">
        <f t="shared" si="39"/>
        <v>405.50681648057088</v>
      </c>
      <c r="AD15" s="76">
        <f t="shared" si="103"/>
        <v>0</v>
      </c>
      <c r="AE15" s="32">
        <f t="shared" si="4"/>
        <v>0</v>
      </c>
      <c r="AF15" s="33">
        <f t="shared" si="5"/>
        <v>0</v>
      </c>
      <c r="AG15" s="70">
        <f t="shared" si="6"/>
        <v>0</v>
      </c>
      <c r="AH15" s="79">
        <f t="shared" si="7"/>
        <v>14.594187131541867</v>
      </c>
      <c r="AI15" s="32">
        <f t="shared" si="8"/>
        <v>0</v>
      </c>
      <c r="AJ15" s="33">
        <f t="shared" si="9"/>
        <v>0</v>
      </c>
      <c r="AK15" s="32">
        <f t="shared" si="40"/>
        <v>368.45851532587642</v>
      </c>
      <c r="AL15" s="33">
        <f t="shared" si="41"/>
        <v>350.43419995836564</v>
      </c>
      <c r="AM15" s="94">
        <f t="shared" si="10"/>
        <v>-37.048301154694457</v>
      </c>
      <c r="AN15" s="95">
        <f t="shared" si="11"/>
        <v>-55.072616522205237</v>
      </c>
      <c r="AO15" s="76">
        <f t="shared" si="12"/>
        <v>37.048301154694457</v>
      </c>
      <c r="AP15" s="76">
        <f t="shared" si="13"/>
        <v>6.4443152159570518</v>
      </c>
      <c r="AQ15" s="99">
        <f t="shared" si="104"/>
        <v>7.9583643618852229E-2</v>
      </c>
      <c r="AR15" s="100">
        <f t="shared" si="42"/>
        <v>-0.23875093085655627</v>
      </c>
      <c r="AS15" s="99">
        <f t="shared" si="43"/>
        <v>-0.15916728723770404</v>
      </c>
      <c r="AT15" s="70">
        <f t="shared" si="44"/>
        <v>-0.52282464487130609</v>
      </c>
      <c r="AV15" s="35">
        <f t="shared" si="14"/>
        <v>2064.4128674125163</v>
      </c>
      <c r="AW15" s="35">
        <f t="shared" si="15"/>
        <v>509.68237874057615</v>
      </c>
      <c r="AX15" s="37">
        <f t="shared" si="45"/>
        <v>509.68237874057615</v>
      </c>
      <c r="AY15" s="39">
        <f t="shared" si="46"/>
        <v>408.70169325157406</v>
      </c>
      <c r="AZ15" s="37">
        <f t="shared" si="16"/>
        <v>0</v>
      </c>
      <c r="BA15" s="37">
        <f t="shared" si="17"/>
        <v>0</v>
      </c>
      <c r="BB15" s="39">
        <f t="shared" si="18"/>
        <v>1.2316081514628505</v>
      </c>
      <c r="BC15" s="39">
        <f t="shared" si="19"/>
        <v>36.589417436574628</v>
      </c>
      <c r="BD15" s="35">
        <f t="shared" si="20"/>
        <v>16.694006069653121</v>
      </c>
      <c r="BE15" s="37">
        <f t="shared" si="47"/>
        <v>0</v>
      </c>
      <c r="BF15" s="39">
        <f t="shared" si="48"/>
        <v>100.9806854890021</v>
      </c>
      <c r="BG15" s="37">
        <f t="shared" si="49"/>
        <v>492.90430387708972</v>
      </c>
      <c r="BH15" s="39">
        <f t="shared" si="50"/>
        <v>476.92725738926595</v>
      </c>
      <c r="BI15" s="37">
        <f t="shared" si="51"/>
        <v>-16.778074863486438</v>
      </c>
      <c r="BJ15" s="39">
        <f t="shared" si="51"/>
        <v>68.22556413769189</v>
      </c>
      <c r="BK15" s="76">
        <f t="shared" si="52"/>
        <v>-1.1298323107280872E-2</v>
      </c>
      <c r="BL15" s="70">
        <f t="shared" si="53"/>
        <v>0.30468771706581432</v>
      </c>
      <c r="BN15" s="41">
        <f t="shared" si="54"/>
        <v>2006.791518185006</v>
      </c>
      <c r="BO15" s="41">
        <f t="shared" si="55"/>
        <v>558.04808715807292</v>
      </c>
      <c r="BP15" s="41">
        <f t="shared" si="21"/>
        <v>549.21315271109518</v>
      </c>
      <c r="BQ15" s="41">
        <f t="shared" si="22"/>
        <v>408.70169325157406</v>
      </c>
      <c r="BR15" s="41">
        <f t="shared" si="23"/>
        <v>6.6885086856961599E-4</v>
      </c>
      <c r="BS15" s="41">
        <f t="shared" si="24"/>
        <v>0.22711573218239897</v>
      </c>
      <c r="BT15" s="41">
        <f t="shared" si="25"/>
        <v>3.230751263762099</v>
      </c>
      <c r="BU15" s="41">
        <f t="shared" si="26"/>
        <v>64.897809299328102</v>
      </c>
      <c r="BV15" s="41">
        <f t="shared" si="27"/>
        <v>18.53871902145346</v>
      </c>
      <c r="BW15" s="41">
        <f t="shared" si="56"/>
        <v>8.8349344469777407</v>
      </c>
      <c r="BX15" s="41">
        <f t="shared" si="57"/>
        <v>149.34639390649886</v>
      </c>
      <c r="BY15" s="41">
        <f t="shared" si="58"/>
        <v>525.09458524124614</v>
      </c>
      <c r="BZ15" s="41">
        <f t="shared" si="59"/>
        <v>503.17521514477272</v>
      </c>
      <c r="CA15" s="41">
        <f t="shared" si="60"/>
        <v>-24.11856746984904</v>
      </c>
      <c r="CB15" s="41">
        <f t="shared" si="60"/>
        <v>94.473521893198665</v>
      </c>
      <c r="CC15" s="76">
        <f t="shared" si="61"/>
        <v>-4.1499505689838977E-2</v>
      </c>
      <c r="CD15" s="70">
        <f t="shared" si="62"/>
        <v>0.9879347396785102</v>
      </c>
      <c r="CF15" s="43">
        <f t="shared" si="63"/>
        <v>1866.6847363433064</v>
      </c>
      <c r="CG15" s="43">
        <f t="shared" si="64"/>
        <v>550.97337511358603</v>
      </c>
      <c r="CH15" s="43">
        <f t="shared" si="28"/>
        <v>549.21315271109518</v>
      </c>
      <c r="CI15" s="43">
        <f t="shared" si="29"/>
        <v>408.70169325157406</v>
      </c>
      <c r="CJ15" s="43">
        <f t="shared" si="30"/>
        <v>5.0474575421519398E-6</v>
      </c>
      <c r="CK15" s="43">
        <f t="shared" si="31"/>
        <v>8.6025337508647583E-3</v>
      </c>
      <c r="CL15" s="43">
        <f t="shared" si="32"/>
        <v>2.6651732098845162</v>
      </c>
      <c r="CM15" s="43">
        <f t="shared" si="33"/>
        <v>56.198953474158905</v>
      </c>
      <c r="CN15" s="43">
        <f t="shared" si="34"/>
        <v>18.978170822270041</v>
      </c>
      <c r="CO15" s="43">
        <f t="shared" si="65"/>
        <v>1.7602224024908537</v>
      </c>
      <c r="CP15" s="43">
        <f t="shared" si="66"/>
        <v>142.27168186201197</v>
      </c>
      <c r="CQ15" s="43">
        <f t="shared" si="67"/>
        <v>508.6074853036547</v>
      </c>
      <c r="CR15" s="43">
        <f t="shared" si="68"/>
        <v>485.77518334554884</v>
      </c>
      <c r="CS15" s="43">
        <f t="shared" si="69"/>
        <v>-40.605667407440478</v>
      </c>
      <c r="CT15" s="43">
        <f t="shared" si="69"/>
        <v>77.073490093974783</v>
      </c>
      <c r="CU15" s="76">
        <f t="shared" si="70"/>
        <v>-0.13197834844156958</v>
      </c>
      <c r="CV15" s="70">
        <f t="shared" si="71"/>
        <v>1.1661292453698473</v>
      </c>
      <c r="CX15" s="45">
        <f t="shared" si="72"/>
        <v>1984.7471356316864</v>
      </c>
      <c r="CY15" s="45">
        <f t="shared" si="73"/>
        <v>553.44640216190044</v>
      </c>
      <c r="CZ15" s="45">
        <f t="shared" si="74"/>
        <v>549.21315271109518</v>
      </c>
      <c r="DA15" s="45">
        <f t="shared" si="75"/>
        <v>408.70169325157406</v>
      </c>
      <c r="DB15" s="45">
        <f t="shared" si="35"/>
        <v>7.3983678469581392E-5</v>
      </c>
      <c r="DC15" s="45">
        <f t="shared" si="76"/>
        <v>5.2430417339692566E-2</v>
      </c>
      <c r="DD15" s="45">
        <f t="shared" si="77"/>
        <v>2.9574841797736307</v>
      </c>
      <c r="DE15" s="45">
        <f t="shared" si="78"/>
        <v>61.297249523764201</v>
      </c>
      <c r="DF15" s="45">
        <f t="shared" si="79"/>
        <v>18.487670973876725</v>
      </c>
      <c r="DG15" s="45">
        <f t="shared" si="80"/>
        <v>4.2332494508052605</v>
      </c>
      <c r="DH15" s="45">
        <f t="shared" si="81"/>
        <v>144.74470891032638</v>
      </c>
      <c r="DI15" s="45">
        <f t="shared" si="82"/>
        <v>514.36441618484901</v>
      </c>
      <c r="DJ15" s="45">
        <f t="shared" si="83"/>
        <v>491.51704816000273</v>
      </c>
      <c r="DK15" s="45">
        <f t="shared" si="84"/>
        <v>-34.848736526246171</v>
      </c>
      <c r="DL15" s="45">
        <f t="shared" si="84"/>
        <v>82.815354908428674</v>
      </c>
      <c r="DM15" s="76">
        <f t="shared" si="85"/>
        <v>-9.7515041344485465E-2</v>
      </c>
      <c r="DN15" s="70">
        <f t="shared" si="86"/>
        <v>1.1608998541407032</v>
      </c>
      <c r="DP15" s="47">
        <f t="shared" si="87"/>
        <v>2126.2184204950904</v>
      </c>
      <c r="DQ15" s="47">
        <f t="shared" si="88"/>
        <v>637.19332586343512</v>
      </c>
      <c r="DR15" s="47">
        <f t="shared" si="89"/>
        <v>549.21315271109518</v>
      </c>
      <c r="DS15" s="47">
        <f t="shared" si="90"/>
        <v>408.70169325157406</v>
      </c>
      <c r="DT15" s="47">
        <f t="shared" si="91"/>
        <v>0.53676003029393538</v>
      </c>
      <c r="DU15" s="47">
        <f t="shared" si="92"/>
        <v>18.302761101567334</v>
      </c>
      <c r="DV15" s="47">
        <f t="shared" si="93"/>
        <v>9.4023547701086567</v>
      </c>
      <c r="DW15" s="47">
        <f t="shared" si="94"/>
        <v>123.44900330876156</v>
      </c>
      <c r="DX15" s="47">
        <f t="shared" si="95"/>
        <v>20.564895492167516</v>
      </c>
      <c r="DY15" s="47">
        <f t="shared" si="96"/>
        <v>87.980173152339944</v>
      </c>
      <c r="DZ15" s="47">
        <f t="shared" si="97"/>
        <v>228.49163261186106</v>
      </c>
      <c r="EA15" s="47">
        <f t="shared" si="98"/>
        <v>567.35889837209538</v>
      </c>
      <c r="EB15" s="47">
        <f t="shared" si="99"/>
        <v>539.56999410781611</v>
      </c>
      <c r="EC15" s="47">
        <f t="shared" si="100"/>
        <v>18.145745661000205</v>
      </c>
      <c r="ED15" s="47">
        <f t="shared" si="100"/>
        <v>130.86830085624206</v>
      </c>
      <c r="EE15" s="76">
        <f t="shared" si="101"/>
        <v>0.477679937217664</v>
      </c>
      <c r="EF15" s="70">
        <f t="shared" si="102"/>
        <v>3.682402892866016</v>
      </c>
    </row>
    <row r="16" spans="1:137" x14ac:dyDescent="0.35">
      <c r="A16" s="30" t="str">
        <f>'Data_world regions'!C13</f>
        <v>EU29</v>
      </c>
      <c r="B16" s="30" t="str">
        <f>'Data_world regions'!D13</f>
        <v>EU</v>
      </c>
      <c r="C16" s="30">
        <f>'Data_world regions'!E13</f>
        <v>0</v>
      </c>
      <c r="D16" s="30">
        <f>'Data_world regions'!F13</f>
        <v>0</v>
      </c>
      <c r="E16" s="31">
        <f>'Data_world regions'!G13</f>
        <v>1.2389401307264044E-2</v>
      </c>
      <c r="F16" s="30">
        <f>'Data_world regions'!H13</f>
        <v>718.11352411118924</v>
      </c>
      <c r="G16" s="30">
        <f>'Data_world regions'!I13</f>
        <v>2631.1679523433972</v>
      </c>
      <c r="H16" s="31">
        <f>'Data_world regions'!J13</f>
        <v>15258.169414533266</v>
      </c>
      <c r="I16" s="30">
        <f>'Data_world regions'!K13</f>
        <v>1.1543200760601662</v>
      </c>
      <c r="J16" s="30">
        <f>'Data_world regions'!L13</f>
        <v>1.2067690036967176</v>
      </c>
      <c r="K16" s="30">
        <f>'Data_world regions'!M13</f>
        <v>1.1866174178280724</v>
      </c>
      <c r="L16" s="30">
        <f>'Data_world regions'!N13</f>
        <v>1.1300269287366025</v>
      </c>
      <c r="M16" s="30">
        <f>'Data_world regions'!O13</f>
        <v>1.1919270064378424</v>
      </c>
      <c r="N16" s="30">
        <f>'Data_world regions'!P13</f>
        <v>1.2529274166703845</v>
      </c>
      <c r="O16" s="31">
        <f>'Data_world regions'!Q13</f>
        <v>1.2264947460114872</v>
      </c>
      <c r="P16" s="31">
        <f>'Data_world regions'!R13</f>
        <v>0.90947003354549738</v>
      </c>
      <c r="Q16" s="31">
        <f>'Data_world regions'!S13</f>
        <v>1.0160301239037073</v>
      </c>
      <c r="R16" s="31">
        <f>'Data_world regions'!T13</f>
        <v>1.0683930558484569</v>
      </c>
      <c r="S16" s="31">
        <f>'Data_world regions'!U13</f>
        <v>1.0727560349127803</v>
      </c>
      <c r="T16" s="31">
        <f>'Data_world regions'!V13</f>
        <v>1.2137481184144505</v>
      </c>
      <c r="U16" s="30">
        <f>'Data_world regions'!W13</f>
        <v>0.66223689747419612</v>
      </c>
      <c r="V16" s="30">
        <f>'Data_world regions'!X13</f>
        <v>0.66223689747419612</v>
      </c>
      <c r="W16" s="31">
        <f>'Data_world regions'!Y13+Analysis!F18+IF(Template!$J$22="no",0,IF(Analysis!I18=0,0,Analysis!I18))</f>
        <v>2075.556501493425</v>
      </c>
      <c r="X16" s="31">
        <f>'Data_world regions'!Z13+Analysis!F18+IF(Template!$M$22="no",0,IF(Analysis!L18=0,0,Analysis!L18))</f>
        <v>2075.556501493425</v>
      </c>
      <c r="Z16" s="79">
        <f t="shared" si="36"/>
        <v>17612.81127912294</v>
      </c>
      <c r="AA16" s="27">
        <f t="shared" si="37"/>
        <v>3227.1136694229799</v>
      </c>
      <c r="AB16" s="32">
        <f t="shared" si="38"/>
        <v>2075.556501493425</v>
      </c>
      <c r="AC16" s="70">
        <f t="shared" si="39"/>
        <v>2075.556501493425</v>
      </c>
      <c r="AD16" s="76">
        <f t="shared" si="103"/>
        <v>31.996832303596591</v>
      </c>
      <c r="AE16" s="32">
        <f t="shared" si="4"/>
        <v>83.357126840151707</v>
      </c>
      <c r="AF16" s="33">
        <f t="shared" si="5"/>
        <v>31.996832303596591</v>
      </c>
      <c r="AG16" s="70">
        <f t="shared" si="6"/>
        <v>83.357126840151707</v>
      </c>
      <c r="AH16" s="79">
        <f t="shared" si="7"/>
        <v>126.1287624380557</v>
      </c>
      <c r="AI16" s="32">
        <f t="shared" si="8"/>
        <v>1151.5571679295549</v>
      </c>
      <c r="AJ16" s="33">
        <f t="shared" si="9"/>
        <v>1151.5571679295549</v>
      </c>
      <c r="AK16" s="32">
        <f t="shared" si="40"/>
        <v>2906.9275341517164</v>
      </c>
      <c r="AL16" s="33">
        <f t="shared" si="41"/>
        <v>2751.1542409489734</v>
      </c>
      <c r="AM16" s="94">
        <f t="shared" si="10"/>
        <v>831.37103265829137</v>
      </c>
      <c r="AN16" s="95">
        <f t="shared" si="11"/>
        <v>675.59773945554844</v>
      </c>
      <c r="AO16" s="76">
        <f t="shared" si="12"/>
        <v>320.18613527126354</v>
      </c>
      <c r="AP16" s="76">
        <f t="shared" si="13"/>
        <v>6.4443152159570376</v>
      </c>
      <c r="AQ16" s="99">
        <f t="shared" si="104"/>
        <v>0.68779346115569384</v>
      </c>
      <c r="AR16" s="100">
        <f t="shared" si="42"/>
        <v>5.3576169958657447</v>
      </c>
      <c r="AS16" s="99">
        <f t="shared" si="43"/>
        <v>6.0454104570214389</v>
      </c>
      <c r="AT16" s="70">
        <f t="shared" si="44"/>
        <v>11.879776615095075</v>
      </c>
      <c r="AV16" s="35">
        <f t="shared" si="14"/>
        <v>18413.085902612038</v>
      </c>
      <c r="AW16" s="35">
        <f t="shared" si="15"/>
        <v>2392.9684058815869</v>
      </c>
      <c r="AX16" s="37">
        <f t="shared" si="45"/>
        <v>2075.556501493425</v>
      </c>
      <c r="AY16" s="39">
        <f t="shared" si="46"/>
        <v>2075.556501493425</v>
      </c>
      <c r="AZ16" s="37">
        <f t="shared" si="16"/>
        <v>1.2740093126149465</v>
      </c>
      <c r="BA16" s="37">
        <f t="shared" si="17"/>
        <v>12.041224305093783</v>
      </c>
      <c r="BB16" s="39">
        <f t="shared" si="18"/>
        <v>1.2740093126149465</v>
      </c>
      <c r="BC16" s="39">
        <f t="shared" si="19"/>
        <v>12.041224305093783</v>
      </c>
      <c r="BD16" s="35">
        <f t="shared" si="20"/>
        <v>91.471939466222594</v>
      </c>
      <c r="BE16" s="37">
        <f t="shared" si="47"/>
        <v>317.41190438816193</v>
      </c>
      <c r="BF16" s="39">
        <f t="shared" si="48"/>
        <v>317.41190438816193</v>
      </c>
      <c r="BG16" s="37">
        <f t="shared" si="49"/>
        <v>2301.0358258963402</v>
      </c>
      <c r="BH16" s="39">
        <f t="shared" si="50"/>
        <v>2213.4923433382555</v>
      </c>
      <c r="BI16" s="37">
        <f t="shared" si="51"/>
        <v>225.47932440291515</v>
      </c>
      <c r="BJ16" s="39">
        <f t="shared" si="51"/>
        <v>137.93584184483052</v>
      </c>
      <c r="BK16" s="76">
        <f t="shared" si="52"/>
        <v>0.25870962094103778</v>
      </c>
      <c r="BL16" s="70">
        <f t="shared" si="53"/>
        <v>0.76133951536683719</v>
      </c>
      <c r="BN16" s="41">
        <f t="shared" si="54"/>
        <v>18105.609591456734</v>
      </c>
      <c r="BO16" s="41">
        <f t="shared" si="55"/>
        <v>2673.3459006309258</v>
      </c>
      <c r="BP16" s="41">
        <f t="shared" si="21"/>
        <v>2075.556501493425</v>
      </c>
      <c r="BQ16" s="41">
        <f t="shared" si="22"/>
        <v>2075.556501493425</v>
      </c>
      <c r="BR16" s="41">
        <f t="shared" si="23"/>
        <v>6.704984671870494</v>
      </c>
      <c r="BS16" s="41">
        <f t="shared" si="24"/>
        <v>33.648897161163497</v>
      </c>
      <c r="BT16" s="41">
        <f t="shared" si="25"/>
        <v>6.704984671870494</v>
      </c>
      <c r="BU16" s="41">
        <f t="shared" si="26"/>
        <v>33.648897161163497</v>
      </c>
      <c r="BV16" s="41">
        <f t="shared" si="27"/>
        <v>103.05351080436417</v>
      </c>
      <c r="BW16" s="41">
        <f t="shared" si="56"/>
        <v>597.78939913750082</v>
      </c>
      <c r="BX16" s="41">
        <f t="shared" si="57"/>
        <v>597.78939913750082</v>
      </c>
      <c r="BY16" s="41">
        <f t="shared" si="58"/>
        <v>2490.1631218263365</v>
      </c>
      <c r="BZ16" s="41">
        <f t="shared" si="59"/>
        <v>2368.3171603848923</v>
      </c>
      <c r="CA16" s="41">
        <f t="shared" si="60"/>
        <v>414.60662033291146</v>
      </c>
      <c r="CB16" s="41">
        <f t="shared" si="60"/>
        <v>292.7606588914673</v>
      </c>
      <c r="CC16" s="76">
        <f t="shared" si="61"/>
        <v>1.5029593126626113</v>
      </c>
      <c r="CD16" s="70">
        <f t="shared" si="62"/>
        <v>3.4556796994118293</v>
      </c>
      <c r="CF16" s="43">
        <f t="shared" si="63"/>
        <v>17242.142321647789</v>
      </c>
      <c r="CG16" s="43">
        <f t="shared" si="64"/>
        <v>2811.1215690546892</v>
      </c>
      <c r="CH16" s="43">
        <f t="shared" si="28"/>
        <v>2075.556501493425</v>
      </c>
      <c r="CI16" s="43">
        <f t="shared" si="29"/>
        <v>2075.556501493425</v>
      </c>
      <c r="CJ16" s="43">
        <f t="shared" si="30"/>
        <v>10.758347786544222</v>
      </c>
      <c r="CK16" s="43">
        <f t="shared" si="31"/>
        <v>43.877890322659354</v>
      </c>
      <c r="CL16" s="43">
        <f t="shared" si="32"/>
        <v>10.758347786544222</v>
      </c>
      <c r="CM16" s="43">
        <f t="shared" si="33"/>
        <v>43.877890322659354</v>
      </c>
      <c r="CN16" s="43">
        <f t="shared" si="34"/>
        <v>111.04480019910542</v>
      </c>
      <c r="CO16" s="43">
        <f t="shared" si="65"/>
        <v>735.56506756126419</v>
      </c>
      <c r="CP16" s="43">
        <f t="shared" si="66"/>
        <v>735.56506756126419</v>
      </c>
      <c r="CQ16" s="43">
        <f t="shared" si="67"/>
        <v>2563.2308838427821</v>
      </c>
      <c r="CR16" s="43">
        <f t="shared" si="68"/>
        <v>2429.6348469661239</v>
      </c>
      <c r="CS16" s="43">
        <f t="shared" si="69"/>
        <v>487.67438234935707</v>
      </c>
      <c r="CT16" s="43">
        <f t="shared" si="69"/>
        <v>354.07834547269886</v>
      </c>
      <c r="CU16" s="76">
        <f t="shared" si="70"/>
        <v>2.8420443094047245</v>
      </c>
      <c r="CV16" s="70">
        <f t="shared" si="71"/>
        <v>5.6796901825554995</v>
      </c>
      <c r="CX16" s="45">
        <f t="shared" si="72"/>
        <v>18186.624193986081</v>
      </c>
      <c r="CY16" s="45">
        <f t="shared" si="73"/>
        <v>2822.6012997454818</v>
      </c>
      <c r="CZ16" s="45">
        <f t="shared" si="74"/>
        <v>2075.556501493425</v>
      </c>
      <c r="DA16" s="45">
        <f t="shared" si="75"/>
        <v>2075.556501493425</v>
      </c>
      <c r="DB16" s="45">
        <f t="shared" si="35"/>
        <v>11.79080011468495</v>
      </c>
      <c r="DC16" s="45">
        <f t="shared" si="76"/>
        <v>47.349771294599158</v>
      </c>
      <c r="DD16" s="45">
        <f t="shared" si="77"/>
        <v>11.79080011468495</v>
      </c>
      <c r="DE16" s="45">
        <f t="shared" si="78"/>
        <v>47.349771294599158</v>
      </c>
      <c r="DF16" s="45">
        <f t="shared" si="79"/>
        <v>108.56446667756353</v>
      </c>
      <c r="DG16" s="45">
        <f t="shared" si="80"/>
        <v>747.04479825205681</v>
      </c>
      <c r="DH16" s="45">
        <f t="shared" si="81"/>
        <v>747.04479825205681</v>
      </c>
      <c r="DI16" s="45">
        <f t="shared" si="82"/>
        <v>2593.1015985503509</v>
      </c>
      <c r="DJ16" s="45">
        <f t="shared" si="83"/>
        <v>2458.9358440803417</v>
      </c>
      <c r="DK16" s="45">
        <f t="shared" si="84"/>
        <v>517.5450970569259</v>
      </c>
      <c r="DL16" s="45">
        <f t="shared" si="84"/>
        <v>383.37934258691666</v>
      </c>
      <c r="DM16" s="76">
        <f t="shared" si="85"/>
        <v>2.654655595083502</v>
      </c>
      <c r="DN16" s="70">
        <f t="shared" si="86"/>
        <v>5.6620922182356059</v>
      </c>
      <c r="DP16" s="47">
        <f t="shared" si="87"/>
        <v>19117.378787670237</v>
      </c>
      <c r="DQ16" s="47">
        <f t="shared" si="88"/>
        <v>3193.575151389201</v>
      </c>
      <c r="DR16" s="47">
        <f t="shared" si="89"/>
        <v>2075.556501493425</v>
      </c>
      <c r="DS16" s="47">
        <f t="shared" si="90"/>
        <v>2075.556501493425</v>
      </c>
      <c r="DT16" s="47">
        <f t="shared" si="91"/>
        <v>32.454246416546567</v>
      </c>
      <c r="DU16" s="47">
        <f t="shared" si="92"/>
        <v>87.085076137787212</v>
      </c>
      <c r="DV16" s="47">
        <f t="shared" si="93"/>
        <v>32.454246416546567</v>
      </c>
      <c r="DW16" s="47">
        <f t="shared" si="94"/>
        <v>87.085076137787212</v>
      </c>
      <c r="DX16" s="47">
        <f t="shared" si="95"/>
        <v>119.80561703105067</v>
      </c>
      <c r="DY16" s="47">
        <f t="shared" si="96"/>
        <v>1118.018649895776</v>
      </c>
      <c r="DZ16" s="47">
        <f t="shared" si="97"/>
        <v>1118.018649895776</v>
      </c>
      <c r="EA16" s="47">
        <f t="shared" si="98"/>
        <v>2786.7383318781722</v>
      </c>
      <c r="EB16" s="47">
        <f t="shared" si="99"/>
        <v>2624.8475591647016</v>
      </c>
      <c r="EC16" s="47">
        <f t="shared" si="100"/>
        <v>711.18183038474717</v>
      </c>
      <c r="ED16" s="47">
        <f t="shared" si="100"/>
        <v>549.29105767127658</v>
      </c>
      <c r="EE16" s="76">
        <f t="shared" si="101"/>
        <v>9.7648137876033072</v>
      </c>
      <c r="EF16" s="70">
        <f t="shared" si="102"/>
        <v>16.650238600582565</v>
      </c>
    </row>
    <row r="17" spans="1:137" x14ac:dyDescent="0.35">
      <c r="A17" s="30" t="str">
        <f>'Data_world regions'!C14</f>
        <v>Middle East</v>
      </c>
      <c r="B17" s="30" t="str">
        <f>'Data_world regions'!D14</f>
        <v>MEA</v>
      </c>
      <c r="C17" s="30">
        <f>'Data_world regions'!E14</f>
        <v>0</v>
      </c>
      <c r="D17" s="30">
        <f>'Data_world regions'!F14</f>
        <v>0</v>
      </c>
      <c r="E17" s="31">
        <f>'Data_world regions'!G14</f>
        <v>4.7599926130683909E-2</v>
      </c>
      <c r="F17" s="30">
        <f>'Data_world regions'!H14</f>
        <v>706.1644285952035</v>
      </c>
      <c r="G17" s="30">
        <f>'Data_world regions'!I14</f>
        <v>2587.3864663728255</v>
      </c>
      <c r="H17" s="31">
        <f>'Data_world regions'!J14</f>
        <v>3049.4541462853813</v>
      </c>
      <c r="I17" s="30">
        <f>'Data_world regions'!K14</f>
        <v>1.1944928429090393</v>
      </c>
      <c r="J17" s="30">
        <f>'Data_world regions'!L14</f>
        <v>1.5191729833165211</v>
      </c>
      <c r="K17" s="30">
        <f>'Data_world regions'!M14</f>
        <v>1.5053659950823708</v>
      </c>
      <c r="L17" s="30">
        <f>'Data_world regions'!N14</f>
        <v>1.3904458508036863</v>
      </c>
      <c r="M17" s="30">
        <f>'Data_world regions'!O14</f>
        <v>1.5195104172380642</v>
      </c>
      <c r="N17" s="30">
        <f>'Data_world regions'!P14</f>
        <v>1.6031371129828391</v>
      </c>
      <c r="O17" s="31">
        <f>'Data_world regions'!Q14</f>
        <v>1.1620756490513198</v>
      </c>
      <c r="P17" s="31">
        <f>'Data_world regions'!R14</f>
        <v>1.1616057605319869</v>
      </c>
      <c r="Q17" s="31">
        <f>'Data_world regions'!S14</f>
        <v>1.2522061475494199</v>
      </c>
      <c r="R17" s="31">
        <f>'Data_world regions'!T14</f>
        <v>1.2960748226840799</v>
      </c>
      <c r="S17" s="31">
        <f>'Data_world regions'!U14</f>
        <v>1.2900250367175268</v>
      </c>
      <c r="T17" s="31">
        <f>'Data_world regions'!V14</f>
        <v>1.3143699274053684</v>
      </c>
      <c r="U17" s="30">
        <f>'Data_world regions'!W14</f>
        <v>1.3186843786652682</v>
      </c>
      <c r="V17" s="30">
        <f>'Data_world regions'!X14</f>
        <v>1.1428751798067498</v>
      </c>
      <c r="W17" s="31">
        <f>'Data_world regions'!Y14+Analysis!F19+IF(Template!$J$22="no",0,IF(Analysis!I19=0,0,Analysis!I19))</f>
        <v>3411.9461147757734</v>
      </c>
      <c r="X17" s="31">
        <f>'Data_world regions'!Z14+Analysis!F19+IF(Template!$M$22="no",0,IF(Analysis!L19=0,0,Analysis!L19))</f>
        <v>2957.0597729853939</v>
      </c>
      <c r="Z17" s="79">
        <f t="shared" si="36"/>
        <v>3642.5511525171828</v>
      </c>
      <c r="AA17" s="27">
        <f t="shared" si="37"/>
        <v>3006.7388072568019</v>
      </c>
      <c r="AB17" s="32">
        <f t="shared" si="38"/>
        <v>3006.7388072568019</v>
      </c>
      <c r="AC17" s="70">
        <f t="shared" si="39"/>
        <v>2957.0597729853939</v>
      </c>
      <c r="AD17" s="76">
        <f t="shared" si="103"/>
        <v>0</v>
      </c>
      <c r="AE17" s="32">
        <f t="shared" si="4"/>
        <v>0</v>
      </c>
      <c r="AF17" s="33">
        <f t="shared" si="5"/>
        <v>2.3514728386019976E-3</v>
      </c>
      <c r="AG17" s="70">
        <f t="shared" si="6"/>
        <v>0.14199991242313764</v>
      </c>
      <c r="AH17" s="79">
        <f t="shared" si="7"/>
        <v>131.83450915679842</v>
      </c>
      <c r="AI17" s="32">
        <f t="shared" si="8"/>
        <v>0</v>
      </c>
      <c r="AJ17" s="33">
        <f t="shared" si="9"/>
        <v>49.679034271408</v>
      </c>
      <c r="AK17" s="32">
        <f t="shared" si="40"/>
        <v>2672.0682597436585</v>
      </c>
      <c r="AL17" s="33">
        <f t="shared" si="41"/>
        <v>2509.2481761072445</v>
      </c>
      <c r="AM17" s="94">
        <f t="shared" si="10"/>
        <v>-334.67054751314345</v>
      </c>
      <c r="AN17" s="95">
        <f t="shared" si="11"/>
        <v>-447.81159687814943</v>
      </c>
      <c r="AO17" s="76">
        <f t="shared" si="12"/>
        <v>334.67054751314345</v>
      </c>
      <c r="AP17" s="76">
        <f t="shared" si="13"/>
        <v>6.4443152159570447</v>
      </c>
      <c r="AQ17" s="99">
        <f t="shared" si="104"/>
        <v>0.71890750055720853</v>
      </c>
      <c r="AR17" s="100">
        <f t="shared" si="42"/>
        <v>-2.156722501671624</v>
      </c>
      <c r="AS17" s="99">
        <f t="shared" si="43"/>
        <v>-1.4378150011144155</v>
      </c>
      <c r="AT17" s="70">
        <f t="shared" si="44"/>
        <v>-4.0154298333121368</v>
      </c>
      <c r="AV17" s="35">
        <f t="shared" si="14"/>
        <v>4632.6483528992976</v>
      </c>
      <c r="AW17" s="35">
        <f t="shared" si="15"/>
        <v>3005.5230240611763</v>
      </c>
      <c r="AX17" s="37">
        <f t="shared" si="45"/>
        <v>3005.5230240611763</v>
      </c>
      <c r="AY17" s="39">
        <f t="shared" si="46"/>
        <v>2957.0597729853939</v>
      </c>
      <c r="AZ17" s="37">
        <f t="shared" si="16"/>
        <v>0</v>
      </c>
      <c r="BA17" s="37">
        <f t="shared" si="17"/>
        <v>0</v>
      </c>
      <c r="BB17" s="39">
        <f t="shared" si="18"/>
        <v>2.778645417571527E-3</v>
      </c>
      <c r="BC17" s="39">
        <f t="shared" si="19"/>
        <v>0.17200530438371961</v>
      </c>
      <c r="BD17" s="35">
        <f t="shared" si="20"/>
        <v>116.85347301773623</v>
      </c>
      <c r="BE17" s="37">
        <f t="shared" si="47"/>
        <v>0</v>
      </c>
      <c r="BF17" s="39">
        <f t="shared" si="48"/>
        <v>48.463251075782409</v>
      </c>
      <c r="BG17" s="37">
        <f t="shared" si="49"/>
        <v>2888.0810924978491</v>
      </c>
      <c r="BH17" s="39">
        <f t="shared" si="50"/>
        <v>2776.2461403073216</v>
      </c>
      <c r="BI17" s="37">
        <f t="shared" si="51"/>
        <v>-117.44193156332722</v>
      </c>
      <c r="BJ17" s="39">
        <f t="shared" si="51"/>
        <v>-180.81363267807228</v>
      </c>
      <c r="BK17" s="76">
        <f t="shared" si="52"/>
        <v>-7.9085169183105722E-2</v>
      </c>
      <c r="BL17" s="70">
        <f t="shared" si="53"/>
        <v>-0.40187212937241934</v>
      </c>
      <c r="BN17" s="41">
        <f t="shared" si="54"/>
        <v>4590.5445753809545</v>
      </c>
      <c r="BO17" s="41">
        <f t="shared" si="55"/>
        <v>3239.9412392782224</v>
      </c>
      <c r="BP17" s="41">
        <f t="shared" si="21"/>
        <v>3239.9412392782224</v>
      </c>
      <c r="BQ17" s="41">
        <f t="shared" si="22"/>
        <v>2957.0597729853939</v>
      </c>
      <c r="BR17" s="41">
        <f t="shared" si="23"/>
        <v>0</v>
      </c>
      <c r="BS17" s="41">
        <f t="shared" si="24"/>
        <v>0</v>
      </c>
      <c r="BT17" s="41">
        <f t="shared" si="25"/>
        <v>0.47120479749033567</v>
      </c>
      <c r="BU17" s="41">
        <f t="shared" si="26"/>
        <v>4.9971969213694809</v>
      </c>
      <c r="BV17" s="41">
        <f t="shared" si="27"/>
        <v>126.54391386802429</v>
      </c>
      <c r="BW17" s="41">
        <f t="shared" si="56"/>
        <v>0</v>
      </c>
      <c r="BX17" s="41">
        <f t="shared" si="57"/>
        <v>282.88146629282846</v>
      </c>
      <c r="BY17" s="41">
        <f t="shared" si="58"/>
        <v>3015.0030920746863</v>
      </c>
      <c r="BZ17" s="41">
        <f t="shared" si="59"/>
        <v>2865.3831060163388</v>
      </c>
      <c r="CA17" s="41">
        <f t="shared" si="60"/>
        <v>-224.93814720353612</v>
      </c>
      <c r="CB17" s="41">
        <f t="shared" si="60"/>
        <v>-91.676666969055077</v>
      </c>
      <c r="CC17" s="76">
        <f t="shared" si="61"/>
        <v>-0.4738223654011221</v>
      </c>
      <c r="CD17" s="70">
        <f t="shared" si="62"/>
        <v>0.29065683389876618</v>
      </c>
      <c r="CF17" s="43">
        <f t="shared" si="63"/>
        <v>4240.100864918606</v>
      </c>
      <c r="CG17" s="43">
        <f t="shared" si="64"/>
        <v>3353.4464556193479</v>
      </c>
      <c r="CH17" s="43">
        <f t="shared" si="28"/>
        <v>3353.4464556193479</v>
      </c>
      <c r="CI17" s="43">
        <f t="shared" si="29"/>
        <v>2957.0597729853939</v>
      </c>
      <c r="CJ17" s="43">
        <f t="shared" si="30"/>
        <v>0</v>
      </c>
      <c r="CK17" s="43">
        <f t="shared" si="31"/>
        <v>0</v>
      </c>
      <c r="CL17" s="43">
        <f t="shared" si="32"/>
        <v>1.1177814014500771</v>
      </c>
      <c r="CM17" s="43">
        <f t="shared" si="33"/>
        <v>8.4597801875369765</v>
      </c>
      <c r="CN17" s="43">
        <f t="shared" si="34"/>
        <v>136.28231922754628</v>
      </c>
      <c r="CO17" s="43">
        <f t="shared" si="65"/>
        <v>0</v>
      </c>
      <c r="CP17" s="43">
        <f t="shared" si="66"/>
        <v>396.38668263395402</v>
      </c>
      <c r="CQ17" s="43">
        <f t="shared" si="67"/>
        <v>3049.2168344663487</v>
      </c>
      <c r="CR17" s="43">
        <f t="shared" si="68"/>
        <v>2885.2579844120046</v>
      </c>
      <c r="CS17" s="43">
        <f t="shared" si="69"/>
        <v>-304.22962115299924</v>
      </c>
      <c r="CT17" s="43">
        <f t="shared" si="69"/>
        <v>-71.801788573389331</v>
      </c>
      <c r="CU17" s="76">
        <f t="shared" si="70"/>
        <v>-1.0107277727810815</v>
      </c>
      <c r="CV17" s="70">
        <f t="shared" si="71"/>
        <v>0.99446428239501761</v>
      </c>
      <c r="CX17" s="45">
        <f t="shared" si="72"/>
        <v>4633.6773421704447</v>
      </c>
      <c r="CY17" s="45">
        <f t="shared" si="73"/>
        <v>3337.7933212850362</v>
      </c>
      <c r="CZ17" s="45">
        <f t="shared" si="74"/>
        <v>3337.7933212850362</v>
      </c>
      <c r="DA17" s="45">
        <f t="shared" si="75"/>
        <v>2957.0597729853939</v>
      </c>
      <c r="DB17" s="45">
        <f t="shared" si="35"/>
        <v>0</v>
      </c>
      <c r="DC17" s="45">
        <f t="shared" si="76"/>
        <v>0</v>
      </c>
      <c r="DD17" s="45">
        <f t="shared" si="77"/>
        <v>1.0926388146435868</v>
      </c>
      <c r="DE17" s="45">
        <f t="shared" si="78"/>
        <v>8.6094762559536697</v>
      </c>
      <c r="DF17" s="45">
        <f t="shared" si="79"/>
        <v>129.75759276424898</v>
      </c>
      <c r="DG17" s="45">
        <f t="shared" si="80"/>
        <v>0</v>
      </c>
      <c r="DH17" s="45">
        <f t="shared" si="81"/>
        <v>380.73354829964228</v>
      </c>
      <c r="DI17" s="45">
        <f t="shared" si="82"/>
        <v>3063.4924410933691</v>
      </c>
      <c r="DJ17" s="45">
        <f t="shared" si="83"/>
        <v>2903.1358726488106</v>
      </c>
      <c r="DK17" s="45">
        <f t="shared" si="84"/>
        <v>-274.30088019166715</v>
      </c>
      <c r="DL17" s="45">
        <f t="shared" si="84"/>
        <v>-53.923900336583301</v>
      </c>
      <c r="DM17" s="76">
        <f t="shared" si="85"/>
        <v>-0.81719327599357294</v>
      </c>
      <c r="DN17" s="70">
        <f t="shared" si="86"/>
        <v>1.0206769141570136</v>
      </c>
      <c r="DP17" s="47">
        <f t="shared" si="87"/>
        <v>4888.6931162494948</v>
      </c>
      <c r="DQ17" s="47">
        <f t="shared" si="88"/>
        <v>3400.7829619760832</v>
      </c>
      <c r="DR17" s="47">
        <f t="shared" si="89"/>
        <v>3400.7829619760832</v>
      </c>
      <c r="DS17" s="47">
        <f t="shared" si="90"/>
        <v>2957.0597729853939</v>
      </c>
      <c r="DT17" s="47">
        <f t="shared" si="91"/>
        <v>0</v>
      </c>
      <c r="DU17" s="47">
        <f t="shared" si="92"/>
        <v>0</v>
      </c>
      <c r="DV17" s="47">
        <f t="shared" si="93"/>
        <v>1.7578329413338365</v>
      </c>
      <c r="DW17" s="47">
        <f t="shared" si="94"/>
        <v>11.884659073141574</v>
      </c>
      <c r="DX17" s="47">
        <f t="shared" si="95"/>
        <v>128.71191787872039</v>
      </c>
      <c r="DY17" s="47">
        <f t="shared" si="96"/>
        <v>0</v>
      </c>
      <c r="DZ17" s="47">
        <f t="shared" si="97"/>
        <v>443.72318899068932</v>
      </c>
      <c r="EA17" s="47">
        <f t="shared" si="98"/>
        <v>2963.7020587545617</v>
      </c>
      <c r="EB17" s="47">
        <f t="shared" si="99"/>
        <v>2789.7763918351357</v>
      </c>
      <c r="EC17" s="47">
        <f t="shared" si="100"/>
        <v>-437.08090322152157</v>
      </c>
      <c r="ED17" s="47">
        <f t="shared" si="100"/>
        <v>-167.28338115025826</v>
      </c>
      <c r="EE17" s="76">
        <f t="shared" si="101"/>
        <v>-3.3601348995048879</v>
      </c>
      <c r="EF17" s="70">
        <f t="shared" si="102"/>
        <v>0.81994041402533124</v>
      </c>
    </row>
    <row r="18" spans="1:137" x14ac:dyDescent="0.35">
      <c r="A18" s="30" t="str">
        <f>'Data_world regions'!C15</f>
        <v>Other Asia</v>
      </c>
      <c r="B18" s="30" t="str">
        <f>'Data_world regions'!D15</f>
        <v>OAS</v>
      </c>
      <c r="C18" s="30">
        <f>'Data_world regions'!E15</f>
        <v>0</v>
      </c>
      <c r="D18" s="30">
        <f>'Data_world regions'!F15</f>
        <v>0</v>
      </c>
      <c r="E18" s="31">
        <f>'Data_world regions'!G15</f>
        <v>1.6714457430316274E-2</v>
      </c>
      <c r="F18" s="30">
        <f>'Data_world regions'!H15</f>
        <v>714.3862479294595</v>
      </c>
      <c r="G18" s="30">
        <f>'Data_world regions'!I15</f>
        <v>2617.5112124135394</v>
      </c>
      <c r="H18" s="31">
        <f>'Data_world regions'!J15</f>
        <v>4304.4584507178179</v>
      </c>
      <c r="I18" s="30">
        <f>'Data_world regions'!K15</f>
        <v>1.4311390552424275</v>
      </c>
      <c r="J18" s="30">
        <f>'Data_world regions'!L15</f>
        <v>1.7219001222710315</v>
      </c>
      <c r="K18" s="30">
        <f>'Data_world regions'!M15</f>
        <v>1.6547407054205343</v>
      </c>
      <c r="L18" s="30">
        <f>'Data_world regions'!N15</f>
        <v>1.5096540985146716</v>
      </c>
      <c r="M18" s="30">
        <f>'Data_world regions'!O15</f>
        <v>1.6191436595076441</v>
      </c>
      <c r="N18" s="30">
        <f>'Data_world regions'!P15</f>
        <v>1.7898750741982348</v>
      </c>
      <c r="O18" s="31">
        <f>'Data_world regions'!Q15</f>
        <v>1.39378218396165</v>
      </c>
      <c r="P18" s="31">
        <f>'Data_world regions'!R15</f>
        <v>1.1426610170715317</v>
      </c>
      <c r="Q18" s="31">
        <f>'Data_world regions'!S15</f>
        <v>1.1876084752781089</v>
      </c>
      <c r="R18" s="31">
        <f>'Data_world regions'!T15</f>
        <v>1.2670376342900762</v>
      </c>
      <c r="S18" s="31">
        <f>'Data_world regions'!U15</f>
        <v>1.2044945649846828</v>
      </c>
      <c r="T18" s="31">
        <f>'Data_world regions'!V15</f>
        <v>1.3054926850896971</v>
      </c>
      <c r="U18" s="30">
        <f>'Data_world regions'!W15</f>
        <v>1.3737751325701801</v>
      </c>
      <c r="V18" s="30">
        <f>'Data_world regions'!X15</f>
        <v>0.981830169428626</v>
      </c>
      <c r="W18" s="31">
        <f>'Data_world regions'!Y15+Analysis!F20+IF(Template!$J$22="no",0,IF(Analysis!I20=0,0,Analysis!I20))</f>
        <v>3595.871812837343</v>
      </c>
      <c r="X18" s="31">
        <f>'Data_world regions'!Z15+Analysis!F20+IF(Template!$M$22="no",0,IF(Analysis!L20=0,0,Analysis!L20))</f>
        <v>2569.9514771653135</v>
      </c>
      <c r="Z18" s="79">
        <f t="shared" si="36"/>
        <v>6160.2786004905811</v>
      </c>
      <c r="AA18" s="27">
        <f t="shared" si="37"/>
        <v>3648.240494181849</v>
      </c>
      <c r="AB18" s="32">
        <f t="shared" si="38"/>
        <v>3595.871812837343</v>
      </c>
      <c r="AC18" s="70">
        <f t="shared" si="39"/>
        <v>2569.9514771653135</v>
      </c>
      <c r="AD18" s="76">
        <f t="shared" si="103"/>
        <v>1.1110679838646155E-3</v>
      </c>
      <c r="AE18" s="32">
        <f t="shared" si="4"/>
        <v>6.3648804323837155E-2</v>
      </c>
      <c r="AF18" s="33">
        <f t="shared" si="5"/>
        <v>9.6990961173720258</v>
      </c>
      <c r="AG18" s="70">
        <f t="shared" si="6"/>
        <v>26.984683969631742</v>
      </c>
      <c r="AH18" s="79">
        <f t="shared" si="7"/>
        <v>207.57570116724415</v>
      </c>
      <c r="AI18" s="32">
        <f t="shared" si="8"/>
        <v>52.368681344506058</v>
      </c>
      <c r="AJ18" s="33">
        <f t="shared" si="9"/>
        <v>1078.2890170165356</v>
      </c>
      <c r="AK18" s="32">
        <f t="shared" si="40"/>
        <v>3121.2959634638551</v>
      </c>
      <c r="AL18" s="33">
        <f t="shared" si="41"/>
        <v>2864.932942574228</v>
      </c>
      <c r="AM18" s="94">
        <f t="shared" si="10"/>
        <v>-474.57584937348793</v>
      </c>
      <c r="AN18" s="95">
        <f t="shared" si="11"/>
        <v>294.98146540891457</v>
      </c>
      <c r="AO18" s="76">
        <f t="shared" si="12"/>
        <v>526.94453071799398</v>
      </c>
      <c r="AP18" s="76">
        <f t="shared" si="13"/>
        <v>6.4443152159570385</v>
      </c>
      <c r="AQ18" s="99">
        <f t="shared" si="104"/>
        <v>1.1319322190904368</v>
      </c>
      <c r="AR18" s="100">
        <f t="shared" si="42"/>
        <v>-3.0583163672433047</v>
      </c>
      <c r="AS18" s="99">
        <f t="shared" si="43"/>
        <v>-1.9263841481528678</v>
      </c>
      <c r="AT18" s="70">
        <f t="shared" si="44"/>
        <v>7.9186652756065676</v>
      </c>
      <c r="AV18" s="35">
        <f t="shared" si="14"/>
        <v>7411.847532601585</v>
      </c>
      <c r="AW18" s="35">
        <f t="shared" si="15"/>
        <v>2990.9280241725928</v>
      </c>
      <c r="AX18" s="37">
        <f t="shared" si="45"/>
        <v>2990.9280241725928</v>
      </c>
      <c r="AY18" s="39">
        <f t="shared" si="46"/>
        <v>2569.9514771653135</v>
      </c>
      <c r="AZ18" s="37">
        <f t="shared" si="16"/>
        <v>0</v>
      </c>
      <c r="BA18" s="37">
        <f t="shared" si="17"/>
        <v>0</v>
      </c>
      <c r="BB18" s="39">
        <f t="shared" si="18"/>
        <v>1.0331908257003384</v>
      </c>
      <c r="BC18" s="39">
        <f t="shared" si="19"/>
        <v>7.3628151001186746</v>
      </c>
      <c r="BD18" s="35">
        <f t="shared" si="20"/>
        <v>155.14434649824898</v>
      </c>
      <c r="BE18" s="37">
        <f t="shared" si="47"/>
        <v>0</v>
      </c>
      <c r="BF18" s="39">
        <f t="shared" si="48"/>
        <v>420.97654700727935</v>
      </c>
      <c r="BG18" s="37">
        <f t="shared" si="49"/>
        <v>2835.0023913835789</v>
      </c>
      <c r="BH18" s="39">
        <f t="shared" si="50"/>
        <v>2686.5210486798942</v>
      </c>
      <c r="BI18" s="37">
        <f t="shared" si="51"/>
        <v>-155.92563278901389</v>
      </c>
      <c r="BJ18" s="39">
        <f t="shared" si="51"/>
        <v>116.56957151458073</v>
      </c>
      <c r="BK18" s="76">
        <f t="shared" si="52"/>
        <v>-0.10500001903027815</v>
      </c>
      <c r="BL18" s="70">
        <f t="shared" si="53"/>
        <v>0.83940316646828173</v>
      </c>
      <c r="BN18" s="41">
        <f t="shared" si="54"/>
        <v>7122.7626131941824</v>
      </c>
      <c r="BO18" s="41">
        <f t="shared" si="55"/>
        <v>3108.5784999977977</v>
      </c>
      <c r="BP18" s="41">
        <f t="shared" si="21"/>
        <v>3108.5784999977977</v>
      </c>
      <c r="BQ18" s="41">
        <f t="shared" si="22"/>
        <v>2569.9514771653135</v>
      </c>
      <c r="BR18" s="41">
        <f t="shared" si="23"/>
        <v>0</v>
      </c>
      <c r="BS18" s="41">
        <f t="shared" si="24"/>
        <v>0</v>
      </c>
      <c r="BT18" s="41">
        <f t="shared" si="25"/>
        <v>1.9252249901964373</v>
      </c>
      <c r="BU18" s="41">
        <f t="shared" si="26"/>
        <v>10.722958050297406</v>
      </c>
      <c r="BV18" s="41">
        <f t="shared" si="27"/>
        <v>164.48671777303201</v>
      </c>
      <c r="BW18" s="41">
        <f t="shared" si="56"/>
        <v>0</v>
      </c>
      <c r="BX18" s="41">
        <f t="shared" si="57"/>
        <v>538.62702283248427</v>
      </c>
      <c r="BY18" s="41">
        <f t="shared" si="58"/>
        <v>2816.1951177827959</v>
      </c>
      <c r="BZ18" s="41">
        <f t="shared" si="59"/>
        <v>2621.7132208055045</v>
      </c>
      <c r="CA18" s="41">
        <f t="shared" si="60"/>
        <v>-292.3833822150018</v>
      </c>
      <c r="CB18" s="41">
        <f t="shared" si="60"/>
        <v>51.761743640191071</v>
      </c>
      <c r="CC18" s="76">
        <f t="shared" si="61"/>
        <v>-0.61589280203208918</v>
      </c>
      <c r="CD18" s="70">
        <f t="shared" si="62"/>
        <v>1.8753032910401581</v>
      </c>
      <c r="CF18" s="43">
        <f t="shared" si="63"/>
        <v>6498.243342012267</v>
      </c>
      <c r="CG18" s="43">
        <f t="shared" si="64"/>
        <v>3316.4852143042003</v>
      </c>
      <c r="CH18" s="43">
        <f t="shared" si="28"/>
        <v>3316.4852143042003</v>
      </c>
      <c r="CI18" s="43">
        <f t="shared" si="29"/>
        <v>2569.9514771653135</v>
      </c>
      <c r="CJ18" s="43">
        <f t="shared" si="30"/>
        <v>0</v>
      </c>
      <c r="CK18" s="43">
        <f t="shared" si="31"/>
        <v>0</v>
      </c>
      <c r="CL18" s="43">
        <f t="shared" si="32"/>
        <v>4.1084730273940684</v>
      </c>
      <c r="CM18" s="43">
        <f t="shared" si="33"/>
        <v>16.510197019922703</v>
      </c>
      <c r="CN18" s="43">
        <f t="shared" si="34"/>
        <v>183.72713851342806</v>
      </c>
      <c r="CO18" s="43">
        <f t="shared" si="65"/>
        <v>0</v>
      </c>
      <c r="CP18" s="43">
        <f t="shared" si="66"/>
        <v>746.53373713888686</v>
      </c>
      <c r="CQ18" s="43">
        <f t="shared" si="67"/>
        <v>2906.342225380316</v>
      </c>
      <c r="CR18" s="43">
        <f t="shared" si="68"/>
        <v>2685.3033516278056</v>
      </c>
      <c r="CS18" s="43">
        <f t="shared" si="69"/>
        <v>-410.14298892388433</v>
      </c>
      <c r="CT18" s="43">
        <f t="shared" si="69"/>
        <v>115.35187446249211</v>
      </c>
      <c r="CU18" s="76">
        <f t="shared" si="70"/>
        <v>-1.3625987770215748</v>
      </c>
      <c r="CV18" s="70">
        <f t="shared" si="71"/>
        <v>3.844512367371494</v>
      </c>
      <c r="CX18" s="45">
        <f t="shared" si="72"/>
        <v>6969.5366080938511</v>
      </c>
      <c r="CY18" s="45">
        <f t="shared" si="73"/>
        <v>3152.7780291385757</v>
      </c>
      <c r="CZ18" s="45">
        <f t="shared" si="74"/>
        <v>3152.7780291385757</v>
      </c>
      <c r="DA18" s="45">
        <f t="shared" si="75"/>
        <v>2569.9514771653135</v>
      </c>
      <c r="DB18" s="45">
        <f t="shared" si="35"/>
        <v>0</v>
      </c>
      <c r="DC18" s="45">
        <f t="shared" si="76"/>
        <v>0</v>
      </c>
      <c r="DD18" s="45">
        <f t="shared" si="77"/>
        <v>2.3202104727438813</v>
      </c>
      <c r="DE18" s="45">
        <f t="shared" si="78"/>
        <v>11.94288660093676</v>
      </c>
      <c r="DF18" s="45">
        <f t="shared" si="79"/>
        <v>168.64935108484329</v>
      </c>
      <c r="DG18" s="45">
        <f t="shared" si="80"/>
        <v>0</v>
      </c>
      <c r="DH18" s="45">
        <f t="shared" si="81"/>
        <v>582.82655197326221</v>
      </c>
      <c r="DI18" s="45">
        <f t="shared" si="82"/>
        <v>2796.2619713046802</v>
      </c>
      <c r="DJ18" s="45">
        <f t="shared" si="83"/>
        <v>2587.8423279200952</v>
      </c>
      <c r="DK18" s="45">
        <f t="shared" si="84"/>
        <v>-356.5160578338955</v>
      </c>
      <c r="DL18" s="45">
        <f t="shared" si="84"/>
        <v>17.890850754781695</v>
      </c>
      <c r="DM18" s="76">
        <f t="shared" si="85"/>
        <v>-1.0621275624125592</v>
      </c>
      <c r="DN18" s="70">
        <f t="shared" si="86"/>
        <v>2.3137857829833051</v>
      </c>
      <c r="DP18" s="47">
        <f t="shared" si="87"/>
        <v>7704.4428888617731</v>
      </c>
      <c r="DQ18" s="47">
        <f t="shared" si="88"/>
        <v>3417.1417409461401</v>
      </c>
      <c r="DR18" s="47">
        <f t="shared" si="89"/>
        <v>3417.1417409461401</v>
      </c>
      <c r="DS18" s="47">
        <f t="shared" si="90"/>
        <v>2569.9514771653135</v>
      </c>
      <c r="DT18" s="47">
        <f t="shared" si="91"/>
        <v>0</v>
      </c>
      <c r="DU18" s="47">
        <f t="shared" si="92"/>
        <v>0</v>
      </c>
      <c r="DV18" s="47">
        <f t="shared" si="93"/>
        <v>6.7057970428046731</v>
      </c>
      <c r="DW18" s="47">
        <f t="shared" si="94"/>
        <v>23.746013131258689</v>
      </c>
      <c r="DX18" s="47">
        <f t="shared" si="95"/>
        <v>173.85436706587404</v>
      </c>
      <c r="DY18" s="47">
        <f t="shared" si="96"/>
        <v>0</v>
      </c>
      <c r="DZ18" s="47">
        <f t="shared" si="97"/>
        <v>847.19026378082663</v>
      </c>
      <c r="EA18" s="47">
        <f t="shared" si="98"/>
        <v>2826.7657676989793</v>
      </c>
      <c r="EB18" s="47">
        <f t="shared" si="99"/>
        <v>2591.8400728827578</v>
      </c>
      <c r="EC18" s="47">
        <f t="shared" si="100"/>
        <v>-590.3759732471608</v>
      </c>
      <c r="ED18" s="47">
        <f t="shared" si="100"/>
        <v>21.888595717444332</v>
      </c>
      <c r="EE18" s="76">
        <f t="shared" si="101"/>
        <v>-4.5386172146064849</v>
      </c>
      <c r="EF18" s="70">
        <f t="shared" si="102"/>
        <v>6.6925992931796561</v>
      </c>
    </row>
    <row r="19" spans="1:137" x14ac:dyDescent="0.35">
      <c r="A19" s="30" t="str">
        <f>'Data_world regions'!C16</f>
        <v>Aust/NZ</v>
      </c>
      <c r="B19" s="30" t="str">
        <f>'Data_world regions'!D16</f>
        <v>ANZ</v>
      </c>
      <c r="C19" s="30">
        <f>'Data_world regions'!E16</f>
        <v>0</v>
      </c>
      <c r="D19" s="30">
        <f>'Data_world regions'!F16</f>
        <v>0</v>
      </c>
      <c r="E19" s="31">
        <f>'Data_world regions'!G16</f>
        <v>5.1192614855260894E-2</v>
      </c>
      <c r="F19" s="30">
        <f>'Data_world regions'!H16</f>
        <v>118.55318813181806</v>
      </c>
      <c r="G19" s="30">
        <f>'Data_world regions'!I16</f>
        <v>434.37888131498136</v>
      </c>
      <c r="H19" s="31">
        <f>'Data_world regions'!J16</f>
        <v>1539.5707033765207</v>
      </c>
      <c r="I19" s="30">
        <f>'Data_world regions'!K16</f>
        <v>1.3140408296254169</v>
      </c>
      <c r="J19" s="30">
        <f>'Data_world regions'!L16</f>
        <v>1.3543595801154618</v>
      </c>
      <c r="K19" s="30">
        <f>'Data_world regions'!M16</f>
        <v>1.3288572051247831</v>
      </c>
      <c r="L19" s="30">
        <f>'Data_world regions'!N16</f>
        <v>1.2102976121289006</v>
      </c>
      <c r="M19" s="30">
        <f>'Data_world regions'!O16</f>
        <v>1.3425892342080807</v>
      </c>
      <c r="N19" s="30">
        <f>'Data_world regions'!P16</f>
        <v>1.4318144556249657</v>
      </c>
      <c r="O19" s="31">
        <f>'Data_world regions'!Q16</f>
        <v>1.2691639629937483</v>
      </c>
      <c r="P19" s="31">
        <f>'Data_world regions'!R16</f>
        <v>0.90947003354549727</v>
      </c>
      <c r="Q19" s="31">
        <f>'Data_world regions'!S16</f>
        <v>1.0160301239037073</v>
      </c>
      <c r="R19" s="31">
        <f>'Data_world regions'!T16</f>
        <v>1.0683930558484569</v>
      </c>
      <c r="S19" s="31">
        <f>'Data_world regions'!U16</f>
        <v>1.07275603491278</v>
      </c>
      <c r="T19" s="31">
        <f>'Data_world regions'!V16</f>
        <v>1.2137481184144505</v>
      </c>
      <c r="U19" s="30">
        <f>'Data_world regions'!W16</f>
        <v>0.64758563624271648</v>
      </c>
      <c r="V19" s="30">
        <f>'Data_world regions'!X16</f>
        <v>0.64758563624271648</v>
      </c>
      <c r="W19" s="31">
        <f>'Data_world regions'!Y16+Analysis!F21+IF(Template!$J$22="no",0,IF(Analysis!I21=0,0,Analysis!I21))</f>
        <v>296.65752422676167</v>
      </c>
      <c r="X19" s="31">
        <f>'Data_world regions'!Z16+Analysis!F21+IF(Template!$M$22="no",0,IF(Analysis!L21=0,0,Analysis!L21))</f>
        <v>296.65752422676167</v>
      </c>
      <c r="Z19" s="79">
        <f t="shared" si="36"/>
        <v>2023.05876433187</v>
      </c>
      <c r="AA19" s="27">
        <f t="shared" si="37"/>
        <v>551.2980224505128</v>
      </c>
      <c r="AB19" s="32">
        <f t="shared" si="38"/>
        <v>296.65752422676167</v>
      </c>
      <c r="AC19" s="70">
        <f t="shared" si="39"/>
        <v>296.65752422676167</v>
      </c>
      <c r="AD19" s="76">
        <f t="shared" si="103"/>
        <v>5.6263321630618979</v>
      </c>
      <c r="AE19" s="32">
        <f t="shared" si="4"/>
        <v>66.285593245871738</v>
      </c>
      <c r="AF19" s="33">
        <f t="shared" si="5"/>
        <v>5.6263321630618979</v>
      </c>
      <c r="AG19" s="70">
        <f t="shared" si="6"/>
        <v>66.285593245871738</v>
      </c>
      <c r="AH19" s="79">
        <f t="shared" si="7"/>
        <v>31.276482302217978</v>
      </c>
      <c r="AI19" s="32">
        <f t="shared" si="8"/>
        <v>254.64049822375114</v>
      </c>
      <c r="AJ19" s="33">
        <f t="shared" si="9"/>
        <v>254.64049822375114</v>
      </c>
      <c r="AK19" s="32">
        <f t="shared" si="40"/>
        <v>471.90062094072266</v>
      </c>
      <c r="AL19" s="33">
        <f t="shared" si="41"/>
        <v>433.27310605959826</v>
      </c>
      <c r="AM19" s="94">
        <f t="shared" si="10"/>
        <v>175.24309671396099</v>
      </c>
      <c r="AN19" s="95">
        <f t="shared" si="11"/>
        <v>136.6155818328366</v>
      </c>
      <c r="AO19" s="76">
        <f t="shared" si="12"/>
        <v>79.397401509790143</v>
      </c>
      <c r="AP19" s="76">
        <f t="shared" si="13"/>
        <v>6.4443152159570385</v>
      </c>
      <c r="AQ19" s="99">
        <f t="shared" si="104"/>
        <v>0.17055396088566366</v>
      </c>
      <c r="AR19" s="100">
        <f t="shared" si="42"/>
        <v>1.1293217546452101</v>
      </c>
      <c r="AS19" s="99">
        <f t="shared" si="43"/>
        <v>1.2998757155308738</v>
      </c>
      <c r="AT19" s="70">
        <f t="shared" si="44"/>
        <v>2.5056401129378676</v>
      </c>
      <c r="AV19" s="35">
        <f t="shared" si="14"/>
        <v>2085.1323313830908</v>
      </c>
      <c r="AW19" s="35">
        <f t="shared" si="15"/>
        <v>395.05457576099167</v>
      </c>
      <c r="AX19" s="37">
        <f t="shared" si="45"/>
        <v>296.65752422676167</v>
      </c>
      <c r="AY19" s="39">
        <f t="shared" si="46"/>
        <v>296.65752422676167</v>
      </c>
      <c r="AZ19" s="37">
        <f t="shared" si="16"/>
        <v>0.65158788050212091</v>
      </c>
      <c r="BA19" s="37">
        <f t="shared" si="17"/>
        <v>19.866079430503536</v>
      </c>
      <c r="BB19" s="39">
        <f t="shared" si="18"/>
        <v>0.65158788050212091</v>
      </c>
      <c r="BC19" s="39">
        <f t="shared" si="19"/>
        <v>19.866079430503536</v>
      </c>
      <c r="BD19" s="35">
        <f t="shared" si="20"/>
        <v>22.076285464382288</v>
      </c>
      <c r="BE19" s="37">
        <f t="shared" si="47"/>
        <v>98.397051534230002</v>
      </c>
      <c r="BF19" s="39">
        <f t="shared" si="48"/>
        <v>98.397051534230002</v>
      </c>
      <c r="BG19" s="37">
        <f t="shared" si="49"/>
        <v>372.86711705972618</v>
      </c>
      <c r="BH19" s="39">
        <f t="shared" si="50"/>
        <v>351.73894460841285</v>
      </c>
      <c r="BI19" s="37">
        <f t="shared" si="51"/>
        <v>76.209592832964518</v>
      </c>
      <c r="BJ19" s="39">
        <f t="shared" si="51"/>
        <v>55.081420381651185</v>
      </c>
      <c r="BK19" s="76">
        <f t="shared" si="52"/>
        <v>8.4449584099988304E-2</v>
      </c>
      <c r="BL19" s="70">
        <f t="shared" si="53"/>
        <v>0.2676374174468733</v>
      </c>
      <c r="BN19" s="41">
        <f t="shared" si="54"/>
        <v>2045.8696219809196</v>
      </c>
      <c r="BO19" s="41">
        <f t="shared" si="55"/>
        <v>441.34202860361427</v>
      </c>
      <c r="BP19" s="41">
        <f t="shared" si="21"/>
        <v>296.65752422676167</v>
      </c>
      <c r="BQ19" s="41">
        <f t="shared" si="22"/>
        <v>296.65752422676167</v>
      </c>
      <c r="BR19" s="41">
        <f t="shared" si="23"/>
        <v>1.6285487222776789</v>
      </c>
      <c r="BS19" s="41">
        <f t="shared" si="24"/>
        <v>33.767584081482802</v>
      </c>
      <c r="BT19" s="41">
        <f t="shared" si="25"/>
        <v>1.6285487222776789</v>
      </c>
      <c r="BU19" s="41">
        <f t="shared" si="26"/>
        <v>33.767584081482802</v>
      </c>
      <c r="BV19" s="41">
        <f t="shared" si="27"/>
        <v>24.898433609538632</v>
      </c>
      <c r="BW19" s="41">
        <f t="shared" si="56"/>
        <v>144.6845043768526</v>
      </c>
      <c r="BX19" s="41">
        <f t="shared" si="57"/>
        <v>144.6845043768526</v>
      </c>
      <c r="BY19" s="41">
        <f t="shared" si="58"/>
        <v>397.08381536199693</v>
      </c>
      <c r="BZ19" s="41">
        <f t="shared" si="59"/>
        <v>367.64499704459399</v>
      </c>
      <c r="CA19" s="41">
        <f t="shared" si="60"/>
        <v>100.42629113523526</v>
      </c>
      <c r="CB19" s="41">
        <f t="shared" si="60"/>
        <v>70.987472817832327</v>
      </c>
      <c r="CC19" s="76">
        <f t="shared" si="61"/>
        <v>0.36392937739658149</v>
      </c>
      <c r="CD19" s="70">
        <f t="shared" si="62"/>
        <v>0.83714550023755308</v>
      </c>
      <c r="CF19" s="43">
        <f t="shared" si="63"/>
        <v>1863.338746000215</v>
      </c>
      <c r="CG19" s="43">
        <f t="shared" si="64"/>
        <v>464.0873804041471</v>
      </c>
      <c r="CH19" s="43">
        <f t="shared" si="28"/>
        <v>296.65752422676167</v>
      </c>
      <c r="CI19" s="43">
        <f t="shared" si="29"/>
        <v>296.65752422676167</v>
      </c>
      <c r="CJ19" s="43">
        <f t="shared" si="30"/>
        <v>2.0787311418431806</v>
      </c>
      <c r="CK19" s="43">
        <f t="shared" si="31"/>
        <v>37.246603251707604</v>
      </c>
      <c r="CL19" s="43">
        <f t="shared" si="32"/>
        <v>2.0787311418431806</v>
      </c>
      <c r="CM19" s="43">
        <f t="shared" si="33"/>
        <v>37.246603251707604</v>
      </c>
      <c r="CN19" s="43">
        <f t="shared" si="34"/>
        <v>27.434027379512369</v>
      </c>
      <c r="CO19" s="43">
        <f t="shared" si="65"/>
        <v>167.42985617738543</v>
      </c>
      <c r="CP19" s="43">
        <f t="shared" si="66"/>
        <v>167.42985617738543</v>
      </c>
      <c r="CQ19" s="43">
        <f t="shared" si="67"/>
        <v>402.84507249746559</v>
      </c>
      <c r="CR19" s="43">
        <f t="shared" si="68"/>
        <v>369.83967893651516</v>
      </c>
      <c r="CS19" s="43">
        <f t="shared" si="69"/>
        <v>106.18754827070393</v>
      </c>
      <c r="CT19" s="43">
        <f t="shared" si="69"/>
        <v>73.18215470975349</v>
      </c>
      <c r="CU19" s="76">
        <f t="shared" si="70"/>
        <v>0.6309040725518873</v>
      </c>
      <c r="CV19" s="70">
        <f t="shared" si="71"/>
        <v>1.2344855448652159</v>
      </c>
      <c r="CX19" s="45">
        <f t="shared" si="72"/>
        <v>2067.0110516554792</v>
      </c>
      <c r="CY19" s="45">
        <f t="shared" si="73"/>
        <v>465.98256636930847</v>
      </c>
      <c r="CZ19" s="45">
        <f t="shared" si="74"/>
        <v>296.65752422676167</v>
      </c>
      <c r="DA19" s="45">
        <f t="shared" si="75"/>
        <v>296.65752422676167</v>
      </c>
      <c r="DB19" s="45">
        <f t="shared" si="35"/>
        <v>2.3657799744801995</v>
      </c>
      <c r="DC19" s="45">
        <f t="shared" si="76"/>
        <v>41.915477082625983</v>
      </c>
      <c r="DD19" s="45">
        <f t="shared" si="77"/>
        <v>2.3657799744801995</v>
      </c>
      <c r="DE19" s="45">
        <f t="shared" si="78"/>
        <v>41.915477082625983</v>
      </c>
      <c r="DF19" s="45">
        <f t="shared" si="79"/>
        <v>26.1537510521635</v>
      </c>
      <c r="DG19" s="45">
        <f t="shared" si="80"/>
        <v>169.32504214254681</v>
      </c>
      <c r="DH19" s="45">
        <f t="shared" si="81"/>
        <v>169.32504214254681</v>
      </c>
      <c r="DI19" s="45">
        <f t="shared" si="82"/>
        <v>410.69488122431414</v>
      </c>
      <c r="DJ19" s="45">
        <f t="shared" si="83"/>
        <v>378.37364528478838</v>
      </c>
      <c r="DK19" s="45">
        <f t="shared" si="84"/>
        <v>114.03735699755248</v>
      </c>
      <c r="DL19" s="45">
        <f t="shared" si="84"/>
        <v>81.716121058026715</v>
      </c>
      <c r="DM19" s="76">
        <f t="shared" si="85"/>
        <v>0.59196384709056415</v>
      </c>
      <c r="DN19" s="70">
        <f t="shared" si="86"/>
        <v>1.2446149387223759</v>
      </c>
      <c r="DP19" s="47">
        <f t="shared" si="87"/>
        <v>2204.3795885511986</v>
      </c>
      <c r="DQ19" s="47">
        <f t="shared" si="88"/>
        <v>527.22654987503256</v>
      </c>
      <c r="DR19" s="47">
        <f t="shared" si="89"/>
        <v>296.65752422676167</v>
      </c>
      <c r="DS19" s="47">
        <f t="shared" si="90"/>
        <v>296.65752422676167</v>
      </c>
      <c r="DT19" s="47">
        <f t="shared" si="91"/>
        <v>4.9762483080577447</v>
      </c>
      <c r="DU19" s="47">
        <f t="shared" si="92"/>
        <v>64.747399969268997</v>
      </c>
      <c r="DV19" s="47">
        <f t="shared" si="93"/>
        <v>4.9762483080577447</v>
      </c>
      <c r="DW19" s="47">
        <f t="shared" si="94"/>
        <v>64.747399969268997</v>
      </c>
      <c r="DX19" s="47">
        <f t="shared" si="95"/>
        <v>28.654299614092931</v>
      </c>
      <c r="DY19" s="47">
        <f t="shared" si="96"/>
        <v>230.56902564827089</v>
      </c>
      <c r="DZ19" s="47">
        <f t="shared" si="97"/>
        <v>230.56902564827089</v>
      </c>
      <c r="EA19" s="47">
        <f t="shared" si="98"/>
        <v>429.92206274658429</v>
      </c>
      <c r="EB19" s="47">
        <f t="shared" si="99"/>
        <v>391.20211938293949</v>
      </c>
      <c r="EC19" s="47">
        <f t="shared" si="100"/>
        <v>133.26453851982262</v>
      </c>
      <c r="ED19" s="47">
        <f t="shared" si="100"/>
        <v>94.54459515617782</v>
      </c>
      <c r="EE19" s="76">
        <f t="shared" si="101"/>
        <v>1.9107637407722444</v>
      </c>
      <c r="EF19" s="70">
        <f t="shared" si="102"/>
        <v>3.1523084968744701</v>
      </c>
    </row>
    <row r="20" spans="1:137" x14ac:dyDescent="0.35">
      <c r="A20" s="30" t="str">
        <f>'Data_world regions'!C17</f>
        <v>Other Americans</v>
      </c>
      <c r="B20" s="30" t="str">
        <f>'Data_world regions'!D17</f>
        <v>OAM</v>
      </c>
      <c r="C20" s="30">
        <f>'Data_world regions'!E17</f>
        <v>0</v>
      </c>
      <c r="D20" s="30">
        <f>'Data_world regions'!F17</f>
        <v>0</v>
      </c>
      <c r="E20" s="31">
        <f>'Data_world regions'!G17</f>
        <v>3.7655849233238656E-2</v>
      </c>
      <c r="F20" s="30">
        <f>'Data_world regions'!H17</f>
        <v>288.58240798802058</v>
      </c>
      <c r="G20" s="30">
        <f>'Data_world regions'!I17</f>
        <v>1057.3659428681076</v>
      </c>
      <c r="H20" s="31">
        <f>'Data_world regions'!J17</f>
        <v>3294.3799066912093</v>
      </c>
      <c r="I20" s="30">
        <f>'Data_world regions'!K17</f>
        <v>1.2214137182566644</v>
      </c>
      <c r="J20" s="30">
        <f>'Data_world regions'!L17</f>
        <v>1.4558173080365133</v>
      </c>
      <c r="K20" s="30">
        <f>'Data_world regions'!M17</f>
        <v>1.4332172219355646</v>
      </c>
      <c r="L20" s="30">
        <f>'Data_world regions'!N17</f>
        <v>1.3573636869301091</v>
      </c>
      <c r="M20" s="30">
        <f>'Data_world regions'!O17</f>
        <v>1.4122767459727905</v>
      </c>
      <c r="N20" s="30">
        <f>'Data_world regions'!P17</f>
        <v>1.4914976017743731</v>
      </c>
      <c r="O20" s="31">
        <f>'Data_world regions'!Q17</f>
        <v>1.1137228775074144</v>
      </c>
      <c r="P20" s="31">
        <f>'Data_world regions'!R17</f>
        <v>1.1523297796771566</v>
      </c>
      <c r="Q20" s="31">
        <f>'Data_world regions'!S17</f>
        <v>1.2616787555283142</v>
      </c>
      <c r="R20" s="31">
        <f>'Data_world regions'!T17</f>
        <v>1.2456836932865163</v>
      </c>
      <c r="S20" s="31">
        <f>'Data_world regions'!U17</f>
        <v>1.2512749062312563</v>
      </c>
      <c r="T20" s="31">
        <f>'Data_world regions'!V17</f>
        <v>1.4406165004533094</v>
      </c>
      <c r="U20" s="30">
        <f>'Data_world regions'!W17</f>
        <v>1.279850123562374</v>
      </c>
      <c r="V20" s="30">
        <f>'Data_world regions'!X17</f>
        <v>1.1187398671588795</v>
      </c>
      <c r="W20" s="31">
        <f>'Data_world regions'!Y17+Analysis!F22+IF(Template!$J$22="no",0,IF(Analysis!I22=0,0,Analysis!I22))</f>
        <v>1353.2699326303937</v>
      </c>
      <c r="X20" s="31">
        <f>'Data_world regions'!Z17+Analysis!F22+IF(Template!$M$22="no",0,IF(Analysis!L22=0,0,Analysis!L22))</f>
        <v>1182.9174344625901</v>
      </c>
      <c r="Z20" s="79">
        <f t="shared" si="36"/>
        <v>4023.800811181753</v>
      </c>
      <c r="AA20" s="27">
        <f t="shared" si="37"/>
        <v>1177.6126404694091</v>
      </c>
      <c r="AB20" s="32">
        <f t="shared" si="38"/>
        <v>1177.6126404694091</v>
      </c>
      <c r="AC20" s="70">
        <f t="shared" si="39"/>
        <v>1177.6126404694091</v>
      </c>
      <c r="AD20" s="76">
        <f t="shared" si="103"/>
        <v>0</v>
      </c>
      <c r="AE20" s="32">
        <f t="shared" si="4"/>
        <v>0</v>
      </c>
      <c r="AF20" s="33">
        <f t="shared" si="5"/>
        <v>0</v>
      </c>
      <c r="AG20" s="70">
        <f t="shared" si="6"/>
        <v>0</v>
      </c>
      <c r="AH20" s="79">
        <f t="shared" si="7"/>
        <v>55.234111359883919</v>
      </c>
      <c r="AI20" s="32">
        <f t="shared" si="8"/>
        <v>0</v>
      </c>
      <c r="AJ20" s="33">
        <f t="shared" si="9"/>
        <v>0</v>
      </c>
      <c r="AK20" s="32">
        <f t="shared" si="40"/>
        <v>1037.397226398813</v>
      </c>
      <c r="AL20" s="33">
        <f t="shared" si="41"/>
        <v>969.18122826054741</v>
      </c>
      <c r="AM20" s="94">
        <f t="shared" si="10"/>
        <v>-140.21541407059613</v>
      </c>
      <c r="AN20" s="95">
        <f t="shared" si="11"/>
        <v>-208.43141220886173</v>
      </c>
      <c r="AO20" s="76">
        <f t="shared" si="12"/>
        <v>140.21541407059613</v>
      </c>
      <c r="AP20" s="76">
        <f t="shared" si="13"/>
        <v>6.4443152159570412</v>
      </c>
      <c r="AQ20" s="99">
        <f t="shared" si="104"/>
        <v>0.30119744213561983</v>
      </c>
      <c r="AR20" s="100">
        <f t="shared" si="42"/>
        <v>-0.90359232640685949</v>
      </c>
      <c r="AS20" s="99">
        <f t="shared" si="43"/>
        <v>-0.60239488427123966</v>
      </c>
      <c r="AT20" s="70">
        <f t="shared" si="44"/>
        <v>-1.9787162105178899</v>
      </c>
      <c r="AV20" s="35">
        <f t="shared" si="14"/>
        <v>4796.0152874087762</v>
      </c>
      <c r="AW20" s="35">
        <f t="shared" si="15"/>
        <v>1218.4342639833353</v>
      </c>
      <c r="AX20" s="37">
        <f t="shared" si="45"/>
        <v>1218.4342639833353</v>
      </c>
      <c r="AY20" s="39">
        <f t="shared" si="46"/>
        <v>1182.9174344625901</v>
      </c>
      <c r="AZ20" s="37">
        <f t="shared" si="16"/>
        <v>0</v>
      </c>
      <c r="BA20" s="37">
        <f t="shared" si="17"/>
        <v>0</v>
      </c>
      <c r="BB20" s="39">
        <f t="shared" si="18"/>
        <v>5.4501865849011953E-3</v>
      </c>
      <c r="BC20" s="39">
        <f t="shared" si="19"/>
        <v>0.46036090426239495</v>
      </c>
      <c r="BD20" s="35">
        <f t="shared" si="20"/>
        <v>52.346177498179166</v>
      </c>
      <c r="BE20" s="37">
        <f t="shared" si="47"/>
        <v>0</v>
      </c>
      <c r="BF20" s="39">
        <f t="shared" si="48"/>
        <v>35.516829520745205</v>
      </c>
      <c r="BG20" s="37">
        <f t="shared" si="49"/>
        <v>1165.8244780986672</v>
      </c>
      <c r="BH20" s="39">
        <f t="shared" si="50"/>
        <v>1115.7264184802152</v>
      </c>
      <c r="BI20" s="37">
        <f t="shared" si="51"/>
        <v>-52.609785884668099</v>
      </c>
      <c r="BJ20" s="39">
        <f t="shared" si="51"/>
        <v>-67.191015982374893</v>
      </c>
      <c r="BK20" s="76">
        <f t="shared" si="52"/>
        <v>-3.5427327888697277E-2</v>
      </c>
      <c r="BL20" s="70">
        <f t="shared" si="53"/>
        <v>-0.126870162647225</v>
      </c>
      <c r="BN20" s="41">
        <f t="shared" si="54"/>
        <v>4721.5620178683193</v>
      </c>
      <c r="BO20" s="41">
        <f t="shared" si="55"/>
        <v>1334.0561469358565</v>
      </c>
      <c r="BP20" s="41">
        <f t="shared" si="21"/>
        <v>1334.0561469358565</v>
      </c>
      <c r="BQ20" s="41">
        <f t="shared" si="22"/>
        <v>1182.9174344625901</v>
      </c>
      <c r="BR20" s="41">
        <f t="shared" si="23"/>
        <v>0</v>
      </c>
      <c r="BS20" s="41">
        <f t="shared" si="24"/>
        <v>0</v>
      </c>
      <c r="BT20" s="41">
        <f t="shared" si="25"/>
        <v>0.34490308827047228</v>
      </c>
      <c r="BU20" s="41">
        <f t="shared" si="26"/>
        <v>6.8460902430569348</v>
      </c>
      <c r="BV20" s="41">
        <f t="shared" si="27"/>
        <v>57.763620814049112</v>
      </c>
      <c r="BW20" s="41">
        <f t="shared" si="56"/>
        <v>0</v>
      </c>
      <c r="BX20" s="41">
        <f t="shared" si="57"/>
        <v>151.13871247326642</v>
      </c>
      <c r="BY20" s="41">
        <f t="shared" si="58"/>
        <v>1231.3784167746826</v>
      </c>
      <c r="BZ20" s="41">
        <f t="shared" si="59"/>
        <v>1163.0812393229778</v>
      </c>
      <c r="CA20" s="41">
        <f t="shared" si="60"/>
        <v>-102.67773016117394</v>
      </c>
      <c r="CB20" s="41">
        <f t="shared" si="60"/>
        <v>-19.8361951396123</v>
      </c>
      <c r="CC20" s="76">
        <f t="shared" si="61"/>
        <v>-0.21628614614204811</v>
      </c>
      <c r="CD20" s="70">
        <f t="shared" si="62"/>
        <v>0.32552050891291739</v>
      </c>
      <c r="CF20" s="43">
        <f t="shared" si="63"/>
        <v>4471.6716562948486</v>
      </c>
      <c r="CG20" s="43">
        <f t="shared" si="64"/>
        <v>1317.1435128673238</v>
      </c>
      <c r="CH20" s="43">
        <f t="shared" si="28"/>
        <v>1317.1435128673238</v>
      </c>
      <c r="CI20" s="43">
        <f t="shared" si="29"/>
        <v>1182.9174344625901</v>
      </c>
      <c r="CJ20" s="43">
        <f t="shared" si="30"/>
        <v>0</v>
      </c>
      <c r="CK20" s="43">
        <f t="shared" si="31"/>
        <v>0</v>
      </c>
      <c r="CL20" s="43">
        <f t="shared" si="32"/>
        <v>0.23471825322625239</v>
      </c>
      <c r="CM20" s="43">
        <f t="shared" si="33"/>
        <v>5.2460354056944869</v>
      </c>
      <c r="CN20" s="43">
        <f t="shared" si="34"/>
        <v>58.603194885636775</v>
      </c>
      <c r="CO20" s="43">
        <f t="shared" si="65"/>
        <v>0</v>
      </c>
      <c r="CP20" s="43">
        <f t="shared" si="66"/>
        <v>134.2260784047337</v>
      </c>
      <c r="CQ20" s="43">
        <f t="shared" si="67"/>
        <v>1186.3207628622815</v>
      </c>
      <c r="CR20" s="43">
        <f t="shared" si="68"/>
        <v>1115.8162946567134</v>
      </c>
      <c r="CS20" s="43">
        <f t="shared" si="69"/>
        <v>-130.82275000504228</v>
      </c>
      <c r="CT20" s="43">
        <f t="shared" si="69"/>
        <v>-67.101139805876755</v>
      </c>
      <c r="CU20" s="76">
        <f t="shared" si="70"/>
        <v>-0.43462627419568439</v>
      </c>
      <c r="CV20" s="70">
        <f t="shared" si="71"/>
        <v>9.3625915138728644E-5</v>
      </c>
      <c r="CX20" s="45">
        <f t="shared" si="72"/>
        <v>4652.5761346200061</v>
      </c>
      <c r="CY20" s="45">
        <f t="shared" si="73"/>
        <v>1323.0554710144152</v>
      </c>
      <c r="CZ20" s="45">
        <f t="shared" si="74"/>
        <v>1323.0554710144152</v>
      </c>
      <c r="DA20" s="45">
        <f t="shared" si="75"/>
        <v>1182.9174344625901</v>
      </c>
      <c r="DB20" s="45">
        <f t="shared" si="35"/>
        <v>0</v>
      </c>
      <c r="DC20" s="45">
        <f t="shared" si="76"/>
        <v>0</v>
      </c>
      <c r="DD20" s="45">
        <f t="shared" si="77"/>
        <v>0.27544691602788401</v>
      </c>
      <c r="DE20" s="45">
        <f t="shared" si="78"/>
        <v>5.8966199928030196</v>
      </c>
      <c r="DF20" s="45">
        <f t="shared" si="79"/>
        <v>57.710449644263157</v>
      </c>
      <c r="DG20" s="45">
        <f t="shared" si="80"/>
        <v>0</v>
      </c>
      <c r="DH20" s="45">
        <f t="shared" si="81"/>
        <v>140.13803655182505</v>
      </c>
      <c r="DI20" s="45">
        <f t="shared" si="82"/>
        <v>1201.0585473936203</v>
      </c>
      <c r="DJ20" s="45">
        <f t="shared" si="83"/>
        <v>1129.7390240331636</v>
      </c>
      <c r="DK20" s="45">
        <f t="shared" si="84"/>
        <v>-121.99692362079486</v>
      </c>
      <c r="DL20" s="45">
        <f t="shared" si="84"/>
        <v>-53.178410429426549</v>
      </c>
      <c r="DM20" s="76">
        <f t="shared" si="85"/>
        <v>-0.36345149751307104</v>
      </c>
      <c r="DN20" s="70">
        <f t="shared" si="86"/>
        <v>0.12635217225478024</v>
      </c>
      <c r="DP20" s="47">
        <f t="shared" si="87"/>
        <v>4913.5597301636217</v>
      </c>
      <c r="DQ20" s="47">
        <f t="shared" si="88"/>
        <v>1523.258824313167</v>
      </c>
      <c r="DR20" s="47">
        <f t="shared" si="89"/>
        <v>1353.2699326303937</v>
      </c>
      <c r="DS20" s="47">
        <f t="shared" si="90"/>
        <v>1182.9174344625901</v>
      </c>
      <c r="DT20" s="47">
        <f t="shared" si="91"/>
        <v>0.39169038229320319</v>
      </c>
      <c r="DU20" s="47">
        <f t="shared" si="92"/>
        <v>6.9126349095356288</v>
      </c>
      <c r="DV20" s="47">
        <f t="shared" si="93"/>
        <v>3.1435877303758928</v>
      </c>
      <c r="DW20" s="47">
        <f t="shared" si="94"/>
        <v>27.709715809964077</v>
      </c>
      <c r="DX20" s="47">
        <f t="shared" si="95"/>
        <v>64.654496237415501</v>
      </c>
      <c r="DY20" s="47">
        <f t="shared" si="96"/>
        <v>169.98889168277333</v>
      </c>
      <c r="DZ20" s="47">
        <f t="shared" si="97"/>
        <v>340.34138985057689</v>
      </c>
      <c r="EA20" s="47">
        <f t="shared" si="98"/>
        <v>1303.7045974900573</v>
      </c>
      <c r="EB20" s="47">
        <f t="shared" si="99"/>
        <v>1216.3383569525824</v>
      </c>
      <c r="EC20" s="47">
        <f t="shared" si="100"/>
        <v>-49.565335140336401</v>
      </c>
      <c r="ED20" s="47">
        <f t="shared" si="100"/>
        <v>33.420922489992336</v>
      </c>
      <c r="EE20" s="76">
        <f t="shared" si="101"/>
        <v>0.27236740486162581</v>
      </c>
      <c r="EF20" s="70">
        <f t="shared" si="102"/>
        <v>3.0586013144125839</v>
      </c>
    </row>
    <row r="21" spans="1:137" x14ac:dyDescent="0.35">
      <c r="A21" s="30" t="str">
        <f>'Data_world regions'!C18</f>
        <v>Africa</v>
      </c>
      <c r="B21" s="30" t="str">
        <f>'Data_world regions'!D18</f>
        <v>AFR</v>
      </c>
      <c r="C21" s="30">
        <f>'Data_world regions'!E18</f>
        <v>0</v>
      </c>
      <c r="D21" s="30">
        <f>'Data_world regions'!F18</f>
        <v>0</v>
      </c>
      <c r="E21" s="31">
        <f>'Data_world regions'!G18</f>
        <v>3.3717403533832312E-2</v>
      </c>
      <c r="F21" s="30">
        <f>'Data_world regions'!H18</f>
        <v>369.52382776757668</v>
      </c>
      <c r="G21" s="30">
        <f>'Data_world regions'!I18</f>
        <v>1353.9353049404019</v>
      </c>
      <c r="H21" s="31">
        <f>'Data_world regions'!J18</f>
        <v>2411.8423218423864</v>
      </c>
      <c r="I21" s="30">
        <f>'Data_world regions'!K18</f>
        <v>1.3263572562220902</v>
      </c>
      <c r="J21" s="30">
        <f>'Data_world regions'!L18</f>
        <v>1.7666823095078694</v>
      </c>
      <c r="K21" s="30">
        <f>'Data_world regions'!M18</f>
        <v>1.6994169047912171</v>
      </c>
      <c r="L21" s="30">
        <f>'Data_world regions'!N18</f>
        <v>1.5805832526128178</v>
      </c>
      <c r="M21" s="30">
        <f>'Data_world regions'!O18</f>
        <v>1.6446826058458313</v>
      </c>
      <c r="N21" s="30">
        <f>'Data_world regions'!P18</f>
        <v>1.8339270661341445</v>
      </c>
      <c r="O21" s="31">
        <f>'Data_world regions'!Q18</f>
        <v>1.3070253557120981</v>
      </c>
      <c r="P21" s="31">
        <f>'Data_world regions'!R18</f>
        <v>1.2084588740143432</v>
      </c>
      <c r="Q21" s="31">
        <f>'Data_world regions'!S18</f>
        <v>1.2955776667494447</v>
      </c>
      <c r="R21" s="31">
        <f>'Data_world regions'!T18</f>
        <v>1.3384436079984463</v>
      </c>
      <c r="S21" s="31">
        <f>'Data_world regions'!U18</f>
        <v>1.3294974920764482</v>
      </c>
      <c r="T21" s="31">
        <f>'Data_world regions'!V18</f>
        <v>1.3338270838610413</v>
      </c>
      <c r="U21" s="30">
        <f>'Data_world regions'!W18</f>
        <v>1.4757193281194212</v>
      </c>
      <c r="V21" s="30">
        <f>'Data_world regions'!X18</f>
        <v>1.0899245214980713</v>
      </c>
      <c r="W21" s="31">
        <f>'Data_world regions'!Y18+Analysis!F23+IF(Template!$J$22="no",0,IF(Analysis!I23=0,0,Analysis!I23))</f>
        <v>1998.0284985238136</v>
      </c>
      <c r="X21" s="31">
        <f>'Data_world regions'!Z18+Analysis!F23+IF(Template!$M$22="no",0,IF(Analysis!L23=0,0,Analysis!L23))</f>
        <v>1475.6872893765128</v>
      </c>
      <c r="Z21" s="79">
        <f t="shared" si="36"/>
        <v>3198.9645644391831</v>
      </c>
      <c r="AA21" s="27">
        <f t="shared" si="37"/>
        <v>1769.6277735508968</v>
      </c>
      <c r="AB21" s="32">
        <f>MIN(AA21,W21)</f>
        <v>1769.6277735508968</v>
      </c>
      <c r="AC21" s="70">
        <f>MIN(AA21,X21)</f>
        <v>1475.6872893765128</v>
      </c>
      <c r="AD21" s="76">
        <f t="shared" si="103"/>
        <v>0</v>
      </c>
      <c r="AE21" s="32">
        <f t="shared" si="4"/>
        <v>0</v>
      </c>
      <c r="AF21" s="33">
        <f t="shared" si="5"/>
        <v>0.87473784641725261</v>
      </c>
      <c r="AG21" s="70">
        <f t="shared" si="6"/>
        <v>8.9277036697500609</v>
      </c>
      <c r="AH21" s="79">
        <f t="shared" si="7"/>
        <v>98.376081967595738</v>
      </c>
      <c r="AI21" s="32">
        <f t="shared" si="8"/>
        <v>0</v>
      </c>
      <c r="AJ21" s="33">
        <f t="shared" si="9"/>
        <v>293.94048417438398</v>
      </c>
      <c r="AK21" s="32">
        <f t="shared" si="40"/>
        <v>1519.8936377402556</v>
      </c>
      <c r="AL21" s="33">
        <f t="shared" si="41"/>
        <v>1398.3958448161281</v>
      </c>
      <c r="AM21" s="94">
        <f t="shared" si="10"/>
        <v>-249.73413581064119</v>
      </c>
      <c r="AN21" s="95">
        <f t="shared" si="11"/>
        <v>-77.291444560384662</v>
      </c>
      <c r="AO21" s="76">
        <f t="shared" si="12"/>
        <v>249.73413581064119</v>
      </c>
      <c r="AP21" s="76">
        <f t="shared" si="13"/>
        <v>6.4443152159570332</v>
      </c>
      <c r="AQ21" s="99">
        <f t="shared" si="104"/>
        <v>0.53645516378279845</v>
      </c>
      <c r="AR21" s="100">
        <f t="shared" si="42"/>
        <v>-1.609365491348397</v>
      </c>
      <c r="AS21" s="99">
        <f t="shared" si="43"/>
        <v>-1.0729103275655985</v>
      </c>
      <c r="AT21" s="70">
        <f t="shared" si="44"/>
        <v>0.66148650404732834</v>
      </c>
      <c r="AV21" s="35">
        <f t="shared" si="14"/>
        <v>4260.9591633213295</v>
      </c>
      <c r="AW21" s="35">
        <f t="shared" si="15"/>
        <v>1636.1751340965445</v>
      </c>
      <c r="AX21" s="37">
        <f t="shared" si="45"/>
        <v>1636.1751340965445</v>
      </c>
      <c r="AY21" s="39">
        <f t="shared" si="46"/>
        <v>1475.6872893765128</v>
      </c>
      <c r="AZ21" s="37">
        <f t="shared" si="16"/>
        <v>0</v>
      </c>
      <c r="BA21" s="37">
        <f t="shared" si="17"/>
        <v>0</v>
      </c>
      <c r="BB21" s="39">
        <f t="shared" si="18"/>
        <v>0.22183412422720264</v>
      </c>
      <c r="BC21" s="39">
        <f t="shared" si="19"/>
        <v>4.1467462775300232</v>
      </c>
      <c r="BD21" s="35">
        <f t="shared" si="20"/>
        <v>78.811285787366671</v>
      </c>
      <c r="BE21" s="37">
        <f t="shared" si="47"/>
        <v>0</v>
      </c>
      <c r="BF21" s="39">
        <f t="shared" si="48"/>
        <v>160.48784472003172</v>
      </c>
      <c r="BG21" s="37">
        <f t="shared" si="49"/>
        <v>1556.9669651578868</v>
      </c>
      <c r="BH21" s="39">
        <f t="shared" si="50"/>
        <v>1481.5403975900888</v>
      </c>
      <c r="BI21" s="37">
        <f>BG21-AX21</f>
        <v>-79.208168938657764</v>
      </c>
      <c r="BJ21" s="39">
        <f>BH21-AY21</f>
        <v>5.8531082135759789</v>
      </c>
      <c r="BK21" s="76">
        <f t="shared" si="52"/>
        <v>-5.3338627505628025E-2</v>
      </c>
      <c r="BL21" s="70">
        <f t="shared" si="53"/>
        <v>0.22097045274349955</v>
      </c>
      <c r="BN21" s="41">
        <f t="shared" si="54"/>
        <v>4098.7256134298505</v>
      </c>
      <c r="BO21" s="41">
        <f t="shared" si="55"/>
        <v>1754.1283433043839</v>
      </c>
      <c r="BP21" s="41">
        <f t="shared" si="21"/>
        <v>1754.1283433043839</v>
      </c>
      <c r="BQ21" s="41">
        <f t="shared" si="22"/>
        <v>1475.6872893765128</v>
      </c>
      <c r="BR21" s="41">
        <f t="shared" si="23"/>
        <v>0</v>
      </c>
      <c r="BS21" s="41">
        <f t="shared" si="24"/>
        <v>0</v>
      </c>
      <c r="BT21" s="41">
        <f t="shared" si="25"/>
        <v>0.96957195340288338</v>
      </c>
      <c r="BU21" s="41">
        <f t="shared" si="26"/>
        <v>10.446433164852696</v>
      </c>
      <c r="BV21" s="41">
        <f t="shared" si="27"/>
        <v>86.148804274855038</v>
      </c>
      <c r="BW21" s="41">
        <f t="shared" si="56"/>
        <v>0</v>
      </c>
      <c r="BX21" s="41">
        <f t="shared" si="57"/>
        <v>278.44105392787105</v>
      </c>
      <c r="BY21" s="41">
        <f t="shared" si="58"/>
        <v>1600.9945273423145</v>
      </c>
      <c r="BZ21" s="41">
        <f t="shared" si="59"/>
        <v>1499.1359511330315</v>
      </c>
      <c r="CA21" s="41">
        <f>BY21-BP21</f>
        <v>-153.13381596206932</v>
      </c>
      <c r="CB21" s="41">
        <f>BZ21-BQ21</f>
        <v>23.448661756518732</v>
      </c>
      <c r="CC21" s="76">
        <f t="shared" si="61"/>
        <v>-0.32256968328450375</v>
      </c>
      <c r="CD21" s="70">
        <f t="shared" si="62"/>
        <v>0.95010144866094814</v>
      </c>
      <c r="CF21" s="43">
        <f t="shared" si="63"/>
        <v>3812.1175818468896</v>
      </c>
      <c r="CG21" s="43">
        <f t="shared" si="64"/>
        <v>1812.1660545409081</v>
      </c>
      <c r="CH21" s="43">
        <f t="shared" si="28"/>
        <v>1812.1660545409081</v>
      </c>
      <c r="CI21" s="43">
        <f t="shared" si="29"/>
        <v>1475.6872893765128</v>
      </c>
      <c r="CJ21" s="43">
        <f t="shared" si="30"/>
        <v>0</v>
      </c>
      <c r="CK21" s="43">
        <f t="shared" si="31"/>
        <v>0</v>
      </c>
      <c r="CL21" s="43">
        <f t="shared" si="32"/>
        <v>1.4910678769597332</v>
      </c>
      <c r="CM21" s="43">
        <f t="shared" si="33"/>
        <v>13.294163239970583</v>
      </c>
      <c r="CN21" s="43">
        <f t="shared" si="34"/>
        <v>92.284158820738242</v>
      </c>
      <c r="CO21" s="43">
        <f t="shared" si="65"/>
        <v>0</v>
      </c>
      <c r="CP21" s="43">
        <f t="shared" si="66"/>
        <v>336.47876516439533</v>
      </c>
      <c r="CQ21" s="43">
        <f t="shared" si="67"/>
        <v>1606.1556576266944</v>
      </c>
      <c r="CR21" s="43">
        <f t="shared" si="68"/>
        <v>1495.1302168780871</v>
      </c>
      <c r="CS21" s="43">
        <f t="shared" si="69"/>
        <v>-206.01039691421374</v>
      </c>
      <c r="CT21" s="43">
        <f t="shared" si="69"/>
        <v>19.442927501574331</v>
      </c>
      <c r="CU21" s="76">
        <f t="shared" si="70"/>
        <v>-0.68441866000330842</v>
      </c>
      <c r="CV21" s="70">
        <f t="shared" si="71"/>
        <v>1.4767074995458245</v>
      </c>
      <c r="CX21" s="45">
        <f t="shared" si="72"/>
        <v>3966.715114776996</v>
      </c>
      <c r="CY21" s="45">
        <f t="shared" si="73"/>
        <v>1800.0535923520254</v>
      </c>
      <c r="CZ21" s="45">
        <f t="shared" si="74"/>
        <v>1800.0535923520254</v>
      </c>
      <c r="DA21" s="45">
        <f t="shared" si="75"/>
        <v>1475.6872893765128</v>
      </c>
      <c r="DB21" s="45">
        <f t="shared" si="35"/>
        <v>0</v>
      </c>
      <c r="DC21" s="45">
        <f t="shared" si="76"/>
        <v>0</v>
      </c>
      <c r="DD21" s="45">
        <f t="shared" si="77"/>
        <v>1.4087095427696552</v>
      </c>
      <c r="DE21" s="45">
        <f t="shared" si="78"/>
        <v>13.028876888694599</v>
      </c>
      <c r="DF21" s="45">
        <f t="shared" si="79"/>
        <v>89.863274711310808</v>
      </c>
      <c r="DG21" s="45">
        <f t="shared" si="80"/>
        <v>0</v>
      </c>
      <c r="DH21" s="45">
        <f t="shared" si="81"/>
        <v>324.36630297551255</v>
      </c>
      <c r="DI21" s="45">
        <f t="shared" si="82"/>
        <v>1610.0872495345925</v>
      </c>
      <c r="DJ21" s="45">
        <f t="shared" si="83"/>
        <v>1499.0327358455352</v>
      </c>
      <c r="DK21" s="45">
        <f t="shared" si="84"/>
        <v>-189.96634281743286</v>
      </c>
      <c r="DL21" s="45">
        <f t="shared" si="84"/>
        <v>23.345446469022363</v>
      </c>
      <c r="DM21" s="76">
        <f t="shared" si="85"/>
        <v>-0.565945023242444</v>
      </c>
      <c r="DN21" s="70">
        <f t="shared" si="86"/>
        <v>1.387868428435501</v>
      </c>
      <c r="DP21" s="47">
        <f t="shared" si="87"/>
        <v>4423.1429132745707</v>
      </c>
      <c r="DQ21" s="47">
        <f t="shared" si="88"/>
        <v>1805.9155795251661</v>
      </c>
      <c r="DR21" s="47">
        <f t="shared" si="89"/>
        <v>1805.9155795251661</v>
      </c>
      <c r="DS21" s="47">
        <f t="shared" si="90"/>
        <v>1475.6872893765128</v>
      </c>
      <c r="DT21" s="47">
        <f t="shared" si="91"/>
        <v>0</v>
      </c>
      <c r="DU21" s="47">
        <f t="shared" si="92"/>
        <v>0</v>
      </c>
      <c r="DV21" s="47">
        <f t="shared" si="93"/>
        <v>1.6467703302395094</v>
      </c>
      <c r="DW21" s="47">
        <f t="shared" si="94"/>
        <v>14.960290011781341</v>
      </c>
      <c r="DX21" s="47">
        <f t="shared" si="95"/>
        <v>85.377664308225562</v>
      </c>
      <c r="DY21" s="47">
        <f t="shared" si="96"/>
        <v>0</v>
      </c>
      <c r="DZ21" s="47">
        <f t="shared" si="97"/>
        <v>330.22829014865329</v>
      </c>
      <c r="EA21" s="47">
        <f t="shared" si="98"/>
        <v>1515.9894619923264</v>
      </c>
      <c r="EB21" s="47">
        <f t="shared" si="99"/>
        <v>1400.6204468338165</v>
      </c>
      <c r="EC21" s="47">
        <f t="shared" si="100"/>
        <v>-289.92611753283973</v>
      </c>
      <c r="ED21" s="47">
        <f t="shared" si="100"/>
        <v>-75.066842542696349</v>
      </c>
      <c r="EE21" s="76">
        <f t="shared" si="101"/>
        <v>-2.2288570802790497</v>
      </c>
      <c r="EF21" s="70">
        <f t="shared" si="102"/>
        <v>1.3528002841136613</v>
      </c>
    </row>
    <row r="22" spans="1:137" x14ac:dyDescent="0.35">
      <c r="A22" s="30" t="str">
        <f>'Data_world regions'!C19</f>
        <v>Rest Europe (nonETS)</v>
      </c>
      <c r="B22" s="30" t="str">
        <f>'Data_world regions'!D19</f>
        <v>REU</v>
      </c>
      <c r="C22" s="30">
        <f>'Data_world regions'!E19</f>
        <v>0</v>
      </c>
      <c r="D22" s="30">
        <f>'Data_world regions'!F19</f>
        <v>0</v>
      </c>
      <c r="E22" s="31">
        <f>'Data_world regions'!G19</f>
        <v>0.23309856322810685</v>
      </c>
      <c r="F22" s="30">
        <f>'Data_world regions'!H19</f>
        <v>95.861342948326367</v>
      </c>
      <c r="G22" s="30">
        <f>'Data_world regions'!I19</f>
        <v>351.23596056266786</v>
      </c>
      <c r="H22" s="31">
        <f>'Data_world regions'!J19</f>
        <v>341.41864866316308</v>
      </c>
      <c r="I22" s="30">
        <f>'Data_world regions'!K19</f>
        <v>1.1764228653088502</v>
      </c>
      <c r="J22" s="30">
        <f>'Data_world regions'!L19</f>
        <v>1.3891991750881394</v>
      </c>
      <c r="K22" s="30">
        <f>'Data_world regions'!M19</f>
        <v>1.3375567692711523</v>
      </c>
      <c r="L22" s="30">
        <f>'Data_world regions'!N19</f>
        <v>1.2398470082518664</v>
      </c>
      <c r="M22" s="30">
        <f>'Data_world regions'!O19</f>
        <v>1.3330343608818602</v>
      </c>
      <c r="N22" s="30">
        <f>'Data_world regions'!P19</f>
        <v>1.4503110773426875</v>
      </c>
      <c r="O22" s="31">
        <f>'Data_world regions'!Q19</f>
        <v>1.234033450224737</v>
      </c>
      <c r="P22" s="31">
        <f>'Data_world regions'!R19</f>
        <v>1.0487494457892137</v>
      </c>
      <c r="Q22" s="31">
        <f>'Data_world regions'!S19</f>
        <v>1.0499151233681128</v>
      </c>
      <c r="R22" s="31">
        <f>'Data_world regions'!T19</f>
        <v>1.1214862577215474</v>
      </c>
      <c r="S22" s="31">
        <f>'Data_world regions'!U19</f>
        <v>1.064091792011747</v>
      </c>
      <c r="T22" s="31">
        <f>'Data_world regions'!V19</f>
        <v>1.1453891102500837</v>
      </c>
      <c r="U22" s="30">
        <f>'Data_world regions'!W19</f>
        <v>0.97047669209528398</v>
      </c>
      <c r="V22" s="30">
        <f>'Data_world regions'!X19</f>
        <v>0.94336249666276284</v>
      </c>
      <c r="W22" s="31">
        <f>'Data_world regions'!Y19+Analysis!F24+IF(Template!$J$22="no",0,IF(Analysis!I24=0,0,Analysis!I24))</f>
        <v>340.86631315176754</v>
      </c>
      <c r="X22" s="31">
        <f>'Data_world regions'!Z19+Analysis!F24+IF(Template!$M$22="no",0,IF(Analysis!L24=0,0,Analysis!L24))</f>
        <v>331.34283267414207</v>
      </c>
      <c r="Z22" s="79">
        <f t="shared" si="36"/>
        <v>401.65270493019398</v>
      </c>
      <c r="AA22" s="27">
        <f t="shared" si="37"/>
        <v>433.43692425614864</v>
      </c>
      <c r="AB22" s="32">
        <f>MIN(AA22,W22)</f>
        <v>340.86631315176754</v>
      </c>
      <c r="AC22" s="70">
        <f t="shared" si="39"/>
        <v>331.34283267414207</v>
      </c>
      <c r="AD22" s="76">
        <f t="shared" si="103"/>
        <v>0.39532827110125512</v>
      </c>
      <c r="AE22" s="32">
        <f t="shared" si="4"/>
        <v>12.811677476844874</v>
      </c>
      <c r="AF22" s="33">
        <f t="shared" si="5"/>
        <v>0.53032281166228734</v>
      </c>
      <c r="AG22" s="70">
        <f t="shared" si="6"/>
        <v>15.583354632318997</v>
      </c>
      <c r="AH22" s="79">
        <f t="shared" si="7"/>
        <v>25.86247787643536</v>
      </c>
      <c r="AI22" s="32">
        <f t="shared" si="8"/>
        <v>92.570611104381101</v>
      </c>
      <c r="AJ22" s="33">
        <f t="shared" si="9"/>
        <v>102.09409158200657</v>
      </c>
      <c r="AK22" s="32">
        <f t="shared" si="40"/>
        <v>367.78332804441015</v>
      </c>
      <c r="AL22" s="33">
        <f t="shared" si="41"/>
        <v>335.84229198474077</v>
      </c>
      <c r="AM22" s="94">
        <f t="shared" si="10"/>
        <v>26.917014892642612</v>
      </c>
      <c r="AN22" s="95">
        <f t="shared" si="11"/>
        <v>4.4994593105986951</v>
      </c>
      <c r="AO22" s="76">
        <f t="shared" si="12"/>
        <v>65.653596211738488</v>
      </c>
      <c r="AP22" s="76">
        <f t="shared" si="13"/>
        <v>6.4443152159570465</v>
      </c>
      <c r="AQ22" s="99">
        <f t="shared" si="104"/>
        <v>0.14103082301653538</v>
      </c>
      <c r="AR22" s="100">
        <f t="shared" si="42"/>
        <v>0.17346172864079903</v>
      </c>
      <c r="AS22" s="99">
        <f t="shared" si="43"/>
        <v>0.31449255165733442</v>
      </c>
      <c r="AT22" s="70">
        <f t="shared" si="44"/>
        <v>0.52732344380038487</v>
      </c>
      <c r="AV22" s="35">
        <f t="shared" si="14"/>
        <v>474.29850508257346</v>
      </c>
      <c r="AW22" s="35">
        <f t="shared" si="15"/>
        <v>368.35851898134001</v>
      </c>
      <c r="AX22" s="37">
        <f t="shared" si="45"/>
        <v>340.86631315176754</v>
      </c>
      <c r="AY22" s="39">
        <f t="shared" si="46"/>
        <v>331.34283267414207</v>
      </c>
      <c r="AZ22" s="37">
        <f t="shared" si="16"/>
        <v>1.6930846656580099E-2</v>
      </c>
      <c r="BA22" s="37">
        <f t="shared" si="17"/>
        <v>1.8475250870959368</v>
      </c>
      <c r="BB22" s="39">
        <f t="shared" si="18"/>
        <v>4.1324473986590504E-2</v>
      </c>
      <c r="BC22" s="39">
        <f t="shared" si="19"/>
        <v>3.3492131128111513</v>
      </c>
      <c r="BD22" s="35">
        <f t="shared" si="20"/>
        <v>20.226205462736658</v>
      </c>
      <c r="BE22" s="37">
        <f t="shared" si="47"/>
        <v>27.49220582957247</v>
      </c>
      <c r="BF22" s="39">
        <f t="shared" si="48"/>
        <v>37.015686307197939</v>
      </c>
      <c r="BG22" s="37">
        <f t="shared" si="49"/>
        <v>348.03045703850012</v>
      </c>
      <c r="BH22" s="39">
        <f t="shared" si="50"/>
        <v>328.67290896992358</v>
      </c>
      <c r="BI22" s="37">
        <f t="shared" si="51"/>
        <v>7.1641438867325746</v>
      </c>
      <c r="BJ22" s="39">
        <f t="shared" si="51"/>
        <v>-2.6699237042184905</v>
      </c>
      <c r="BK22" s="76">
        <f t="shared" si="52"/>
        <v>1.408091968469458E-2</v>
      </c>
      <c r="BL22" s="70">
        <f t="shared" si="53"/>
        <v>4.064846613093457E-2</v>
      </c>
      <c r="BN22" s="41">
        <f t="shared" si="54"/>
        <v>456.66682467482303</v>
      </c>
      <c r="BO22" s="41">
        <f t="shared" si="55"/>
        <v>368.767946865471</v>
      </c>
      <c r="BP22" s="41">
        <f t="shared" si="21"/>
        <v>340.86631315176754</v>
      </c>
      <c r="BQ22" s="41">
        <f t="shared" si="22"/>
        <v>331.34283267414207</v>
      </c>
      <c r="BR22" s="41">
        <f t="shared" si="23"/>
        <v>1.700284625911376E-2</v>
      </c>
      <c r="BS22" s="41">
        <f t="shared" si="24"/>
        <v>1.8281559890268795</v>
      </c>
      <c r="BT22" s="41">
        <f t="shared" si="25"/>
        <v>4.1031947561102823E-2</v>
      </c>
      <c r="BU22" s="41">
        <f t="shared" si="26"/>
        <v>3.2891240372441848</v>
      </c>
      <c r="BV22" s="41">
        <f t="shared" si="27"/>
        <v>20.635880693286271</v>
      </c>
      <c r="BW22" s="41">
        <f t="shared" si="56"/>
        <v>27.901633713703461</v>
      </c>
      <c r="BX22" s="41">
        <f t="shared" si="57"/>
        <v>37.42511419132893</v>
      </c>
      <c r="BY22" s="41">
        <f t="shared" si="58"/>
        <v>332.08663500165363</v>
      </c>
      <c r="BZ22" s="41">
        <f t="shared" si="59"/>
        <v>307.68767271847912</v>
      </c>
      <c r="CA22" s="41">
        <f t="shared" ref="CA22:CB22" si="105">BY22-BP22</f>
        <v>-8.7796781501139094</v>
      </c>
      <c r="CB22" s="41">
        <f t="shared" si="105"/>
        <v>-23.655159955662953</v>
      </c>
      <c r="CC22" s="76">
        <f t="shared" si="61"/>
        <v>1.0892777433730457E-2</v>
      </c>
      <c r="CD22" s="70">
        <f t="shared" si="62"/>
        <v>-2.8868245882201465E-2</v>
      </c>
      <c r="CF22" s="43">
        <f t="shared" si="63"/>
        <v>423.30689010641782</v>
      </c>
      <c r="CG22" s="43">
        <f t="shared" si="64"/>
        <v>393.90630298865938</v>
      </c>
      <c r="CH22" s="43">
        <f t="shared" si="28"/>
        <v>340.86631315176754</v>
      </c>
      <c r="CI22" s="43">
        <f t="shared" si="29"/>
        <v>331.34283267414207</v>
      </c>
      <c r="CJ22" s="43">
        <f t="shared" si="30"/>
        <v>9.4889764855764724E-2</v>
      </c>
      <c r="CK22" s="43">
        <f t="shared" si="31"/>
        <v>5.3670691763461305</v>
      </c>
      <c r="CL22" s="43">
        <f t="shared" si="32"/>
        <v>0.15572974242917195</v>
      </c>
      <c r="CM22" s="43">
        <f t="shared" si="33"/>
        <v>7.4674442600270634</v>
      </c>
      <c r="CN22" s="43">
        <f t="shared" si="34"/>
        <v>22.894693598257625</v>
      </c>
      <c r="CO22" s="43">
        <f t="shared" si="65"/>
        <v>53.039989836891834</v>
      </c>
      <c r="CP22" s="43">
        <f t="shared" si="66"/>
        <v>62.563470314517303</v>
      </c>
      <c r="CQ22" s="43">
        <f t="shared" si="67"/>
        <v>342.7973697147674</v>
      </c>
      <c r="CR22" s="43">
        <f t="shared" si="68"/>
        <v>315.25316841269461</v>
      </c>
      <c r="CS22" s="43">
        <f t="shared" si="69"/>
        <v>1.9310565629998564</v>
      </c>
      <c r="CT22" s="43">
        <f t="shared" si="69"/>
        <v>-16.089664261447467</v>
      </c>
      <c r="CU22" s="76">
        <f t="shared" si="70"/>
        <v>9.4521591251168297E-2</v>
      </c>
      <c r="CV22" s="70">
        <f t="shared" si="71"/>
        <v>0.11953308234251103</v>
      </c>
      <c r="CX22" s="45">
        <f t="shared" si="72"/>
        <v>455.122790113848</v>
      </c>
      <c r="CY22" s="45">
        <f t="shared" si="73"/>
        <v>373.7473026940965</v>
      </c>
      <c r="CZ22" s="45">
        <f t="shared" si="74"/>
        <v>340.86631315176754</v>
      </c>
      <c r="DA22" s="45">
        <f t="shared" si="75"/>
        <v>331.34283267414207</v>
      </c>
      <c r="DB22" s="45">
        <f t="shared" si="35"/>
        <v>2.6998938070497962E-2</v>
      </c>
      <c r="DC22" s="45">
        <f t="shared" si="76"/>
        <v>2.4633326228586752</v>
      </c>
      <c r="DD22" s="45">
        <f t="shared" si="77"/>
        <v>5.7909119913480585E-2</v>
      </c>
      <c r="DE22" s="45">
        <f t="shared" si="78"/>
        <v>4.0969114732170979</v>
      </c>
      <c r="DF22" s="45">
        <f t="shared" si="79"/>
        <v>20.949967318038436</v>
      </c>
      <c r="DG22" s="45">
        <f t="shared" si="80"/>
        <v>32.880989542328962</v>
      </c>
      <c r="DH22" s="45">
        <f t="shared" si="81"/>
        <v>42.404470019954431</v>
      </c>
      <c r="DI22" s="45">
        <f t="shared" si="82"/>
        <v>329.46014883354866</v>
      </c>
      <c r="DJ22" s="45">
        <f t="shared" si="83"/>
        <v>303.56983446674354</v>
      </c>
      <c r="DK22" s="45">
        <f t="shared" si="84"/>
        <v>-11.406164318218885</v>
      </c>
      <c r="DL22" s="45">
        <f t="shared" si="84"/>
        <v>-27.77299820739853</v>
      </c>
      <c r="DM22" s="76">
        <f t="shared" si="85"/>
        <v>1.4998205592348594E-2</v>
      </c>
      <c r="DN22" s="70">
        <f t="shared" si="86"/>
        <v>-4.9153364456251902E-2</v>
      </c>
      <c r="DP22" s="47">
        <f t="shared" si="87"/>
        <v>495.16324816755656</v>
      </c>
      <c r="DQ22" s="47">
        <f t="shared" si="88"/>
        <v>402.30184435670765</v>
      </c>
      <c r="DR22" s="47">
        <f t="shared" si="89"/>
        <v>340.86631315176754</v>
      </c>
      <c r="DS22" s="47">
        <f t="shared" si="90"/>
        <v>331.34283267414207</v>
      </c>
      <c r="DT22" s="47">
        <f t="shared" si="91"/>
        <v>0.16536469945455126</v>
      </c>
      <c r="DU22" s="47">
        <f t="shared" si="92"/>
        <v>8.0750355475686408</v>
      </c>
      <c r="DV22" s="47">
        <f t="shared" si="93"/>
        <v>0.25480422599265184</v>
      </c>
      <c r="DW22" s="47">
        <f t="shared" si="94"/>
        <v>10.772594767773089</v>
      </c>
      <c r="DX22" s="47">
        <f t="shared" si="95"/>
        <v>21.619587149527458</v>
      </c>
      <c r="DY22" s="47">
        <f t="shared" si="96"/>
        <v>61.435531204940105</v>
      </c>
      <c r="DZ22" s="47">
        <f t="shared" si="97"/>
        <v>70.959011682565574</v>
      </c>
      <c r="EA22" s="47">
        <f t="shared" si="98"/>
        <v>328.88588696653244</v>
      </c>
      <c r="EB22" s="47">
        <f t="shared" si="99"/>
        <v>299.67180038095859</v>
      </c>
      <c r="EC22" s="47">
        <f t="shared" si="100"/>
        <v>-11.980426185235103</v>
      </c>
      <c r="ED22" s="47">
        <f t="shared" si="100"/>
        <v>-31.671032293183487</v>
      </c>
      <c r="EE22" s="76">
        <f t="shared" si="101"/>
        <v>0.14404653151320687</v>
      </c>
      <c r="EF22" s="70">
        <f t="shared" si="102"/>
        <v>5.7215529539025978E-2</v>
      </c>
    </row>
    <row r="23" spans="1:137" x14ac:dyDescent="0.35">
      <c r="Z23" s="79"/>
      <c r="AC23" s="70"/>
      <c r="AD23" s="76"/>
      <c r="AG23" s="70"/>
      <c r="AH23" s="79"/>
      <c r="AO23" s="76"/>
      <c r="AP23" s="32"/>
      <c r="AQ23" s="32"/>
      <c r="AR23" s="32"/>
      <c r="AS23" s="76"/>
      <c r="AT23" s="70"/>
      <c r="AX23" s="37"/>
      <c r="AY23" s="39"/>
      <c r="AZ23" s="37"/>
      <c r="BA23" s="37"/>
      <c r="BB23" s="39"/>
      <c r="BC23" s="39"/>
      <c r="BE23" s="37"/>
      <c r="BF23" s="39"/>
      <c r="BG23" s="37"/>
      <c r="BH23" s="39"/>
      <c r="BI23" s="37"/>
      <c r="BJ23" s="39"/>
      <c r="BK23" s="76"/>
      <c r="BL23" s="70"/>
      <c r="CC23" s="76"/>
      <c r="CD23" s="70"/>
      <c r="CU23" s="76"/>
      <c r="CV23" s="70"/>
      <c r="DM23" s="76"/>
      <c r="DN23" s="70"/>
      <c r="EE23" s="76"/>
      <c r="EF23" s="70"/>
    </row>
    <row r="24" spans="1:137" x14ac:dyDescent="0.35">
      <c r="Z24" s="79"/>
      <c r="AC24" s="70"/>
      <c r="AD24" s="76"/>
      <c r="AG24" s="70"/>
      <c r="AH24" s="79"/>
      <c r="AO24" s="76"/>
      <c r="AP24" s="32"/>
      <c r="AQ24" s="32"/>
      <c r="AR24" s="32">
        <f>SUM(AR7:AR22)</f>
        <v>1.5237811012980274E-14</v>
      </c>
      <c r="AS24" s="76">
        <f>SUM(AS7:AS22)</f>
        <v>13.159027713200114</v>
      </c>
      <c r="AT24" s="70">
        <f>SUM(AT7:AT23)</f>
        <v>43.224107857860147</v>
      </c>
      <c r="AX24" s="37"/>
      <c r="AY24" s="39"/>
      <c r="AZ24" s="37"/>
      <c r="BA24" s="37"/>
      <c r="BB24" s="39"/>
      <c r="BC24" s="39"/>
      <c r="BE24" s="37"/>
      <c r="BF24" s="39"/>
      <c r="BG24" s="37"/>
      <c r="BH24" s="39"/>
      <c r="BI24" s="37"/>
      <c r="BJ24" s="39"/>
      <c r="BK24" s="76">
        <f>SUM(BK7:BK22)</f>
        <v>0.64023769663803631</v>
      </c>
      <c r="BL24" s="70">
        <f>SUM(BL7:BL23)</f>
        <v>4.7637887672858774</v>
      </c>
      <c r="CC24" s="76">
        <f>SUM(CC7:CC22)</f>
        <v>3.8570587573149853</v>
      </c>
      <c r="CD24" s="70">
        <f>SUM(CD7:CD23)</f>
        <v>17.808388022349209</v>
      </c>
      <c r="CU24" s="76">
        <f>SUM(CU7:CU22)</f>
        <v>8.6255265077156196</v>
      </c>
      <c r="CV24" s="70">
        <f>SUM(CV7:CV23)</f>
        <v>31.437157452623349</v>
      </c>
      <c r="DM24" s="76">
        <f>SUM(DM7:DM22)</f>
        <v>6.6577526535225529</v>
      </c>
      <c r="DN24" s="70">
        <f>SUM(DN7:DN23)</f>
        <v>26.490333879592423</v>
      </c>
      <c r="EE24" s="76">
        <f>SUM(EE7:EE22)</f>
        <v>28.750229287762668</v>
      </c>
      <c r="EF24" s="70">
        <f>SUM(EF7:EF23)</f>
        <v>78.5404631000943</v>
      </c>
    </row>
    <row r="25" spans="1:137" x14ac:dyDescent="0.35">
      <c r="Z25" s="79"/>
      <c r="AC25" s="70"/>
      <c r="AD25" s="76"/>
      <c r="AG25" s="70"/>
      <c r="AH25" s="79"/>
      <c r="AK25" s="32">
        <f>AA7-AK7</f>
        <v>670.99314774340291</v>
      </c>
      <c r="AO25" s="76"/>
      <c r="AP25" s="32"/>
      <c r="AQ25" s="32"/>
      <c r="AR25" s="32"/>
      <c r="AS25" s="76" t="s">
        <v>555</v>
      </c>
      <c r="AT25" s="70"/>
      <c r="AX25" s="37"/>
      <c r="AY25" s="39"/>
      <c r="AZ25" s="37"/>
      <c r="BA25" s="37"/>
      <c r="BB25" s="39"/>
      <c r="BC25" s="39"/>
      <c r="BE25" s="37"/>
      <c r="BF25" s="39"/>
      <c r="BG25" s="37"/>
      <c r="BH25" s="39"/>
      <c r="BI25" s="37"/>
      <c r="BJ25" s="39"/>
      <c r="BK25" s="76" t="s">
        <v>555</v>
      </c>
      <c r="BL25" s="70"/>
      <c r="CC25" s="76" t="s">
        <v>555</v>
      </c>
      <c r="CD25" s="70"/>
      <c r="CU25" s="76" t="s">
        <v>555</v>
      </c>
      <c r="CV25" s="70"/>
      <c r="DM25" s="76" t="s">
        <v>555</v>
      </c>
      <c r="DN25" s="70"/>
      <c r="EE25" s="76" t="s">
        <v>555</v>
      </c>
      <c r="EF25" s="70"/>
    </row>
    <row r="26" spans="1:137" ht="15" thickBot="1" x14ac:dyDescent="0.4">
      <c r="Z26" s="80"/>
      <c r="AA26" s="83"/>
      <c r="AB26" s="81"/>
      <c r="AC26" s="74"/>
      <c r="AD26" s="77"/>
      <c r="AE26" s="81"/>
      <c r="AF26" s="73"/>
      <c r="AG26" s="74"/>
      <c r="AH26" s="80"/>
      <c r="AI26" s="81"/>
      <c r="AJ26" s="73"/>
      <c r="AK26" s="81"/>
      <c r="AL26" s="73"/>
      <c r="AM26" s="81"/>
      <c r="AN26" s="73"/>
      <c r="AO26" s="77"/>
      <c r="AP26" s="81"/>
      <c r="AQ26" s="81"/>
      <c r="AR26" s="81"/>
      <c r="AS26" s="77">
        <f>SUM(AD7:AD22)</f>
        <v>141.54645052871132</v>
      </c>
      <c r="AT26" s="74">
        <f>SUM(AF7:AF23)</f>
        <v>170.50906812211369</v>
      </c>
      <c r="AX26" s="37"/>
      <c r="AY26" s="39"/>
      <c r="AZ26" s="37"/>
      <c r="BA26" s="37"/>
      <c r="BB26" s="39"/>
      <c r="BC26" s="39"/>
      <c r="BE26" s="37"/>
      <c r="BF26" s="39"/>
      <c r="BG26" s="37"/>
      <c r="BH26" s="39"/>
      <c r="BI26" s="37"/>
      <c r="BJ26" s="39"/>
      <c r="BK26" s="77">
        <f>SUM(AZ7:AZ22)</f>
        <v>11.155382463243431</v>
      </c>
      <c r="BL26" s="74">
        <f>SUM(BB7:BB23)</f>
        <v>18.694937038417155</v>
      </c>
      <c r="CC26" s="77">
        <f>SUM(BR7:BR22)</f>
        <v>35.373676780015558</v>
      </c>
      <c r="CD26" s="74">
        <f>SUM(BT7:BT23)</f>
        <v>52.750823625604845</v>
      </c>
      <c r="CU26" s="77">
        <f>SUM(CJ7:CJ22)</f>
        <v>52.175662926183783</v>
      </c>
      <c r="CV26" s="74">
        <f>SUM(CL7:CL23)</f>
        <v>75.845348172803298</v>
      </c>
      <c r="DM26" s="77">
        <f>SUM(DB7:DB22)</f>
        <v>55.936733221358018</v>
      </c>
      <c r="DN26" s="74">
        <f>SUM(DD7:DD23)</f>
        <v>77.437527037693258</v>
      </c>
      <c r="EE26" s="77">
        <f>SUM(DT7:DT22)</f>
        <v>140.10527168230456</v>
      </c>
      <c r="EF26" s="74">
        <f>SUM(DV7:DV23)</f>
        <v>187.77196312521986</v>
      </c>
    </row>
    <row r="27" spans="1:137" x14ac:dyDescent="0.35">
      <c r="AB27" s="27"/>
      <c r="AC27" s="27"/>
      <c r="AD27" s="27"/>
      <c r="AE27" s="27"/>
      <c r="AF27" s="27"/>
      <c r="AG27" s="27"/>
      <c r="AI27" s="27"/>
      <c r="AJ27" s="27"/>
      <c r="AK27" s="27"/>
      <c r="AL27" s="27"/>
      <c r="AM27" s="27"/>
      <c r="AN27" s="27"/>
      <c r="AO27" s="27"/>
      <c r="AP27" s="27"/>
      <c r="AQ27" s="27"/>
      <c r="AR27" s="27"/>
      <c r="AS27" s="27"/>
      <c r="AT27" s="27"/>
      <c r="AX27" s="37"/>
      <c r="AY27" s="39"/>
      <c r="AZ27" s="37"/>
      <c r="BA27" s="37"/>
      <c r="BB27" s="39"/>
      <c r="BC27" s="39"/>
      <c r="BE27" s="37"/>
      <c r="BF27" s="39"/>
      <c r="BG27" s="37"/>
      <c r="BH27" s="39"/>
      <c r="BI27" s="37"/>
      <c r="BJ27" s="39"/>
      <c r="BK27" s="27"/>
      <c r="BL27" s="27"/>
      <c r="CC27" s="27"/>
      <c r="CD27" s="27"/>
      <c r="CU27" s="27"/>
      <c r="CV27" s="27"/>
      <c r="DM27" s="27"/>
      <c r="DN27" s="27"/>
      <c r="EE27" s="27"/>
      <c r="EF27" s="27"/>
    </row>
    <row r="28" spans="1:137" x14ac:dyDescent="0.35">
      <c r="A28" s="20" t="s">
        <v>98</v>
      </c>
      <c r="B28" s="20" t="s">
        <v>99</v>
      </c>
      <c r="C28" s="20" t="s">
        <v>100</v>
      </c>
      <c r="D28" s="20" t="s">
        <v>101</v>
      </c>
      <c r="E28" s="21" t="s">
        <v>102</v>
      </c>
      <c r="F28" s="20" t="s">
        <v>103</v>
      </c>
      <c r="G28" s="20" t="s">
        <v>104</v>
      </c>
      <c r="H28" s="21" t="s">
        <v>105</v>
      </c>
      <c r="I28" s="20" t="s">
        <v>106</v>
      </c>
      <c r="J28" s="20"/>
      <c r="K28" s="20"/>
      <c r="L28" s="20"/>
      <c r="M28" s="20"/>
      <c r="N28" s="20"/>
      <c r="O28" s="21" t="s">
        <v>107</v>
      </c>
      <c r="P28" s="21"/>
      <c r="Q28" s="21"/>
      <c r="R28" s="21"/>
      <c r="S28" s="21"/>
      <c r="T28" s="21"/>
      <c r="U28" s="20" t="s">
        <v>108</v>
      </c>
      <c r="V28" s="20"/>
      <c r="W28" s="21" t="s">
        <v>109</v>
      </c>
      <c r="X28" s="21"/>
      <c r="Y28" s="2"/>
      <c r="Z28" s="22" t="s">
        <v>111</v>
      </c>
      <c r="AA28" s="22"/>
      <c r="AB28" s="22">
        <f>1-AB29/AA29</f>
        <v>0.16397112850005091</v>
      </c>
      <c r="AC28" s="22">
        <f>1-AC29/AA29</f>
        <v>0.23785164018460792</v>
      </c>
      <c r="AD28" s="23" t="s">
        <v>530</v>
      </c>
      <c r="AE28" s="22"/>
      <c r="AF28" s="22"/>
      <c r="AG28" s="22"/>
      <c r="AH28" s="24" t="s">
        <v>531</v>
      </c>
      <c r="AI28" s="25">
        <f>(SUM(AI34:AI49)/SUM(AH34:AH49))^2</f>
        <v>8.2384957944189008</v>
      </c>
      <c r="AJ28" s="26">
        <f>(SUM(AJ34:AJ49)/SUM(AH34:AH49))^2</f>
        <v>17.335064194651014</v>
      </c>
      <c r="AK28" s="22"/>
      <c r="AL28" s="27"/>
      <c r="AM28" s="27">
        <f>SUM(AM34:AM181)</f>
        <v>1.0800249583553523E-12</v>
      </c>
      <c r="AN28" s="27">
        <f>SUM(AN34:AN181)</f>
        <v>2.7284841053187847E-12</v>
      </c>
      <c r="AO28" s="27"/>
      <c r="AP28" s="27"/>
      <c r="AQ28" s="27"/>
      <c r="AR28" s="27"/>
      <c r="AS28" s="27"/>
      <c r="AT28" s="27"/>
      <c r="AU28" s="2"/>
      <c r="AV28" s="34" t="s">
        <v>112</v>
      </c>
      <c r="AW28" s="34"/>
      <c r="AX28" s="34"/>
      <c r="AY28" s="34"/>
      <c r="AZ28" s="34"/>
      <c r="BA28" s="34"/>
      <c r="BB28" s="34"/>
      <c r="BC28" s="34"/>
      <c r="BD28" s="34"/>
      <c r="BE28" s="34">
        <f>(SUM(BE34:BE181)/SUM(BD34:BD181))^2</f>
        <v>2.1998188963779128</v>
      </c>
      <c r="BF28" s="34">
        <f>(SUM(BF34:BF181)/SUM(BD34:BD181))^2</f>
        <v>6.0571378582340332</v>
      </c>
      <c r="BG28" s="34"/>
      <c r="BH28" s="34"/>
      <c r="BI28" s="35">
        <f>SUM(BI34:BI181)</f>
        <v>1.1937117960769683E-12</v>
      </c>
      <c r="BJ28" s="35">
        <f>SUM(BJ34:BJ181)</f>
        <v>-2.2737367544323206E-13</v>
      </c>
      <c r="BK28" s="27"/>
      <c r="BL28" s="27"/>
      <c r="BM28" s="2"/>
      <c r="BN28" s="40" t="s">
        <v>113</v>
      </c>
      <c r="BO28" s="40"/>
      <c r="BP28" s="40"/>
      <c r="BQ28" s="40"/>
      <c r="BR28" s="40"/>
      <c r="BS28" s="40"/>
      <c r="BT28" s="40"/>
      <c r="BU28" s="40"/>
      <c r="BV28" s="40"/>
      <c r="BW28" s="40">
        <f>(SUM(BW34:BW181)/SUM($BV34:$BV181))^2</f>
        <v>4.9989708683900105</v>
      </c>
      <c r="BX28" s="40">
        <f>(SUM(BX34:BX181)/SUM($BV34:$BV181))^2</f>
        <v>11.684050794161079</v>
      </c>
      <c r="BY28" s="40"/>
      <c r="BZ28" s="40"/>
      <c r="CA28" s="41">
        <f>SUM(CA34:CA181)</f>
        <v>-7.3896444519050419E-13</v>
      </c>
      <c r="CB28" s="41">
        <f>SUM(CB34:CB181)</f>
        <v>3.0127011996228248E-12</v>
      </c>
      <c r="CC28" s="27"/>
      <c r="CD28" s="27"/>
      <c r="CE28" s="2"/>
      <c r="CF28" s="42" t="s">
        <v>114</v>
      </c>
      <c r="CG28" s="42"/>
      <c r="CH28" s="42"/>
      <c r="CI28" s="42"/>
      <c r="CJ28" s="42"/>
      <c r="CK28" s="42"/>
      <c r="CL28" s="42"/>
      <c r="CM28" s="42"/>
      <c r="CN28" s="42"/>
      <c r="CO28" s="42">
        <f>(SUM(CO34:CO181)/SUM(CN34:CN181))^2</f>
        <v>6.9604051691328053</v>
      </c>
      <c r="CP28" s="42">
        <f>(SUM(CP34:CP181)/SUM(CN34:CN181))^2</f>
        <v>14.755895371752791</v>
      </c>
      <c r="CQ28" s="42"/>
      <c r="CR28" s="42"/>
      <c r="CS28" s="43">
        <f>SUM(CS34:CS181)</f>
        <v>-2.8421709430404007E-13</v>
      </c>
      <c r="CT28" s="43">
        <f>SUM(CT34:CT181)</f>
        <v>9.0949470177292824E-13</v>
      </c>
      <c r="CU28" s="27"/>
      <c r="CV28" s="27"/>
      <c r="CW28" s="2"/>
      <c r="CX28" s="44" t="s">
        <v>115</v>
      </c>
      <c r="CY28" s="44"/>
      <c r="CZ28" s="44"/>
      <c r="DA28" s="44"/>
      <c r="DB28" s="44"/>
      <c r="DC28" s="44"/>
      <c r="DD28" s="44"/>
      <c r="DE28" s="44"/>
      <c r="DF28" s="44"/>
      <c r="DG28" s="44">
        <f>(SUM(DG34:DG181)/SUM(DF34:DF181))^2</f>
        <v>6.5562291454139929</v>
      </c>
      <c r="DH28" s="44">
        <f>(SUM(DH34:DH181)/SUM(DF34:DF181))^2</f>
        <v>14.412120782465999</v>
      </c>
      <c r="DI28" s="44"/>
      <c r="DJ28" s="44"/>
      <c r="DK28" s="45">
        <f>SUM(DK34:DK181)</f>
        <v>7.9580786405131221E-13</v>
      </c>
      <c r="DL28" s="45">
        <f>SUM(DL34:DL181)</f>
        <v>-2.2737367544323206E-13</v>
      </c>
      <c r="DM28" s="27"/>
      <c r="DN28" s="27"/>
      <c r="DO28" s="2"/>
      <c r="DP28" s="46" t="s">
        <v>116</v>
      </c>
      <c r="DQ28" s="46"/>
      <c r="DR28" s="46"/>
      <c r="DS28" s="46"/>
      <c r="DT28" s="46"/>
      <c r="DU28" s="46"/>
      <c r="DV28" s="46"/>
      <c r="DW28" s="46"/>
      <c r="DX28" s="46"/>
      <c r="DY28" s="46">
        <f>(SUM(DY34:DY49)/SUM(DX34:DX49))^2</f>
        <v>14.626581383718749</v>
      </c>
      <c r="DZ28" s="46">
        <f>(SUM(DZ34:DZ49)/SUM(DX34:DX49))^2</f>
        <v>26.788388460300951</v>
      </c>
      <c r="EA28" s="46"/>
      <c r="EB28" s="46"/>
      <c r="EC28" s="47">
        <f>SUM(EC34:EC181)</f>
        <v>2.1032064978498966E-12</v>
      </c>
      <c r="ED28" s="47">
        <f>SUM(ED34:ED181)</f>
        <v>7.3896444519050419E-13</v>
      </c>
      <c r="EE28" s="27"/>
      <c r="EF28" s="27"/>
      <c r="EG28" s="2"/>
    </row>
    <row r="29" spans="1:137" ht="15" thickBot="1" x14ac:dyDescent="0.4">
      <c r="A29" s="20"/>
      <c r="B29" s="20"/>
      <c r="C29" s="20"/>
      <c r="D29" s="20"/>
      <c r="E29" s="21"/>
      <c r="F29" s="20">
        <f>SUM(F34:F49)</f>
        <v>9211.9443391790064</v>
      </c>
      <c r="G29" s="20">
        <f>SUM(G34:G49)</f>
        <v>33752.564058751879</v>
      </c>
      <c r="H29" s="21"/>
      <c r="I29" s="20"/>
      <c r="J29" s="20"/>
      <c r="K29" s="20"/>
      <c r="L29" s="20"/>
      <c r="M29" s="20"/>
      <c r="N29" s="20"/>
      <c r="O29" s="21"/>
      <c r="P29" s="21"/>
      <c r="Q29" s="21"/>
      <c r="R29" s="21"/>
      <c r="S29" s="21"/>
      <c r="T29" s="21"/>
      <c r="U29" s="20"/>
      <c r="V29" s="20"/>
      <c r="W29" s="21">
        <f>SUM(W34:W49)</f>
        <v>36724.191569557537</v>
      </c>
      <c r="X29" s="21">
        <f>SUM(X34:X49)</f>
        <v>32199.382596877636</v>
      </c>
      <c r="Y29" s="2"/>
      <c r="Z29" s="22"/>
      <c r="AA29" s="22">
        <f>SUM(AA34:AA49)</f>
        <v>42241.221657529408</v>
      </c>
      <c r="AB29" s="22">
        <f>SUM(AB34:AB49)</f>
        <v>35314.880873123519</v>
      </c>
      <c r="AC29" s="22">
        <f>SUM(AC34:AC49)</f>
        <v>32194.077802884454</v>
      </c>
      <c r="AD29" s="28" t="s">
        <v>532</v>
      </c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"/>
      <c r="AV29" s="34"/>
      <c r="AW29" s="34">
        <f>SUM(AW34:AW181)</f>
        <v>36349.865946779413</v>
      </c>
      <c r="AX29" s="34">
        <f>SUM(AX34:AX181)</f>
        <v>33543.713389502256</v>
      </c>
      <c r="AY29" s="34">
        <f>SUM(AY34:AY181)</f>
        <v>31693.452413303541</v>
      </c>
      <c r="AZ29" s="34"/>
      <c r="BA29" s="34"/>
      <c r="BB29" s="34"/>
      <c r="BC29" s="34"/>
      <c r="BD29" s="34"/>
      <c r="BE29" s="34"/>
      <c r="BF29" s="34"/>
      <c r="BG29" s="34"/>
      <c r="BH29" s="34"/>
      <c r="BI29" s="34"/>
      <c r="BJ29" s="34"/>
      <c r="BK29" s="22"/>
      <c r="BL29" s="22"/>
      <c r="BM29" s="2"/>
      <c r="BN29" s="40"/>
      <c r="BO29" s="40">
        <f>SUM(BO34:BO181)</f>
        <v>38856.882979835187</v>
      </c>
      <c r="BP29" s="40">
        <f>SUM(BP34:BP181)</f>
        <v>34250.582553420529</v>
      </c>
      <c r="BQ29" s="40">
        <f>SUM(BQ34:BQ181)</f>
        <v>31814.677794019201</v>
      </c>
      <c r="BR29" s="40"/>
      <c r="BS29" s="40"/>
      <c r="BT29" s="40"/>
      <c r="BU29" s="40"/>
      <c r="BV29" s="40"/>
      <c r="BW29" s="40"/>
      <c r="BX29" s="40"/>
      <c r="BY29" s="40"/>
      <c r="BZ29" s="40"/>
      <c r="CA29" s="40"/>
      <c r="CB29" s="40"/>
      <c r="CC29" s="22"/>
      <c r="CD29" s="22"/>
      <c r="CE29" s="2"/>
      <c r="CF29" s="42"/>
      <c r="CG29" s="42">
        <f>SUM(CG34:CG181)</f>
        <v>40973.992371888089</v>
      </c>
      <c r="CH29" s="42">
        <f>SUM(CH34:CH181)</f>
        <v>34837.245829804975</v>
      </c>
      <c r="CI29" s="42">
        <f>SUM(CI34:CI181)</f>
        <v>32038.804062588122</v>
      </c>
      <c r="CJ29" s="42"/>
      <c r="CK29" s="42"/>
      <c r="CL29" s="42"/>
      <c r="CM29" s="42"/>
      <c r="CN29" s="42"/>
      <c r="CO29" s="42"/>
      <c r="CP29" s="42"/>
      <c r="CQ29" s="42"/>
      <c r="CR29" s="42"/>
      <c r="CS29" s="42"/>
      <c r="CT29" s="42"/>
      <c r="CU29" s="22"/>
      <c r="CV29" s="22"/>
      <c r="CW29" s="2"/>
      <c r="CX29" s="44"/>
      <c r="CY29" s="44">
        <f>SUM(CY34:CY181)</f>
        <v>39893.217471163065</v>
      </c>
      <c r="CZ29" s="44">
        <f>SUM(CZ34:CZ181)</f>
        <v>34479.535871867898</v>
      </c>
      <c r="DA29" s="44">
        <f>SUM(DA34:DA181)</f>
        <v>31866.654928192784</v>
      </c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22"/>
      <c r="DN29" s="22"/>
      <c r="DO29" s="2"/>
      <c r="DP29" s="46"/>
      <c r="DQ29" s="46">
        <f>SUM(DQ34:DQ181)</f>
        <v>43559.914208682167</v>
      </c>
      <c r="DR29" s="46">
        <f>SUM(DR34:DR181)</f>
        <v>35136.177726531241</v>
      </c>
      <c r="DS29" s="46">
        <f>SUM(DS34:DS181)</f>
        <v>32159.866981568397</v>
      </c>
      <c r="DT29" s="46"/>
      <c r="DU29" s="46"/>
      <c r="DV29" s="46"/>
      <c r="DW29" s="46"/>
      <c r="DX29" s="46"/>
      <c r="DY29" s="46"/>
      <c r="DZ29" s="46"/>
      <c r="EA29" s="46"/>
      <c r="EB29" s="46"/>
      <c r="EC29" s="46"/>
      <c r="ED29" s="46"/>
      <c r="EE29" s="22"/>
      <c r="EF29" s="22"/>
      <c r="EG29" s="2"/>
    </row>
    <row r="30" spans="1:137" x14ac:dyDescent="0.35">
      <c r="A30" s="20"/>
      <c r="B30" s="20"/>
      <c r="C30" s="20"/>
      <c r="D30" s="20"/>
      <c r="E30" s="21"/>
      <c r="F30" s="20"/>
      <c r="G30" s="20"/>
      <c r="H30" s="21"/>
      <c r="I30" s="20"/>
      <c r="J30" s="20"/>
      <c r="K30" s="20"/>
      <c r="L30" s="20"/>
      <c r="M30" s="20"/>
      <c r="N30" s="20"/>
      <c r="O30" s="21"/>
      <c r="P30" s="21"/>
      <c r="Q30" s="21"/>
      <c r="R30" s="21"/>
      <c r="S30" s="21"/>
      <c r="T30" s="21"/>
      <c r="U30" s="20"/>
      <c r="V30" s="20"/>
      <c r="W30" s="21"/>
      <c r="X30" s="21"/>
      <c r="Y30" s="2"/>
      <c r="Z30" s="66" t="s">
        <v>533</v>
      </c>
      <c r="AA30" s="67"/>
      <c r="AB30" s="67" t="s">
        <v>534</v>
      </c>
      <c r="AC30" s="68" t="s">
        <v>534</v>
      </c>
      <c r="AD30" s="66" t="s">
        <v>65</v>
      </c>
      <c r="AE30" s="67" t="s">
        <v>64</v>
      </c>
      <c r="AF30" s="67" t="s">
        <v>65</v>
      </c>
      <c r="AG30" s="68" t="s">
        <v>64</v>
      </c>
      <c r="AH30" s="66" t="s">
        <v>535</v>
      </c>
      <c r="AI30" s="67" t="s">
        <v>536</v>
      </c>
      <c r="AJ30" s="67" t="s">
        <v>537</v>
      </c>
      <c r="AK30" s="67" t="s">
        <v>538</v>
      </c>
      <c r="AL30" s="67" t="s">
        <v>539</v>
      </c>
      <c r="AM30" s="67" t="s">
        <v>540</v>
      </c>
      <c r="AN30" s="67" t="s">
        <v>541</v>
      </c>
      <c r="AO30" s="67"/>
      <c r="AP30" s="67"/>
      <c r="AQ30" s="67"/>
      <c r="AR30" s="67"/>
      <c r="AS30" s="66" t="s">
        <v>542</v>
      </c>
      <c r="AT30" s="68"/>
      <c r="AU30" s="2"/>
      <c r="AV30" s="34"/>
      <c r="AW30" s="34"/>
      <c r="AX30" s="34"/>
      <c r="AY30" s="34"/>
      <c r="AZ30" s="34"/>
      <c r="BA30" s="34"/>
      <c r="BB30" s="34"/>
      <c r="BC30" s="34"/>
      <c r="BD30" s="34"/>
      <c r="BE30" s="34"/>
      <c r="BF30" s="34"/>
      <c r="BG30" s="34"/>
      <c r="BH30" s="34"/>
      <c r="BI30" s="34"/>
      <c r="BJ30" s="34"/>
      <c r="BK30" s="66"/>
      <c r="BL30" s="68"/>
      <c r="BM30" s="2"/>
      <c r="BN30" s="40"/>
      <c r="BO30" s="40"/>
      <c r="BP30" s="40"/>
      <c r="BQ30" s="40"/>
      <c r="BR30" s="40"/>
      <c r="BS30" s="40"/>
      <c r="BT30" s="40"/>
      <c r="BU30" s="40"/>
      <c r="BV30" s="40"/>
      <c r="BW30" s="40"/>
      <c r="BX30" s="40"/>
      <c r="BY30" s="40"/>
      <c r="BZ30" s="40"/>
      <c r="CA30" s="40"/>
      <c r="CB30" s="40"/>
      <c r="CC30" s="66"/>
      <c r="CD30" s="68"/>
      <c r="CE30" s="2"/>
      <c r="CF30" s="42"/>
      <c r="CG30" s="42"/>
      <c r="CH30" s="42"/>
      <c r="CI30" s="42"/>
      <c r="CJ30" s="42"/>
      <c r="CK30" s="42"/>
      <c r="CL30" s="42"/>
      <c r="CM30" s="42"/>
      <c r="CN30" s="42"/>
      <c r="CO30" s="42"/>
      <c r="CP30" s="42"/>
      <c r="CQ30" s="42"/>
      <c r="CR30" s="42"/>
      <c r="CS30" s="42"/>
      <c r="CT30" s="42"/>
      <c r="CU30" s="66"/>
      <c r="CV30" s="68"/>
      <c r="CW30" s="2"/>
      <c r="CX30" s="44"/>
      <c r="CY30" s="44"/>
      <c r="CZ30" s="44"/>
      <c r="DA30" s="44"/>
      <c r="DB30" s="44"/>
      <c r="DC30" s="44"/>
      <c r="DD30" s="44"/>
      <c r="DE30" s="44"/>
      <c r="DF30" s="44"/>
      <c r="DG30" s="44"/>
      <c r="DH30" s="44"/>
      <c r="DI30" s="44"/>
      <c r="DJ30" s="44"/>
      <c r="DK30" s="44"/>
      <c r="DL30" s="44"/>
      <c r="DM30" s="66"/>
      <c r="DN30" s="68"/>
      <c r="DO30" s="2"/>
      <c r="DP30" s="46"/>
      <c r="DQ30" s="46"/>
      <c r="DR30" s="46"/>
      <c r="DS30" s="46"/>
      <c r="DT30" s="46"/>
      <c r="DU30" s="46"/>
      <c r="DV30" s="46"/>
      <c r="DW30" s="46"/>
      <c r="DX30" s="46"/>
      <c r="DY30" s="46"/>
      <c r="DZ30" s="46"/>
      <c r="EA30" s="46"/>
      <c r="EB30" s="46"/>
      <c r="EC30" s="46"/>
      <c r="ED30" s="46"/>
      <c r="EE30" s="66"/>
      <c r="EF30" s="68"/>
      <c r="EG30" s="2"/>
    </row>
    <row r="31" spans="1:137" x14ac:dyDescent="0.35">
      <c r="A31" s="20"/>
      <c r="B31" s="20"/>
      <c r="C31" s="20"/>
      <c r="D31" s="20"/>
      <c r="E31" s="21"/>
      <c r="F31" s="20"/>
      <c r="G31" s="20"/>
      <c r="H31" s="21"/>
      <c r="I31" s="20"/>
      <c r="J31" s="20"/>
      <c r="K31" s="20"/>
      <c r="L31" s="20"/>
      <c r="M31" s="20"/>
      <c r="N31" s="20"/>
      <c r="O31" s="21"/>
      <c r="P31" s="21"/>
      <c r="Q31" s="21"/>
      <c r="R31" s="21"/>
      <c r="S31" s="21"/>
      <c r="T31" s="21"/>
      <c r="U31" s="20"/>
      <c r="V31" s="20"/>
      <c r="W31" s="21"/>
      <c r="X31" s="21"/>
      <c r="Y31" s="2"/>
      <c r="Z31" s="78" t="s">
        <v>45</v>
      </c>
      <c r="AA31" s="22" t="s">
        <v>543</v>
      </c>
      <c r="AB31" s="25" t="s">
        <v>117</v>
      </c>
      <c r="AC31" s="69" t="s">
        <v>118</v>
      </c>
      <c r="AD31" s="75" t="s">
        <v>117</v>
      </c>
      <c r="AE31" s="25" t="s">
        <v>117</v>
      </c>
      <c r="AF31" s="26" t="s">
        <v>118</v>
      </c>
      <c r="AG31" s="69" t="s">
        <v>118</v>
      </c>
      <c r="AH31" s="78"/>
      <c r="AI31" s="25"/>
      <c r="AJ31" s="26"/>
      <c r="AK31" s="25"/>
      <c r="AL31" s="26"/>
      <c r="AM31" s="25"/>
      <c r="AN31" s="26"/>
      <c r="AO31" s="26"/>
      <c r="AP31" s="26"/>
      <c r="AQ31" s="26"/>
      <c r="AR31" s="26"/>
      <c r="AS31" s="75" t="s">
        <v>547</v>
      </c>
      <c r="AT31" s="69"/>
      <c r="AU31" s="2"/>
      <c r="AV31" s="34"/>
      <c r="AW31" s="34"/>
      <c r="AX31" s="34"/>
      <c r="AY31" s="34"/>
      <c r="AZ31" s="34"/>
      <c r="BA31" s="34"/>
      <c r="BB31" s="34"/>
      <c r="BC31" s="34"/>
      <c r="BD31" s="34"/>
      <c r="BE31" s="34"/>
      <c r="BF31" s="34"/>
      <c r="BG31" s="34"/>
      <c r="BH31" s="34"/>
      <c r="BI31" s="34"/>
      <c r="BJ31" s="34"/>
      <c r="BK31" s="75"/>
      <c r="BL31" s="69"/>
      <c r="BM31" s="2"/>
      <c r="BN31" s="40"/>
      <c r="BO31" s="40"/>
      <c r="BP31" s="40"/>
      <c r="BQ31" s="40"/>
      <c r="BR31" s="40"/>
      <c r="BS31" s="40"/>
      <c r="BT31" s="40"/>
      <c r="BU31" s="40"/>
      <c r="BV31" s="40"/>
      <c r="BW31" s="40"/>
      <c r="BX31" s="40"/>
      <c r="BY31" s="40"/>
      <c r="BZ31" s="40"/>
      <c r="CA31" s="40"/>
      <c r="CB31" s="40"/>
      <c r="CC31" s="75"/>
      <c r="CD31" s="69"/>
      <c r="CE31" s="2"/>
      <c r="CF31" s="42"/>
      <c r="CG31" s="42"/>
      <c r="CH31" s="42"/>
      <c r="CI31" s="42"/>
      <c r="CJ31" s="42"/>
      <c r="CK31" s="42"/>
      <c r="CL31" s="42"/>
      <c r="CM31" s="42"/>
      <c r="CN31" s="42"/>
      <c r="CO31" s="42"/>
      <c r="CP31" s="42"/>
      <c r="CQ31" s="42"/>
      <c r="CR31" s="42"/>
      <c r="CS31" s="42"/>
      <c r="CT31" s="42"/>
      <c r="CU31" s="75"/>
      <c r="CV31" s="69"/>
      <c r="CW31" s="2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75"/>
      <c r="DN31" s="69"/>
      <c r="DO31" s="2"/>
      <c r="DP31" s="46"/>
      <c r="DQ31" s="46"/>
      <c r="DR31" s="46"/>
      <c r="DS31" s="46"/>
      <c r="DT31" s="46"/>
      <c r="DU31" s="46"/>
      <c r="DV31" s="46"/>
      <c r="DW31" s="46"/>
      <c r="DX31" s="46"/>
      <c r="DY31" s="46"/>
      <c r="DZ31" s="46"/>
      <c r="EA31" s="46"/>
      <c r="EB31" s="46"/>
      <c r="EC31" s="46"/>
      <c r="ED31" s="46"/>
      <c r="EE31" s="75"/>
      <c r="EF31" s="69"/>
      <c r="EG31" s="2"/>
    </row>
    <row r="32" spans="1:137" x14ac:dyDescent="0.35">
      <c r="A32" s="20"/>
      <c r="B32" s="20"/>
      <c r="C32" s="20"/>
      <c r="D32" s="20"/>
      <c r="E32" s="21"/>
      <c r="F32" s="20"/>
      <c r="G32" s="20"/>
      <c r="H32" s="21"/>
      <c r="I32" s="20"/>
      <c r="J32" s="20"/>
      <c r="K32" s="20"/>
      <c r="L32" s="20"/>
      <c r="M32" s="20"/>
      <c r="N32" s="20"/>
      <c r="O32" s="21"/>
      <c r="P32" s="21"/>
      <c r="Q32" s="21"/>
      <c r="R32" s="21"/>
      <c r="S32" s="21"/>
      <c r="T32" s="21"/>
      <c r="U32" s="20"/>
      <c r="V32" s="20"/>
      <c r="W32" s="21"/>
      <c r="X32" s="21"/>
      <c r="Y32" s="2"/>
      <c r="Z32" s="78"/>
      <c r="AA32" s="22"/>
      <c r="AB32" s="22"/>
      <c r="AC32" s="84"/>
      <c r="AD32" s="28"/>
      <c r="AE32" s="22"/>
      <c r="AF32" s="22"/>
      <c r="AG32" s="84"/>
      <c r="AH32" s="78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75" t="s">
        <v>117</v>
      </c>
      <c r="AT32" s="69" t="s">
        <v>118</v>
      </c>
      <c r="AU32" s="2"/>
      <c r="AV32" s="34"/>
      <c r="AW32" s="34"/>
      <c r="AX32" s="34"/>
      <c r="AY32" s="34"/>
      <c r="AZ32" s="34"/>
      <c r="BA32" s="34"/>
      <c r="BB32" s="34"/>
      <c r="BC32" s="34"/>
      <c r="BD32" s="34"/>
      <c r="BE32" s="34"/>
      <c r="BF32" s="34"/>
      <c r="BG32" s="34"/>
      <c r="BH32" s="34"/>
      <c r="BI32" s="34"/>
      <c r="BJ32" s="34"/>
      <c r="BK32" s="75" t="s">
        <v>117</v>
      </c>
      <c r="BL32" s="69" t="s">
        <v>118</v>
      </c>
      <c r="BM32" s="2"/>
      <c r="BN32" s="40"/>
      <c r="BO32" s="40"/>
      <c r="BP32" s="40"/>
      <c r="BQ32" s="40"/>
      <c r="BR32" s="40"/>
      <c r="BS32" s="40"/>
      <c r="BT32" s="40"/>
      <c r="BU32" s="40"/>
      <c r="BV32" s="40"/>
      <c r="BW32" s="40"/>
      <c r="BX32" s="40"/>
      <c r="BY32" s="40"/>
      <c r="BZ32" s="40"/>
      <c r="CA32" s="40"/>
      <c r="CB32" s="40"/>
      <c r="CC32" s="75" t="s">
        <v>117</v>
      </c>
      <c r="CD32" s="69" t="s">
        <v>118</v>
      </c>
      <c r="CE32" s="2"/>
      <c r="CF32" s="42"/>
      <c r="CG32" s="42"/>
      <c r="CH32" s="42"/>
      <c r="CI32" s="42"/>
      <c r="CJ32" s="42"/>
      <c r="CK32" s="42"/>
      <c r="CL32" s="42"/>
      <c r="CM32" s="42"/>
      <c r="CN32" s="42"/>
      <c r="CO32" s="42"/>
      <c r="CP32" s="42"/>
      <c r="CQ32" s="42"/>
      <c r="CR32" s="42"/>
      <c r="CS32" s="42"/>
      <c r="CT32" s="42"/>
      <c r="CU32" s="75" t="s">
        <v>117</v>
      </c>
      <c r="CV32" s="69" t="s">
        <v>118</v>
      </c>
      <c r="CW32" s="2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75" t="s">
        <v>117</v>
      </c>
      <c r="DN32" s="69" t="s">
        <v>118</v>
      </c>
      <c r="DO32" s="2"/>
      <c r="DP32" s="46"/>
      <c r="DQ32" s="46"/>
      <c r="DR32" s="46"/>
      <c r="DS32" s="46"/>
      <c r="DT32" s="46"/>
      <c r="DU32" s="46"/>
      <c r="DV32" s="46"/>
      <c r="DW32" s="46"/>
      <c r="DX32" s="46"/>
      <c r="DY32" s="46"/>
      <c r="DZ32" s="46"/>
      <c r="EA32" s="46"/>
      <c r="EB32" s="46"/>
      <c r="EC32" s="46"/>
      <c r="ED32" s="46"/>
      <c r="EE32" s="75" t="s">
        <v>117</v>
      </c>
      <c r="EF32" s="69" t="s">
        <v>118</v>
      </c>
      <c r="EG32" s="2"/>
    </row>
    <row r="33" spans="1:136" s="60" customFormat="1" x14ac:dyDescent="0.35">
      <c r="A33" s="61" t="s">
        <v>556</v>
      </c>
      <c r="Z33" s="82" t="s">
        <v>556</v>
      </c>
      <c r="AC33" s="72"/>
      <c r="AG33" s="72"/>
      <c r="AH33" s="71"/>
      <c r="AS33" s="60" t="s">
        <v>551</v>
      </c>
      <c r="AT33" s="72"/>
      <c r="AV33" s="61" t="s">
        <v>556</v>
      </c>
      <c r="BK33" s="60" t="s">
        <v>551</v>
      </c>
      <c r="BL33" s="72"/>
      <c r="BN33" s="61" t="s">
        <v>556</v>
      </c>
      <c r="CC33" s="71" t="s">
        <v>554</v>
      </c>
      <c r="CD33" s="72"/>
      <c r="CF33" s="61" t="s">
        <v>556</v>
      </c>
      <c r="CU33" s="71" t="s">
        <v>554</v>
      </c>
      <c r="CV33" s="72"/>
      <c r="CX33" s="61" t="s">
        <v>556</v>
      </c>
      <c r="DM33" s="71" t="s">
        <v>554</v>
      </c>
      <c r="DN33" s="72"/>
      <c r="DP33" s="61" t="s">
        <v>556</v>
      </c>
      <c r="EE33" s="71" t="s">
        <v>554</v>
      </c>
      <c r="EF33" s="72"/>
    </row>
    <row r="34" spans="1:136" x14ac:dyDescent="0.35">
      <c r="A34" s="30" t="str">
        <f>'Data_world regions'!C4</f>
        <v>United States</v>
      </c>
      <c r="B34" s="30" t="str">
        <f>'Data_world regions'!D4</f>
        <v>USA</v>
      </c>
      <c r="C34" s="30">
        <f>'Data_world regions'!E4</f>
        <v>0</v>
      </c>
      <c r="D34" s="30">
        <f>'Data_world regions'!F4</f>
        <v>0</v>
      </c>
      <c r="E34" s="31">
        <f>'Data_world regions'!G4</f>
        <v>5.953305611064651E-3</v>
      </c>
      <c r="F34" s="30">
        <f>'Data_world regions'!H4</f>
        <v>1287.0335996726301</v>
      </c>
      <c r="G34" s="30">
        <f>'Data_world regions'!I4</f>
        <v>4715.6911092005166</v>
      </c>
      <c r="H34" s="31">
        <f>'Data_world regions'!J4</f>
        <v>20893.743833</v>
      </c>
      <c r="I34" s="30">
        <f>'Data_world regions'!K4</f>
        <v>1.2065015262820036</v>
      </c>
      <c r="J34" s="30">
        <f>'Data_world regions'!L4</f>
        <v>1.2959589889889573</v>
      </c>
      <c r="K34" s="30">
        <f>'Data_world regions'!M4</f>
        <v>1.2657121856098954</v>
      </c>
      <c r="L34" s="30">
        <f>'Data_world regions'!N4</f>
        <v>1.1823970624118154</v>
      </c>
      <c r="M34" s="30">
        <f>'Data_world regions'!O4</f>
        <v>1.2835096943553725</v>
      </c>
      <c r="N34" s="30">
        <f>'Data_world regions'!P4</f>
        <v>1.3539260844451486</v>
      </c>
      <c r="O34" s="31">
        <f>'Data_world regions'!Q4</f>
        <v>1.1893129134488205</v>
      </c>
      <c r="P34" s="31">
        <f>'Data_world regions'!R4</f>
        <v>0.90947003354549738</v>
      </c>
      <c r="Q34" s="31">
        <f>'Data_world regions'!S4</f>
        <v>1.0160301239037073</v>
      </c>
      <c r="R34" s="31">
        <f>'Data_world regions'!T4</f>
        <v>1.0683930558484569</v>
      </c>
      <c r="S34" s="31">
        <f>'Data_world regions'!U4</f>
        <v>1.0727560349127803</v>
      </c>
      <c r="T34" s="31">
        <f>'Data_world regions'!V4</f>
        <v>1.2137481184144505</v>
      </c>
      <c r="U34" s="30">
        <f>'Data_world regions'!W4</f>
        <v>0.73106236545427317</v>
      </c>
      <c r="V34" s="30">
        <f>'Data_world regions'!X4</f>
        <v>0.70760374301856066</v>
      </c>
      <c r="W34" s="31">
        <f>'Data_world regions'!Y4</f>
        <v>3447.4642970438149</v>
      </c>
      <c r="X34" s="31">
        <f>'Data_world regions'!Z4</f>
        <v>3336.8406797896337</v>
      </c>
      <c r="Z34" s="79">
        <f>$H34*I34</f>
        <v>25208.333824259702</v>
      </c>
      <c r="AA34" s="27">
        <f>$G34*O34</f>
        <v>5608.4323320079666</v>
      </c>
      <c r="AB34" s="32">
        <f>MIN(AA34,W34)</f>
        <v>3447.4642970438149</v>
      </c>
      <c r="AC34" s="70">
        <f>MIN(AA34,X34)</f>
        <v>3336.8406797896337</v>
      </c>
      <c r="AD34" s="32">
        <f>E34*((AA34-AB34)/AA34)^3*Z34*AA34/10^3</f>
        <v>48.146461993191494</v>
      </c>
      <c r="AE34" s="32">
        <f t="shared" ref="AE34:AE49" si="106">E34*3*((AA34-AB34)/AA34)^2*Z34</f>
        <v>66.84013073889389</v>
      </c>
      <c r="AF34" s="33">
        <f t="shared" ref="AF34:AF49" si="107">E34*((AA34-AC34)/AA34)^3*Z34*AA34/10^3</f>
        <v>55.925534360928566</v>
      </c>
      <c r="AG34" s="70">
        <f t="shared" ref="AG34:AG49" si="108">E34*3*((AA34-AC34)/AA34)^2*Z34</f>
        <v>73.858610511683622</v>
      </c>
      <c r="AH34" s="79">
        <f t="shared" ref="AH34:AH49" si="109">AA34/((3*E34*Z34)^0.5)</f>
        <v>264.3198002861385</v>
      </c>
      <c r="AI34" s="32">
        <f t="shared" ref="AI34:AI49" si="110">AA34-AB34</f>
        <v>2160.9680349641517</v>
      </c>
      <c r="AJ34" s="33">
        <f t="shared" ref="AJ34:AJ49" si="111">AA34-AC34</f>
        <v>2271.5916522183329</v>
      </c>
      <c r="AK34" s="32">
        <f t="shared" ref="AK34:AK49" si="112">AA34-(($AI$28/(Z34*3*$E34))^0.5)*AA34</f>
        <v>4849.7610244141906</v>
      </c>
      <c r="AL34" s="33">
        <f t="shared" ref="AL34:AL49" si="113">AA34-(($AJ$28/(Z34*3*$E34))^0.5)*AA34</f>
        <v>4507.9263068138753</v>
      </c>
      <c r="AM34" s="32">
        <f t="shared" ref="AM34:AM49" si="114">AK34-AB34</f>
        <v>1402.2967273703757</v>
      </c>
      <c r="AN34" s="33">
        <f t="shared" ref="AN34:AN49" si="115">AL34-AC34</f>
        <v>1171.0856270242416</v>
      </c>
      <c r="AS34" s="76">
        <f>($E34*((AA34-AK34)/AA34)^3*Z34*AA34/10^3)+(AI$28*AM34/10^3)</f>
        <v>13.636252483287432</v>
      </c>
      <c r="AT34" s="70">
        <f>($E34*((AA34-AL34)/AA34)^3*Z34*AA34/10^3)+(AJ$28*AN34/10^3)</f>
        <v>26.659958719678286</v>
      </c>
      <c r="AV34" s="35">
        <f t="shared" ref="AV34:AV49" si="116">$H34*J34</f>
        <v>27077.435134008942</v>
      </c>
      <c r="AW34" s="35">
        <f t="shared" ref="AW34:AW49" si="117">G34*P34</f>
        <v>4288.7797512747975</v>
      </c>
      <c r="AX34" s="37">
        <f>MIN(AW34,$W34)</f>
        <v>3447.4642970438149</v>
      </c>
      <c r="AY34" s="39">
        <f>MIN(AW34,$X34)</f>
        <v>3336.8406797896337</v>
      </c>
      <c r="AZ34" s="37">
        <f t="shared" ref="AZ34:AZ49" si="118">E34*((AW34-AX34)/AW34)^3*AV34*AW34/10^3</f>
        <v>5.2188499916473008</v>
      </c>
      <c r="BA34" s="37">
        <f t="shared" ref="BA34:BA49" si="119">E34*3*((AW34-AX34)/AW34)^2*AV34</f>
        <v>18.609607010313407</v>
      </c>
      <c r="BB34" s="39">
        <f t="shared" ref="BB34:BB49" si="120">E34*((AW34-AY34)/AW34)^3*AV34*AW34/10^3</f>
        <v>7.5600674685086124</v>
      </c>
      <c r="BC34" s="39">
        <f t="shared" ref="BC34:BC49" si="121">E34*3*((AW34-AY34)/AW34)^2*AV34</f>
        <v>23.825266852574313</v>
      </c>
      <c r="BD34" s="35">
        <f t="shared" ref="BD34:BD49" si="122">AW34/((3*E34*AV34)^0.5)</f>
        <v>195.0249905852489</v>
      </c>
      <c r="BE34" s="37">
        <f>AW34-AX34</f>
        <v>841.3154542309826</v>
      </c>
      <c r="BF34" s="39">
        <f>AW34-AY34</f>
        <v>951.93907148516382</v>
      </c>
      <c r="BG34" s="37">
        <f>AW34-((BE$28/(AV34*3*$E34))^0.5)*AW34</f>
        <v>3999.5228497742978</v>
      </c>
      <c r="BH34" s="39">
        <f>AW34-((BF$28/(AV34*3*$E34))^0.5)*AW34</f>
        <v>3808.7988082197489</v>
      </c>
      <c r="BI34" s="37">
        <f>BG34-AX34</f>
        <v>552.05855273048292</v>
      </c>
      <c r="BJ34" s="39">
        <f>BH34-AY34</f>
        <v>471.95812843011527</v>
      </c>
      <c r="BK34" s="76">
        <f>($E34*((AW34-BG34)/AW34)^3*AV34*AW34/10^3)+(BE$28*BI34/10^3)</f>
        <v>1.4265331021464001</v>
      </c>
      <c r="BL34" s="70">
        <f>($E34*((AW34-BH34)/AW34)^3*AV34*AW34/10^3)+(BF$28*BJ34/10^3)</f>
        <v>3.8278190276852011</v>
      </c>
      <c r="BN34" s="41">
        <f>$H34*$K34</f>
        <v>26445.466172439705</v>
      </c>
      <c r="BO34" s="41">
        <f>$G34*$Q34</f>
        <v>4791.2842219726117</v>
      </c>
      <c r="BP34" s="41">
        <f t="shared" ref="BP34:BP49" si="123">MIN(BO34,W34)</f>
        <v>3447.4642970438149</v>
      </c>
      <c r="BQ34" s="41">
        <f t="shared" ref="BQ34:BQ49" si="124">MIN(BO34,X34)</f>
        <v>3336.8406797896337</v>
      </c>
      <c r="BR34" s="41">
        <f t="shared" ref="BR34:BR49" si="125">E34*((BO34-BP34)/BO34)^3*BN34*BO34/10^3</f>
        <v>16.642890829752574</v>
      </c>
      <c r="BS34" s="41">
        <f t="shared" ref="BS34:BS49" si="126">E34*3*((BO34-BP34)/BO34)^2*BN34</f>
        <v>37.154287983863043</v>
      </c>
      <c r="BT34" s="41">
        <f t="shared" ref="BT34:BT49" si="127">E34*((BO34-BQ34)/BO34)^3*BN34*BO34/10^3</f>
        <v>21.10066483340017</v>
      </c>
      <c r="BU34" s="41">
        <f t="shared" ref="BU34:BU49" si="128">E34*3*((BO34-BQ34)/BO34)^2*BN34</f>
        <v>43.523170658924563</v>
      </c>
      <c r="BV34" s="41">
        <f t="shared" ref="BV34:BV49" si="129">BO34/((3*E34*BN34)^0.5)</f>
        <v>220.46345267985745</v>
      </c>
      <c r="BW34" s="41">
        <f>BO34-BP34</f>
        <v>1343.8199249287968</v>
      </c>
      <c r="BX34" s="41">
        <f>BO34-BQ34</f>
        <v>1454.443542182978</v>
      </c>
      <c r="BY34" s="41">
        <f>BO34-((BW$28/(BN34*3*$E34))^0.5)*BO34</f>
        <v>4298.3636910683117</v>
      </c>
      <c r="BZ34" s="41">
        <f>BO34-((BX$28/(BN34*3*$E34))^0.5)*BO34</f>
        <v>4037.6973523399479</v>
      </c>
      <c r="CA34" s="41">
        <f>BY34-BP34</f>
        <v>850.89939402449681</v>
      </c>
      <c r="CB34" s="41">
        <f>BZ34-BQ34</f>
        <v>700.85667255031422</v>
      </c>
      <c r="CC34" s="76">
        <f>($E34*((BO34-BY34)/BO34)^3*BN34*BO34/10^3)+(BW$28*CA34/10^3)</f>
        <v>5.0749864074664846</v>
      </c>
      <c r="CD34" s="70">
        <f>($E34*((BO34-BZ34)/BO34)^3*BN34*BO34/10^3)+(BX$28*CB34/10^3)</f>
        <v>11.123827382371553</v>
      </c>
      <c r="CF34" s="43">
        <f>$H34*$L34</f>
        <v>24704.701330924185</v>
      </c>
      <c r="CG34" s="43">
        <f>$G34*$R34</f>
        <v>5038.2116345961394</v>
      </c>
      <c r="CH34" s="43">
        <f t="shared" ref="CH34:CH49" si="130">MIN(CG34,W34)</f>
        <v>3447.4642970438149</v>
      </c>
      <c r="CI34" s="43">
        <f t="shared" ref="CI34:CI49" si="131">MIN(CG34,X34)</f>
        <v>3336.8406797896337</v>
      </c>
      <c r="CJ34" s="43">
        <f t="shared" ref="CJ34:CJ49" si="132">E34*((CG34-CH34)/CG34)^3*CF34*CG34/10^3</f>
        <v>23.323224221022549</v>
      </c>
      <c r="CK34" s="43">
        <f t="shared" ref="CK34:CK49" si="133">E34*3*((CG34-CH34)/CG34)^2*CF34</f>
        <v>43.985409254702667</v>
      </c>
      <c r="CL34" s="43">
        <f t="shared" ref="CL34:CL49" si="134">E34*((CG34-CI34)/CG34)^3*CF34*CG34/10^3</f>
        <v>28.535271933200349</v>
      </c>
      <c r="CM34" s="43">
        <f t="shared" ref="CM34:CM49" si="135">E34*3*((CG34-CI34)/CG34)^2*CF34</f>
        <v>50.31578537164863</v>
      </c>
      <c r="CN34" s="43">
        <f t="shared" ref="CN34:CN49" si="136">CG34/((3*E34*CF34)^0.5)</f>
        <v>239.8539563390097</v>
      </c>
      <c r="CO34" s="43">
        <f>CG34-CH34</f>
        <v>1590.7473375523246</v>
      </c>
      <c r="CP34" s="43">
        <f>CG34-CI34</f>
        <v>1701.3709548065058</v>
      </c>
      <c r="CQ34" s="43">
        <f>CG34-((CO$28/(CF34*3*$E34))^0.5)*CG34</f>
        <v>4405.4150202456694</v>
      </c>
      <c r="CR34" s="43">
        <f>CG34-((CP$28/(CF34*3*$E34))^0.5)*CG34</f>
        <v>4116.8509637691486</v>
      </c>
      <c r="CS34" s="43">
        <f>CQ34-CH34</f>
        <v>957.95072320185454</v>
      </c>
      <c r="CT34" s="43">
        <f>CR34-CI34</f>
        <v>780.01028397951495</v>
      </c>
      <c r="CU34" s="76">
        <f>($E34*((CG34-CQ34)/CG34)^3*CF34*CG34/10^3)+(CO$28*CS34/10^3)</f>
        <v>8.1358987740602817</v>
      </c>
      <c r="CV34" s="70">
        <f>($E34*((CG34-CR34)/CG34)^3*CF34*CG34/10^3)+(CP$28*CT34/10^3)</f>
        <v>16.041584025416583</v>
      </c>
      <c r="CX34" s="45">
        <f>$H34*$M34</f>
        <v>26817.32276103328</v>
      </c>
      <c r="CY34" s="45">
        <f>$G34*$S34</f>
        <v>5058.7860961793967</v>
      </c>
      <c r="CZ34" s="45">
        <f>MIN(CY34,$W34)</f>
        <v>3447.4642970438149</v>
      </c>
      <c r="DA34" s="45">
        <f>MIN(CY34,$X34)</f>
        <v>3336.8406797896337</v>
      </c>
      <c r="DB34" s="45">
        <f t="shared" ref="DB34:DB49" si="137">E34*((CY34-CZ34)/CY34)^3*CX34*CY34/10^3</f>
        <v>26.099237038509088</v>
      </c>
      <c r="DC34" s="45">
        <f>$E34*3*((CY34-CZ34)/CY34)^2*CX34</f>
        <v>48.592224816626498</v>
      </c>
      <c r="DD34" s="45">
        <f>$E34*((CY34-DA34)/CY34)^3*CX34*CY34/10^3</f>
        <v>31.852175954882718</v>
      </c>
      <c r="DE34" s="45">
        <f>$E34*3*((CY34-DA34)/CY34)^2*CX34</f>
        <v>55.493354757430303</v>
      </c>
      <c r="DF34" s="45">
        <f>CY34/((3*$E34*CX34)^0.5)</f>
        <v>231.15265743360374</v>
      </c>
      <c r="DG34" s="45">
        <f>CY34-CZ34</f>
        <v>1611.3217991355818</v>
      </c>
      <c r="DH34" s="45">
        <f>CY34-DA34</f>
        <v>1721.9454163897631</v>
      </c>
      <c r="DI34" s="45">
        <f>CY34-((DG$28/(CX34*3*$E34))^0.5)*CY34</f>
        <v>4466.9166070147194</v>
      </c>
      <c r="DJ34" s="45">
        <f>CY34-((DH$28/(CX34*3*$E34))^0.5)*CY34</f>
        <v>4181.2543490824355</v>
      </c>
      <c r="DK34" s="45">
        <f>DI34-CZ34</f>
        <v>1019.4523099709045</v>
      </c>
      <c r="DL34" s="45">
        <f>DJ34-DA34</f>
        <v>844.41366929280184</v>
      </c>
      <c r="DM34" s="76">
        <f>($E34*((CY34-DI34)/CY34)^3*CX34*CY34/10^3)+(DG$28*DK34/10^3)</f>
        <v>7.9772402787051151</v>
      </c>
      <c r="DN34" s="70">
        <f>($E34*((CY34-DJ34)/CY34)^3*CX34*CY34/10^3)+(DH$28*DL34/10^3)</f>
        <v>16.385489635416434</v>
      </c>
      <c r="DP34" s="47">
        <f>$H34*$N34</f>
        <v>28288.584777213662</v>
      </c>
      <c r="DQ34" s="47">
        <f>$G34*$T34</f>
        <v>5723.6612108158797</v>
      </c>
      <c r="DR34" s="47">
        <f>MIN(DQ34,$W34)</f>
        <v>3447.4642970438149</v>
      </c>
      <c r="DS34" s="47">
        <f>MIN(DQ34,$X34)</f>
        <v>3336.8406797896337</v>
      </c>
      <c r="DT34" s="47">
        <f>$E34*((DQ34-DR34)/DQ34)^3*DP34*DQ34/10^3</f>
        <v>60.624902060945821</v>
      </c>
      <c r="DU34" s="47">
        <f>$E34*3*((DQ34-DR34)/DQ34)^2*DP34</f>
        <v>79.902887611528556</v>
      </c>
      <c r="DV34" s="47">
        <f>$E34*((DQ34-DS34)/DQ34)^3*DP34*DQ34/10^3</f>
        <v>69.900592065224544</v>
      </c>
      <c r="DW34" s="47">
        <f>$E34*3*((DQ34-DS34)/DQ34)^2*DP34</f>
        <v>87.858208637709993</v>
      </c>
      <c r="DX34" s="47">
        <f>DQ34/((3*$E34*DP34)^0.5)</f>
        <v>254.64115346710653</v>
      </c>
      <c r="DY34" s="47">
        <f>DQ34-DR34</f>
        <v>2276.1969137720648</v>
      </c>
      <c r="DZ34" s="47">
        <f>DQ34-DS34</f>
        <v>2386.820531026246</v>
      </c>
      <c r="EA34" s="47">
        <f>DQ34-((DY$28/(DP34*3*$E34))^0.5)*DQ34</f>
        <v>4749.7934056367549</v>
      </c>
      <c r="EB34" s="47">
        <f>DQ34-((DZ$28/(DP34*3*$E34))^0.5)*DQ34</f>
        <v>4405.7022509728204</v>
      </c>
      <c r="EC34" s="47">
        <f>EA34-DR34</f>
        <v>1302.32910859294</v>
      </c>
      <c r="ED34" s="47">
        <f>EB34-DS34</f>
        <v>1068.8615711831867</v>
      </c>
      <c r="EE34" s="76">
        <f>($E34*((DQ34-EA34)/DQ34)^3*DP34*DQ34/10^3)+(DY$28*EC34/10^3)</f>
        <v>23.796741598365873</v>
      </c>
      <c r="EF34" s="70">
        <f>($E34*((DQ34-EB34)/DQ34)^3*DP34*DQ34/10^3)+(DZ$28*ED34/10^3)</f>
        <v>40.401744509479514</v>
      </c>
    </row>
    <row r="35" spans="1:136" x14ac:dyDescent="0.35">
      <c r="A35" s="30" t="str">
        <f>'Data_world regions'!C5</f>
        <v>Canada</v>
      </c>
      <c r="B35" s="30" t="str">
        <f>'Data_world regions'!D5</f>
        <v>CAN</v>
      </c>
      <c r="C35" s="30">
        <f>'Data_world regions'!E5</f>
        <v>0</v>
      </c>
      <c r="D35" s="30">
        <f>'Data_world regions'!F5</f>
        <v>0</v>
      </c>
      <c r="E35" s="31">
        <f>'Data_world regions'!G5</f>
        <v>0.12240284074761253</v>
      </c>
      <c r="F35" s="30">
        <f>'Data_world regions'!H5</f>
        <v>145.97811797064199</v>
      </c>
      <c r="G35" s="30">
        <f>'Data_world regions'!I5</f>
        <v>534.86382424443229</v>
      </c>
      <c r="H35" s="31">
        <f>'Data_world regions'!J5</f>
        <v>1645.4234075683632</v>
      </c>
      <c r="I35" s="30">
        <f>'Data_world regions'!K5</f>
        <v>1.221996946945836</v>
      </c>
      <c r="J35" s="30">
        <f>'Data_world regions'!L5</f>
        <v>1.2391220415267794</v>
      </c>
      <c r="K35" s="30">
        <f>'Data_world regions'!M5</f>
        <v>1.2445356347615457</v>
      </c>
      <c r="L35" s="30">
        <f>'Data_world regions'!N5</f>
        <v>1.175175430934486</v>
      </c>
      <c r="M35" s="30">
        <f>'Data_world regions'!O5</f>
        <v>1.2391918716841661</v>
      </c>
      <c r="N35" s="30">
        <f>'Data_world regions'!P5</f>
        <v>1.326252900883599</v>
      </c>
      <c r="O35" s="31">
        <f>'Data_world regions'!Q5</f>
        <v>1.1885119402079378</v>
      </c>
      <c r="P35" s="31">
        <f>'Data_world regions'!R5</f>
        <v>0.90947003354549749</v>
      </c>
      <c r="Q35" s="31">
        <f>'Data_world regions'!S5</f>
        <v>1.0160301239037073</v>
      </c>
      <c r="R35" s="31">
        <f>'Data_world regions'!T5</f>
        <v>1.0683930558484569</v>
      </c>
      <c r="S35" s="31">
        <f>'Data_world regions'!U5</f>
        <v>1.0727560349127803</v>
      </c>
      <c r="T35" s="31">
        <f>'Data_world regions'!V5</f>
        <v>1.2137481184144505</v>
      </c>
      <c r="U35" s="30">
        <f>'Data_world regions'!W5</f>
        <v>0.62594532645316192</v>
      </c>
      <c r="V35" s="30">
        <f>'Data_world regions'!X5</f>
        <v>0.57549009126022055</v>
      </c>
      <c r="W35" s="31">
        <f>'Data_world regions'!Y5</f>
        <v>334.79551107466779</v>
      </c>
      <c r="X35" s="31">
        <f>'Data_world regions'!Z5</f>
        <v>307.80883102621891</v>
      </c>
      <c r="Z35" s="79">
        <f t="shared" ref="Z35:Z49" si="138">$H35*I35</f>
        <v>2010.7023804817538</v>
      </c>
      <c r="AA35" s="27">
        <f t="shared" ref="AA35:AA49" si="139">$G35*O35</f>
        <v>635.69204149978771</v>
      </c>
      <c r="AB35" s="32">
        <f t="shared" ref="AB35:AB40" si="140">MIN(AA35,W35)</f>
        <v>334.79551107466779</v>
      </c>
      <c r="AC35" s="70">
        <f t="shared" ref="AC35:AC49" si="141">MIN(AA35,X35)</f>
        <v>307.80883102621891</v>
      </c>
      <c r="AD35" s="32">
        <f t="shared" ref="AD35:AD40" si="142">E35*((AA35-AB35)/AA35)^3*Z35*AA35/10^3</f>
        <v>16.591944278619312</v>
      </c>
      <c r="AE35" s="32">
        <f t="shared" si="106"/>
        <v>165.42508072636281</v>
      </c>
      <c r="AF35" s="33">
        <f t="shared" si="107"/>
        <v>21.468577886583446</v>
      </c>
      <c r="AG35" s="70">
        <f t="shared" si="108"/>
        <v>196.42888565940217</v>
      </c>
      <c r="AH35" s="79">
        <f t="shared" si="109"/>
        <v>23.39464731479481</v>
      </c>
      <c r="AI35" s="32">
        <f t="shared" si="110"/>
        <v>300.89653042511992</v>
      </c>
      <c r="AJ35" s="33">
        <f t="shared" si="111"/>
        <v>327.88321047356879</v>
      </c>
      <c r="AK35" s="32">
        <f t="shared" si="112"/>
        <v>568.54290000604931</v>
      </c>
      <c r="AL35" s="33">
        <f t="shared" si="113"/>
        <v>538.28749481296632</v>
      </c>
      <c r="AM35" s="32">
        <f t="shared" si="114"/>
        <v>233.74738893138152</v>
      </c>
      <c r="AN35" s="33">
        <f t="shared" si="115"/>
        <v>230.4786637867474</v>
      </c>
      <c r="AS35" s="76">
        <f t="shared" ref="AS35:AS49" si="143">($E35*((AA35-AK35)/AA35)^3*Z35*AA35/10^3)+(AI$28*AM35/10^3)</f>
        <v>2.1101295205992536</v>
      </c>
      <c r="AT35" s="70">
        <f t="shared" ref="AT35:AT49" si="144">($E35*((AA35-AL35)/AA35)^3*Z35*AA35/10^3)+(AJ$28*AN35/10^3)</f>
        <v>4.5582004554629654</v>
      </c>
      <c r="AV35" s="35">
        <f t="shared" si="116"/>
        <v>2038.8804119620602</v>
      </c>
      <c r="AW35" s="35">
        <f t="shared" si="117"/>
        <v>486.4426201778569</v>
      </c>
      <c r="AX35" s="37">
        <f t="shared" ref="AX35:AX49" si="145">MIN(AW35,$W35)</f>
        <v>334.79551107466779</v>
      </c>
      <c r="AY35" s="39">
        <f t="shared" ref="AY35:AY49" si="146">MIN(AW35,$X35)</f>
        <v>307.80883102621891</v>
      </c>
      <c r="AZ35" s="37">
        <f t="shared" si="118"/>
        <v>3.6780905712527603</v>
      </c>
      <c r="BA35" s="37">
        <f t="shared" si="119"/>
        <v>72.76282270735507</v>
      </c>
      <c r="BB35" s="39">
        <f t="shared" si="120"/>
        <v>6.01188748471181</v>
      </c>
      <c r="BC35" s="39">
        <f t="shared" si="121"/>
        <v>100.96445101338237</v>
      </c>
      <c r="BD35" s="35">
        <f t="shared" si="122"/>
        <v>17.77785527606942</v>
      </c>
      <c r="BE35" s="37">
        <f t="shared" ref="BE35:BE49" si="147">AW35-AX35</f>
        <v>151.64710910318911</v>
      </c>
      <c r="BF35" s="39">
        <f t="shared" ref="BF35:BF49" si="148">AW35-AY35</f>
        <v>178.63378915163798</v>
      </c>
      <c r="BG35" s="37">
        <f t="shared" ref="BG35:BG49" si="149">AW35-((BE$28/(AV35*3*$E35))^0.5)*AW35</f>
        <v>460.07488485815009</v>
      </c>
      <c r="BH35" s="39">
        <f t="shared" ref="BH35:BH49" si="150">AW35-((BF$28/(AV35*3*$E35))^0.5)*AW35</f>
        <v>442.68909035946149</v>
      </c>
      <c r="BI35" s="37">
        <f t="shared" ref="BI35:BI47" si="151">BG35-AX35</f>
        <v>125.2793737834823</v>
      </c>
      <c r="BJ35" s="39">
        <f t="shared" ref="BJ35:BJ47" si="152">BH35-AY35</f>
        <v>134.88025933324258</v>
      </c>
      <c r="BK35" s="76">
        <f t="shared" ref="BK35:BK49" si="153">($E35*((AW35-BG35)/AW35)^3*AV35*AW35/10^3)+(BE$28*BI35/10^3)</f>
        <v>0.29492668124562355</v>
      </c>
      <c r="BL35" s="70">
        <f t="shared" ref="BL35:BL49" si="154">($E35*((AW35-BH35)/AW35)^3*AV35*AW35/10^3)+(BF$28*BJ35/10^3)</f>
        <v>0.90532871243393287</v>
      </c>
      <c r="BN35" s="41">
        <f t="shared" ref="BN35:BN49" si="155">$H35*$K35</f>
        <v>2047.7880649895985</v>
      </c>
      <c r="BO35" s="41">
        <f t="shared" ref="BO35:BO49" si="156">$G35*$Q35</f>
        <v>543.4377576186813</v>
      </c>
      <c r="BP35" s="41">
        <f t="shared" si="123"/>
        <v>334.79551107466779</v>
      </c>
      <c r="BQ35" s="41">
        <f t="shared" si="124"/>
        <v>307.80883102621891</v>
      </c>
      <c r="BR35" s="41">
        <f t="shared" si="125"/>
        <v>7.7087442313636059</v>
      </c>
      <c r="BS35" s="41">
        <f t="shared" si="126"/>
        <v>110.84156290088781</v>
      </c>
      <c r="BT35" s="41">
        <f t="shared" si="127"/>
        <v>11.103571665364464</v>
      </c>
      <c r="BU35" s="41">
        <f t="shared" si="128"/>
        <v>141.36937886962721</v>
      </c>
      <c r="BV35" s="41">
        <f t="shared" si="129"/>
        <v>19.81759413945743</v>
      </c>
      <c r="BW35" s="41">
        <f t="shared" ref="BW35:BW49" si="157">BO35-BP35</f>
        <v>208.64224654401352</v>
      </c>
      <c r="BX35" s="41">
        <f t="shared" ref="BX35:BX49" si="158">BO35-BQ35</f>
        <v>235.62892659246239</v>
      </c>
      <c r="BY35" s="41">
        <f t="shared" ref="BY35:BY49" si="159">BO35-((BW$28/(BN35*3*$E35))^0.5)*BO35</f>
        <v>499.12883064813047</v>
      </c>
      <c r="BZ35" s="41">
        <f t="shared" ref="BZ35:BZ49" si="160">BO35-((BX$28/(BN35*3*$E35))^0.5)*BO35</f>
        <v>475.69737457709425</v>
      </c>
      <c r="CA35" s="41">
        <f t="shared" ref="CA35:CA47" si="161">BY35-BP35</f>
        <v>164.33331957346269</v>
      </c>
      <c r="CB35" s="41">
        <f t="shared" ref="CB35:CB47" si="162">BZ35-BQ35</f>
        <v>167.88854355087534</v>
      </c>
      <c r="CC35" s="76">
        <f t="shared" ref="CC35:CC49" si="163">($E35*((BO35-BY35)/BO35)^3*BN35*BO35/10^3)+(BW$28*CA35/10^3)</f>
        <v>0.89533048896536727</v>
      </c>
      <c r="CD35" s="70">
        <f t="shared" ref="CD35:CD49" si="164">($E35*((BO35-BZ35)/BO35)^3*BN35*BO35/10^3)+(BX$28*CB35/10^3)</f>
        <v>2.2254456293640956</v>
      </c>
      <c r="CF35" s="43">
        <f t="shared" ref="CF35:CF49" si="165">$H35*$L35</f>
        <v>1933.6611620588417</v>
      </c>
      <c r="CG35" s="43">
        <f t="shared" ref="CG35:CG49" si="166">$G35*$R35</f>
        <v>571.44479564730102</v>
      </c>
      <c r="CH35" s="43">
        <f t="shared" si="130"/>
        <v>334.79551107466779</v>
      </c>
      <c r="CI35" s="43">
        <f t="shared" si="131"/>
        <v>307.80883102621891</v>
      </c>
      <c r="CJ35" s="43">
        <f t="shared" si="132"/>
        <v>9.6059184545509417</v>
      </c>
      <c r="CK35" s="43">
        <f t="shared" si="133"/>
        <v>121.7741072646597</v>
      </c>
      <c r="CL35" s="43">
        <f t="shared" si="134"/>
        <v>13.281198700867165</v>
      </c>
      <c r="CM35" s="43">
        <f t="shared" si="135"/>
        <v>151.13111050636729</v>
      </c>
      <c r="CN35" s="43">
        <f t="shared" si="136"/>
        <v>21.445082368518225</v>
      </c>
      <c r="CO35" s="43">
        <f t="shared" ref="CO35:CO49" si="167">CG35-CH35</f>
        <v>236.64928457263323</v>
      </c>
      <c r="CP35" s="43">
        <f t="shared" ref="CP35:CP49" si="168">CG35-CI35</f>
        <v>263.63596462108211</v>
      </c>
      <c r="CQ35" s="43">
        <f t="shared" ref="CQ35:CQ49" si="169">CG35-((CO$28/(CF35*3*$E35))^0.5)*CG35</f>
        <v>514.86713595639765</v>
      </c>
      <c r="CR35" s="43">
        <f t="shared" ref="CR35:CR49" si="170">CG35-((CP$28/(CF35*3*$E35))^0.5)*CG35</f>
        <v>489.06693630913298</v>
      </c>
      <c r="CS35" s="43">
        <f t="shared" ref="CS35:CS49" si="171">CQ35-CH35</f>
        <v>180.07162488172986</v>
      </c>
      <c r="CT35" s="43">
        <f t="shared" ref="CT35:CT49" si="172">CR35-CI35</f>
        <v>181.25810528291407</v>
      </c>
      <c r="CU35" s="76">
        <f t="shared" ref="CU35:CU49" si="173">($E35*((CG35-CQ35)/CG35)^3*CF35*CG35/10^3)+(CO$28*CS35/10^3)</f>
        <v>1.3846392802976029</v>
      </c>
      <c r="CV35" s="70">
        <f t="shared" ref="CV35:CV49" si="174">($E35*((CG35-CR35)/CG35)^3*CF35*CG35/10^3)+(CP$28*CT35/10^3)</f>
        <v>3.079811994617824</v>
      </c>
      <c r="CX35" s="45">
        <f t="shared" ref="CX35:CX49" si="175">$H35*$M35</f>
        <v>2038.9953121375786</v>
      </c>
      <c r="CY35" s="45">
        <f t="shared" ref="CY35:CY49" si="176">$G35*$S35</f>
        <v>573.77839531474342</v>
      </c>
      <c r="CZ35" s="45">
        <f t="shared" ref="CZ35:CZ49" si="177">MIN(CY35,$W35)</f>
        <v>334.79551107466779</v>
      </c>
      <c r="DA35" s="45">
        <f t="shared" ref="DA35:DA49" si="178">MIN(CY35,$X35)</f>
        <v>307.80883102621891</v>
      </c>
      <c r="DB35" s="45">
        <f t="shared" si="137"/>
        <v>10.347125960531336</v>
      </c>
      <c r="DC35" s="45">
        <f t="shared" ref="DC35:DC49" si="179">$E35*3*((CY35-CZ35)/CY35)^2*CX35</f>
        <v>129.88954409978032</v>
      </c>
      <c r="DD35" s="45">
        <f t="shared" ref="DD35:DD49" si="180">$E35*((CY35-DA35)/CY35)^3*CX35*CY35/10^3</f>
        <v>14.263140712477332</v>
      </c>
      <c r="DE35" s="45">
        <f t="shared" ref="DE35:DE49" si="181">$E35*3*((CY35-DA35)/CY35)^2*CX35</f>
        <v>160.88089722557095</v>
      </c>
      <c r="DF35" s="45">
        <f t="shared" ref="DF35:DF49" si="182">CY35/((3*$E35*CX35)^0.5)</f>
        <v>20.969095712066782</v>
      </c>
      <c r="DG35" s="45">
        <f t="shared" ref="DG35:DG49" si="183">CY35-CZ35</f>
        <v>238.98288424007563</v>
      </c>
      <c r="DH35" s="45">
        <f t="shared" ref="DH35:DH49" si="184">CY35-DA35</f>
        <v>265.96956428852451</v>
      </c>
      <c r="DI35" s="45">
        <f t="shared" ref="DI35:DI49" si="185">CY35-((DG$28/(CX35*3*$E35))^0.5)*CY35</f>
        <v>520.08674363684258</v>
      </c>
      <c r="DJ35" s="45">
        <f t="shared" ref="DJ35:DJ49" si="186">CY35-((DH$28/(CX35*3*$E35))^0.5)*CY35</f>
        <v>494.17279008591811</v>
      </c>
      <c r="DK35" s="45">
        <f t="shared" ref="DK35:DK49" si="187">DI35-CZ35</f>
        <v>185.2912325621748</v>
      </c>
      <c r="DL35" s="45">
        <f t="shared" ref="DL35:DL49" si="188">DJ35-DA35</f>
        <v>186.3639590596992</v>
      </c>
      <c r="DM35" s="76">
        <f t="shared" ref="DM35:DM49" si="189">($E35*((CY35-DI35)/CY35)^3*CX35*CY35/10^3)+(DG$28*DK35/10^3)</f>
        <v>1.3321500365125025</v>
      </c>
      <c r="DN35" s="70">
        <f t="shared" ref="DN35:DN49" si="190">($E35*((CY35-DJ35)/CY35)^3*CX35*CY35/10^3)+(DH$28*DL35/10^3)</f>
        <v>3.0683284199733127</v>
      </c>
      <c r="DP35" s="47">
        <f t="shared" ref="DP35:DP49" si="191">$H35*$N35</f>
        <v>2182.2475674693183</v>
      </c>
      <c r="DQ35" s="47">
        <f t="shared" ref="DQ35:DQ49" si="192">$G35*$T35</f>
        <v>649.1899602846371</v>
      </c>
      <c r="DR35" s="47">
        <f t="shared" ref="DR35:DR49" si="193">MIN(DQ35,$W35)</f>
        <v>334.79551107466779</v>
      </c>
      <c r="DS35" s="47">
        <f t="shared" ref="DS35:DS49" si="194">MIN(DQ35,$X35)</f>
        <v>307.80883102621891</v>
      </c>
      <c r="DT35" s="47">
        <f t="shared" ref="DT35:DT49" si="195">$E35*((DQ35-DR35)/DQ35)^3*DP35*DQ35/10^3</f>
        <v>19.695931933726161</v>
      </c>
      <c r="DU35" s="47">
        <f t="shared" ref="DU35:DU49" si="196">$E35*3*((DQ35-DR35)/DQ35)^2*DP35</f>
        <v>187.94159995400082</v>
      </c>
      <c r="DV35" s="47">
        <f t="shared" ref="DV35:DV49" si="197">$E35*((DQ35-DS35)/DQ35)^3*DP35*DQ35/10^3</f>
        <v>25.215666824012523</v>
      </c>
      <c r="DW35" s="47">
        <f t="shared" ref="DW35:DW49" si="198">$E35*3*((DQ35-DS35)/DQ35)^2*DP35</f>
        <v>221.59104293891542</v>
      </c>
      <c r="DX35" s="47">
        <f t="shared" ref="DX35:DX49" si="199">DQ35/((3*$E35*DP35)^0.5)</f>
        <v>22.933134064833002</v>
      </c>
      <c r="DY35" s="47">
        <f t="shared" ref="DY35:DY49" si="200">DQ35-DR35</f>
        <v>314.39444920996931</v>
      </c>
      <c r="DZ35" s="47">
        <f t="shared" ref="DZ35:DZ49" si="201">DQ35-DS35</f>
        <v>341.38112925841818</v>
      </c>
      <c r="EA35" s="47">
        <f t="shared" ref="EA35:EA49" si="202">DQ35-((DY$28/(DP35*3*$E35))^0.5)*DQ35</f>
        <v>561.48284525822589</v>
      </c>
      <c r="EB35" s="47">
        <f t="shared" ref="EB35:EB49" si="203">DQ35-((DZ$28/(DP35*3*$E35))^0.5)*DQ35</f>
        <v>530.49379076727325</v>
      </c>
      <c r="EC35" s="47">
        <f t="shared" ref="EC35:EC49" si="204">EA35-DR35</f>
        <v>226.68733418355811</v>
      </c>
      <c r="ED35" s="47">
        <f t="shared" ref="ED35:ED49" si="205">EB35-DS35</f>
        <v>222.68495974105434</v>
      </c>
      <c r="EE35" s="76">
        <f t="shared" ref="EE35:EE49" si="206">($E35*((DQ35-EA35)/DQ35)^3*DP35*DQ35/10^3)+(DY$28*EC35/10^3)</f>
        <v>3.7432791607157236</v>
      </c>
      <c r="EF35" s="70">
        <f t="shared" ref="EF35:EF49" si="207">($E35*((DQ35-EB35)/DQ35)^3*DP35*DQ35/10^3)+(DZ$28*ED35/10^3)</f>
        <v>7.0252642384034667</v>
      </c>
    </row>
    <row r="36" spans="1:136" x14ac:dyDescent="0.35">
      <c r="A36" s="30" t="str">
        <f>'Data_world regions'!C6</f>
        <v>Japan</v>
      </c>
      <c r="B36" s="30" t="str">
        <f>'Data_world regions'!D6</f>
        <v>JPN</v>
      </c>
      <c r="C36" s="30">
        <f>'Data_world regions'!E6</f>
        <v>0</v>
      </c>
      <c r="D36" s="30">
        <f>'Data_world regions'!F6</f>
        <v>0</v>
      </c>
      <c r="E36" s="31">
        <f>'Data_world regions'!G6</f>
        <v>3.9810327665964554E-2</v>
      </c>
      <c r="F36" s="30">
        <f>'Data_world regions'!H6</f>
        <v>284.44978592059601</v>
      </c>
      <c r="G36" s="30">
        <f>'Data_world regions'!I6</f>
        <v>1042.2240156130638</v>
      </c>
      <c r="H36" s="31">
        <f>'Data_world regions'!J6</f>
        <v>5040.1077540841061</v>
      </c>
      <c r="I36" s="30">
        <f>'Data_world regions'!K6</f>
        <v>1.0840055778407973</v>
      </c>
      <c r="J36" s="30">
        <f>'Data_world regions'!L6</f>
        <v>1.1349615360611738</v>
      </c>
      <c r="K36" s="30">
        <f>'Data_world regions'!M6</f>
        <v>1.1053817683783378</v>
      </c>
      <c r="L36" s="30">
        <f>'Data_world regions'!N6</f>
        <v>1.0472951333306078</v>
      </c>
      <c r="M36" s="30">
        <f>'Data_world regions'!O6</f>
        <v>1.1243943381743213</v>
      </c>
      <c r="N36" s="30">
        <f>'Data_world regions'!P6</f>
        <v>1.1748329442559264</v>
      </c>
      <c r="O36" s="31">
        <f>'Data_world regions'!Q6</f>
        <v>1.3561674241042658</v>
      </c>
      <c r="P36" s="31">
        <f>'Data_world regions'!R6</f>
        <v>0.90947003354549749</v>
      </c>
      <c r="Q36" s="31">
        <f>'Data_world regions'!S6</f>
        <v>1.0160301239037073</v>
      </c>
      <c r="R36" s="31">
        <f>'Data_world regions'!T6</f>
        <v>1.0683930558484569</v>
      </c>
      <c r="S36" s="31">
        <f>'Data_world regions'!U6</f>
        <v>1.0727560349127803</v>
      </c>
      <c r="T36" s="31">
        <f>'Data_world regions'!V6</f>
        <v>1.2137481184144505</v>
      </c>
      <c r="U36" s="30">
        <f>'Data_world regions'!W6</f>
        <v>0.6185764278229714</v>
      </c>
      <c r="V36" s="30">
        <f>'Data_world regions'!X6</f>
        <v>0.57507198284320638</v>
      </c>
      <c r="W36" s="31">
        <f>'Data_world regions'!Y6</f>
        <v>644.6952085692418</v>
      </c>
      <c r="X36" s="31">
        <f>'Data_world regions'!Z6</f>
        <v>599.3538312254135</v>
      </c>
      <c r="Z36" s="79">
        <f t="shared" si="138"/>
        <v>5463.504918345825</v>
      </c>
      <c r="AA36" s="27">
        <f t="shared" si="139"/>
        <v>1413.4302585935729</v>
      </c>
      <c r="AB36" s="32">
        <f t="shared" si="140"/>
        <v>644.6952085692418</v>
      </c>
      <c r="AC36" s="70">
        <f t="shared" si="141"/>
        <v>599.3538312254135</v>
      </c>
      <c r="AD36" s="32">
        <f t="shared" si="142"/>
        <v>49.459346119462154</v>
      </c>
      <c r="AE36" s="32">
        <f t="shared" si="106"/>
        <v>193.01583602008284</v>
      </c>
      <c r="AF36" s="33">
        <f t="shared" si="107"/>
        <v>58.737283840036554</v>
      </c>
      <c r="AG36" s="70">
        <f t="shared" si="108"/>
        <v>216.45615275925351</v>
      </c>
      <c r="AH36" s="79">
        <f t="shared" si="109"/>
        <v>55.332489694133386</v>
      </c>
      <c r="AI36" s="32">
        <f t="shared" si="110"/>
        <v>768.73505002433114</v>
      </c>
      <c r="AJ36" s="33">
        <f t="shared" si="111"/>
        <v>814.07642736815944</v>
      </c>
      <c r="AK36" s="32">
        <f t="shared" si="112"/>
        <v>1254.6106307668915</v>
      </c>
      <c r="AL36" s="33">
        <f t="shared" si="113"/>
        <v>1183.0512320073562</v>
      </c>
      <c r="AM36" s="32">
        <f t="shared" si="114"/>
        <v>609.91542219764972</v>
      </c>
      <c r="AN36" s="33">
        <f t="shared" si="115"/>
        <v>583.69740078194275</v>
      </c>
      <c r="AS36" s="76">
        <f t="shared" si="143"/>
        <v>5.4609305860336619</v>
      </c>
      <c r="AT36" s="70">
        <f t="shared" si="144"/>
        <v>11.449643651130346</v>
      </c>
      <c r="AV36" s="35">
        <f t="shared" si="116"/>
        <v>5720.3284384891294</v>
      </c>
      <c r="AW36" s="35">
        <f t="shared" si="117"/>
        <v>947.8715104415362</v>
      </c>
      <c r="AX36" s="37">
        <f t="shared" si="145"/>
        <v>644.6952085692418</v>
      </c>
      <c r="AY36" s="39">
        <f t="shared" si="146"/>
        <v>599.3538312254135</v>
      </c>
      <c r="AZ36" s="37">
        <f t="shared" si="118"/>
        <v>7.0632329573980135</v>
      </c>
      <c r="BA36" s="37">
        <f t="shared" si="119"/>
        <v>69.892332419569144</v>
      </c>
      <c r="BB36" s="39">
        <f t="shared" si="120"/>
        <v>10.729814578123975</v>
      </c>
      <c r="BC36" s="39">
        <f t="shared" si="121"/>
        <v>92.361006783849888</v>
      </c>
      <c r="BD36" s="35">
        <f t="shared" si="122"/>
        <v>36.264398985827633</v>
      </c>
      <c r="BE36" s="37">
        <f t="shared" si="147"/>
        <v>303.1763018722944</v>
      </c>
      <c r="BF36" s="39">
        <f t="shared" si="148"/>
        <v>348.5176792161227</v>
      </c>
      <c r="BG36" s="37">
        <f t="shared" si="149"/>
        <v>894.0849282505061</v>
      </c>
      <c r="BH36" s="39">
        <f t="shared" si="150"/>
        <v>858.62027975408478</v>
      </c>
      <c r="BI36" s="37">
        <f t="shared" si="151"/>
        <v>249.3897196812643</v>
      </c>
      <c r="BJ36" s="39">
        <f t="shared" si="152"/>
        <v>259.26644852867128</v>
      </c>
      <c r="BK36" s="76">
        <f t="shared" si="153"/>
        <v>0.58805246454237303</v>
      </c>
      <c r="BL36" s="70">
        <f t="shared" si="154"/>
        <v>1.7506149568498808</v>
      </c>
      <c r="BN36" s="41">
        <f t="shared" si="155"/>
        <v>5571.243222026862</v>
      </c>
      <c r="BO36" s="41">
        <f t="shared" si="156"/>
        <v>1058.9309957187606</v>
      </c>
      <c r="BP36" s="41">
        <f t="shared" si="123"/>
        <v>644.6952085692418</v>
      </c>
      <c r="BQ36" s="41">
        <f t="shared" si="124"/>
        <v>599.3538312254135</v>
      </c>
      <c r="BR36" s="41">
        <f t="shared" si="125"/>
        <v>14.059031319355494</v>
      </c>
      <c r="BS36" s="41">
        <f t="shared" si="126"/>
        <v>101.81904911765292</v>
      </c>
      <c r="BT36" s="41">
        <f t="shared" si="127"/>
        <v>19.199409580649615</v>
      </c>
      <c r="BU36" s="41">
        <f t="shared" si="128"/>
        <v>125.32874388014253</v>
      </c>
      <c r="BV36" s="41">
        <f t="shared" si="129"/>
        <v>41.05188445147769</v>
      </c>
      <c r="BW36" s="41">
        <f t="shared" si="157"/>
        <v>414.23578714951884</v>
      </c>
      <c r="BX36" s="41">
        <f t="shared" si="158"/>
        <v>459.57716449334714</v>
      </c>
      <c r="BY36" s="41">
        <f t="shared" si="159"/>
        <v>967.14563886041219</v>
      </c>
      <c r="BZ36" s="41">
        <f t="shared" si="160"/>
        <v>918.60768716006567</v>
      </c>
      <c r="CA36" s="41">
        <f t="shared" si="161"/>
        <v>322.45043029117039</v>
      </c>
      <c r="CB36" s="41">
        <f t="shared" si="162"/>
        <v>319.25385593465217</v>
      </c>
      <c r="CC36" s="76">
        <f t="shared" si="163"/>
        <v>1.7648644158852727</v>
      </c>
      <c r="CD36" s="70">
        <f t="shared" si="164"/>
        <v>4.2766931572404356</v>
      </c>
      <c r="CF36" s="43">
        <f t="shared" si="165"/>
        <v>5278.4803223141435</v>
      </c>
      <c r="CG36" s="43">
        <f t="shared" si="166"/>
        <v>1113.5049009194911</v>
      </c>
      <c r="CH36" s="43">
        <f t="shared" si="130"/>
        <v>644.6952085692418</v>
      </c>
      <c r="CI36" s="43">
        <f t="shared" si="131"/>
        <v>599.3538312254135</v>
      </c>
      <c r="CJ36" s="43">
        <f t="shared" si="132"/>
        <v>17.462649569985654</v>
      </c>
      <c r="CK36" s="43">
        <f t="shared" si="133"/>
        <v>111.74672700840355</v>
      </c>
      <c r="CL36" s="43">
        <f t="shared" si="134"/>
        <v>23.035233791331368</v>
      </c>
      <c r="CM36" s="43">
        <f t="shared" si="135"/>
        <v>134.40738616981258</v>
      </c>
      <c r="CN36" s="43">
        <f t="shared" si="136"/>
        <v>44.348524581086124</v>
      </c>
      <c r="CO36" s="43">
        <f t="shared" si="167"/>
        <v>468.80969235024929</v>
      </c>
      <c r="CP36" s="43">
        <f t="shared" si="168"/>
        <v>514.15106969407759</v>
      </c>
      <c r="CQ36" s="43">
        <f t="shared" si="169"/>
        <v>996.50205204138138</v>
      </c>
      <c r="CR36" s="43">
        <f t="shared" si="170"/>
        <v>943.14712578876163</v>
      </c>
      <c r="CS36" s="43">
        <f t="shared" si="171"/>
        <v>351.80684347213958</v>
      </c>
      <c r="CT36" s="43">
        <f t="shared" si="172"/>
        <v>343.79329456334813</v>
      </c>
      <c r="CU36" s="76">
        <f t="shared" si="173"/>
        <v>2.7201805832179291</v>
      </c>
      <c r="CV36" s="70">
        <f t="shared" si="174"/>
        <v>5.9109050526181637</v>
      </c>
      <c r="CX36" s="45">
        <f t="shared" si="175"/>
        <v>5667.0686224806632</v>
      </c>
      <c r="CY36" s="45">
        <f t="shared" si="176"/>
        <v>1118.0521024799459</v>
      </c>
      <c r="CZ36" s="45">
        <f t="shared" si="177"/>
        <v>644.6952085692418</v>
      </c>
      <c r="DA36" s="45">
        <f t="shared" si="178"/>
        <v>599.3538312254135</v>
      </c>
      <c r="DB36" s="45">
        <f t="shared" si="137"/>
        <v>19.142394310999428</v>
      </c>
      <c r="DC36" s="45">
        <f t="shared" si="179"/>
        <v>121.31899560721634</v>
      </c>
      <c r="DD36" s="45">
        <f t="shared" si="180"/>
        <v>25.186889688377097</v>
      </c>
      <c r="DE36" s="45">
        <f t="shared" si="181"/>
        <v>145.67364738343736</v>
      </c>
      <c r="DF36" s="45">
        <f t="shared" si="182"/>
        <v>42.975833006691566</v>
      </c>
      <c r="DG36" s="45">
        <f t="shared" si="183"/>
        <v>473.35689391070412</v>
      </c>
      <c r="DH36" s="45">
        <f t="shared" si="184"/>
        <v>518.69827125453241</v>
      </c>
      <c r="DI36" s="45">
        <f t="shared" si="185"/>
        <v>1008.0119038921219</v>
      </c>
      <c r="DJ36" s="45">
        <f t="shared" si="186"/>
        <v>954.90166224699351</v>
      </c>
      <c r="DK36" s="45">
        <f t="shared" si="187"/>
        <v>363.31669532288015</v>
      </c>
      <c r="DL36" s="45">
        <f t="shared" si="188"/>
        <v>355.54783102158001</v>
      </c>
      <c r="DM36" s="76">
        <f t="shared" si="189"/>
        <v>2.6224704259409073</v>
      </c>
      <c r="DN36" s="70">
        <f t="shared" si="190"/>
        <v>5.9079795680767599</v>
      </c>
      <c r="DP36" s="47">
        <f t="shared" si="191"/>
        <v>5921.2846320977551</v>
      </c>
      <c r="DQ36" s="47">
        <f t="shared" si="192"/>
        <v>1264.997437916709</v>
      </c>
      <c r="DR36" s="47">
        <f t="shared" si="193"/>
        <v>644.6952085692418</v>
      </c>
      <c r="DS36" s="47">
        <f t="shared" si="194"/>
        <v>599.3538312254135</v>
      </c>
      <c r="DT36" s="47">
        <f t="shared" si="195"/>
        <v>35.159478448023876</v>
      </c>
      <c r="DU36" s="47">
        <f t="shared" si="196"/>
        <v>170.04361801992982</v>
      </c>
      <c r="DV36" s="47">
        <f t="shared" si="197"/>
        <v>43.446789864039516</v>
      </c>
      <c r="DW36" s="47">
        <f t="shared" si="198"/>
        <v>195.81104405103417</v>
      </c>
      <c r="DX36" s="47">
        <f t="shared" si="199"/>
        <v>47.568907098804615</v>
      </c>
      <c r="DY36" s="47">
        <f t="shared" si="200"/>
        <v>620.30222934746723</v>
      </c>
      <c r="DZ36" s="47">
        <f t="shared" si="201"/>
        <v>665.64360669129553</v>
      </c>
      <c r="EA36" s="47">
        <f t="shared" si="202"/>
        <v>1083.0715138454191</v>
      </c>
      <c r="EB36" s="47">
        <f t="shared" si="203"/>
        <v>1018.792665172031</v>
      </c>
      <c r="EC36" s="47">
        <f t="shared" si="204"/>
        <v>438.37630527617728</v>
      </c>
      <c r="ED36" s="47">
        <f t="shared" si="205"/>
        <v>419.43883394661748</v>
      </c>
      <c r="EE36" s="76">
        <f t="shared" si="206"/>
        <v>7.2989314838949282</v>
      </c>
      <c r="EF36" s="70">
        <f t="shared" si="207"/>
        <v>13.434566783452505</v>
      </c>
    </row>
    <row r="37" spans="1:136" x14ac:dyDescent="0.35">
      <c r="A37" s="30" t="str">
        <f>'Data_world regions'!C7</f>
        <v>South Korea</v>
      </c>
      <c r="B37" s="30" t="str">
        <f>'Data_world regions'!D7</f>
        <v>KOR</v>
      </c>
      <c r="C37" s="30">
        <f>'Data_world regions'!E7</f>
        <v>0</v>
      </c>
      <c r="D37" s="30">
        <f>'Data_world regions'!F7</f>
        <v>0</v>
      </c>
      <c r="E37" s="31">
        <f>'Data_world regions'!G7</f>
        <v>5.4078714664034654E-2</v>
      </c>
      <c r="F37" s="30">
        <f>'Data_world regions'!H7</f>
        <v>163.10978222217801</v>
      </c>
      <c r="G37" s="30">
        <f>'Data_world regions'!I7</f>
        <v>597.63424206206025</v>
      </c>
      <c r="H37" s="31">
        <f>'Data_world regions'!J7</f>
        <v>1637.8958027928966</v>
      </c>
      <c r="I37" s="30">
        <f>'Data_world regions'!K7</f>
        <v>1.3574837009651797</v>
      </c>
      <c r="J37" s="30">
        <f>'Data_world regions'!L7</f>
        <v>1.414085880774504</v>
      </c>
      <c r="K37" s="30">
        <f>'Data_world regions'!M7</f>
        <v>1.3874143085954995</v>
      </c>
      <c r="L37" s="30">
        <f>'Data_world regions'!N7</f>
        <v>1.2685211094221291</v>
      </c>
      <c r="M37" s="30">
        <f>'Data_world regions'!O7</f>
        <v>1.4018620593009103</v>
      </c>
      <c r="N37" s="30">
        <f>'Data_world regions'!P7</f>
        <v>1.4576633159732433</v>
      </c>
      <c r="O37" s="31">
        <f>'Data_world regions'!Q7</f>
        <v>1.6054218992238367</v>
      </c>
      <c r="P37" s="31">
        <f>'Data_world regions'!R7</f>
        <v>0.90947003354549727</v>
      </c>
      <c r="Q37" s="31">
        <f>'Data_world regions'!S7</f>
        <v>1.0160301239037073</v>
      </c>
      <c r="R37" s="31">
        <f>'Data_world regions'!T7</f>
        <v>1.0683930558484569</v>
      </c>
      <c r="S37" s="31">
        <f>'Data_world regions'!U7</f>
        <v>1.0727560349127803</v>
      </c>
      <c r="T37" s="31">
        <f>'Data_world regions'!V7</f>
        <v>1.2137481184144505</v>
      </c>
      <c r="U37" s="30">
        <f>'Data_world regions'!W7</f>
        <v>0.64945342742783274</v>
      </c>
      <c r="V37" s="30">
        <f>'Data_world regions'!X7</f>
        <v>0.64945342742783274</v>
      </c>
      <c r="W37" s="31">
        <f>'Data_world regions'!Y7</f>
        <v>388.13560685544007</v>
      </c>
      <c r="X37" s="31">
        <f>'Data_world regions'!Z7</f>
        <v>388.13560685544007</v>
      </c>
      <c r="Z37" s="79">
        <f t="shared" si="138"/>
        <v>2223.4168561706351</v>
      </c>
      <c r="AA37" s="27">
        <f t="shared" si="139"/>
        <v>959.45509993247094</v>
      </c>
      <c r="AB37" s="32">
        <f t="shared" si="140"/>
        <v>388.13560685544007</v>
      </c>
      <c r="AC37" s="70">
        <f t="shared" si="141"/>
        <v>388.13560685544007</v>
      </c>
      <c r="AD37" s="32">
        <f t="shared" si="142"/>
        <v>24.357632282790419</v>
      </c>
      <c r="AE37" s="32">
        <f t="shared" si="106"/>
        <v>127.90198432546542</v>
      </c>
      <c r="AF37" s="33">
        <f t="shared" si="107"/>
        <v>24.357632282790419</v>
      </c>
      <c r="AG37" s="70">
        <f t="shared" si="108"/>
        <v>127.90198432546542</v>
      </c>
      <c r="AH37" s="79">
        <f t="shared" si="109"/>
        <v>50.517331435545927</v>
      </c>
      <c r="AI37" s="32">
        <f t="shared" si="110"/>
        <v>571.31949307703087</v>
      </c>
      <c r="AJ37" s="33">
        <f t="shared" si="111"/>
        <v>571.31949307703087</v>
      </c>
      <c r="AK37" s="32">
        <f t="shared" si="112"/>
        <v>814.45631491952815</v>
      </c>
      <c r="AL37" s="33">
        <f t="shared" si="113"/>
        <v>749.12417670476941</v>
      </c>
      <c r="AM37" s="32">
        <f t="shared" si="114"/>
        <v>426.32070806408808</v>
      </c>
      <c r="AN37" s="33">
        <f t="shared" si="115"/>
        <v>360.98856984932934</v>
      </c>
      <c r="AS37" s="76">
        <f t="shared" si="143"/>
        <v>3.9104319873013376</v>
      </c>
      <c r="AT37" s="70">
        <f t="shared" si="144"/>
        <v>7.4731267172975269</v>
      </c>
      <c r="AV37" s="35">
        <f t="shared" si="116"/>
        <v>2316.1253289092565</v>
      </c>
      <c r="AW37" s="35">
        <f t="shared" si="117"/>
        <v>543.5304341761198</v>
      </c>
      <c r="AX37" s="37">
        <f t="shared" si="145"/>
        <v>388.13560685544007</v>
      </c>
      <c r="AY37" s="39">
        <f t="shared" si="146"/>
        <v>388.13560685544007</v>
      </c>
      <c r="AZ37" s="37">
        <f t="shared" si="118"/>
        <v>1.5909273862300806</v>
      </c>
      <c r="BA37" s="37">
        <f t="shared" si="119"/>
        <v>30.713906254040971</v>
      </c>
      <c r="BB37" s="39">
        <f t="shared" si="120"/>
        <v>1.5909273862300806</v>
      </c>
      <c r="BC37" s="39">
        <f t="shared" si="121"/>
        <v>30.713906254040971</v>
      </c>
      <c r="BD37" s="35">
        <f t="shared" si="122"/>
        <v>28.039420328068296</v>
      </c>
      <c r="BE37" s="37">
        <f t="shared" si="147"/>
        <v>155.39482732067972</v>
      </c>
      <c r="BF37" s="39">
        <f t="shared" si="148"/>
        <v>155.39482732067972</v>
      </c>
      <c r="BG37" s="37">
        <f t="shared" si="149"/>
        <v>501.94296469526944</v>
      </c>
      <c r="BH37" s="39">
        <f t="shared" si="150"/>
        <v>474.52190674896315</v>
      </c>
      <c r="BI37" s="37">
        <f t="shared" si="151"/>
        <v>113.80735783982936</v>
      </c>
      <c r="BJ37" s="39">
        <f t="shared" si="152"/>
        <v>86.386299893523073</v>
      </c>
      <c r="BK37" s="76">
        <f t="shared" si="153"/>
        <v>0.28085054339507115</v>
      </c>
      <c r="BL37" s="70">
        <f t="shared" si="154"/>
        <v>0.66258511552448796</v>
      </c>
      <c r="BN37" s="41">
        <f t="shared" si="155"/>
        <v>2272.4400727833772</v>
      </c>
      <c r="BO37" s="41">
        <f t="shared" si="156"/>
        <v>607.21439301141322</v>
      </c>
      <c r="BP37" s="41">
        <f t="shared" si="123"/>
        <v>388.13560685544007</v>
      </c>
      <c r="BQ37" s="41">
        <f t="shared" si="124"/>
        <v>388.13560685544007</v>
      </c>
      <c r="BR37" s="41">
        <f t="shared" si="125"/>
        <v>3.5045774596783641</v>
      </c>
      <c r="BS37" s="41">
        <f t="shared" si="126"/>
        <v>47.990645573277185</v>
      </c>
      <c r="BT37" s="41">
        <f t="shared" si="127"/>
        <v>3.5045774596783641</v>
      </c>
      <c r="BU37" s="41">
        <f t="shared" si="128"/>
        <v>47.990645573277185</v>
      </c>
      <c r="BV37" s="41">
        <f t="shared" si="129"/>
        <v>31.624380731541024</v>
      </c>
      <c r="BW37" s="41">
        <f t="shared" si="157"/>
        <v>219.07878615597315</v>
      </c>
      <c r="BX37" s="41">
        <f t="shared" si="158"/>
        <v>219.07878615597315</v>
      </c>
      <c r="BY37" s="41">
        <f t="shared" si="159"/>
        <v>536.50740575240832</v>
      </c>
      <c r="BZ37" s="41">
        <f t="shared" si="160"/>
        <v>499.11612189270591</v>
      </c>
      <c r="CA37" s="41">
        <f t="shared" si="161"/>
        <v>148.37179889696824</v>
      </c>
      <c r="CB37" s="41">
        <f t="shared" si="162"/>
        <v>110.98051503726583</v>
      </c>
      <c r="CC37" s="76">
        <f t="shared" si="163"/>
        <v>0.85952702354302835</v>
      </c>
      <c r="CD37" s="70">
        <f t="shared" si="164"/>
        <v>1.7177105383615621</v>
      </c>
      <c r="CF37" s="43">
        <f t="shared" si="165"/>
        <v>2077.7054008766941</v>
      </c>
      <c r="CG37" s="43">
        <f t="shared" si="166"/>
        <v>638.50827415636093</v>
      </c>
      <c r="CH37" s="43">
        <f t="shared" si="130"/>
        <v>388.13560685544007</v>
      </c>
      <c r="CI37" s="43">
        <f t="shared" si="131"/>
        <v>388.13560685544007</v>
      </c>
      <c r="CJ37" s="43">
        <f t="shared" si="132"/>
        <v>4.3255169548868917</v>
      </c>
      <c r="CK37" s="43">
        <f t="shared" si="133"/>
        <v>51.828943648486458</v>
      </c>
      <c r="CL37" s="43">
        <f t="shared" si="134"/>
        <v>4.3255169548868917</v>
      </c>
      <c r="CM37" s="43">
        <f t="shared" si="135"/>
        <v>51.828943648486458</v>
      </c>
      <c r="CN37" s="43">
        <f t="shared" si="136"/>
        <v>34.777690432174424</v>
      </c>
      <c r="CO37" s="43">
        <f t="shared" si="167"/>
        <v>250.37266730092085</v>
      </c>
      <c r="CP37" s="43">
        <f t="shared" si="168"/>
        <v>250.37266730092085</v>
      </c>
      <c r="CQ37" s="43">
        <f t="shared" si="169"/>
        <v>546.75575484705382</v>
      </c>
      <c r="CR37" s="43">
        <f t="shared" si="170"/>
        <v>504.91533003534607</v>
      </c>
      <c r="CS37" s="43">
        <f t="shared" si="171"/>
        <v>158.62014799161375</v>
      </c>
      <c r="CT37" s="43">
        <f t="shared" si="172"/>
        <v>116.779723179906</v>
      </c>
      <c r="CU37" s="76">
        <f t="shared" si="173"/>
        <v>1.3169387345699248</v>
      </c>
      <c r="CV37" s="70">
        <f t="shared" si="174"/>
        <v>2.3802838787363179</v>
      </c>
      <c r="CX37" s="45">
        <f t="shared" si="175"/>
        <v>2296.1039830235677</v>
      </c>
      <c r="CY37" s="45">
        <f t="shared" si="176"/>
        <v>641.11573984260053</v>
      </c>
      <c r="CZ37" s="45">
        <f t="shared" si="177"/>
        <v>388.13560685544007</v>
      </c>
      <c r="DA37" s="45">
        <f t="shared" si="178"/>
        <v>388.13560685544007</v>
      </c>
      <c r="DB37" s="45">
        <f t="shared" si="137"/>
        <v>4.8910745664048285</v>
      </c>
      <c r="DC37" s="45">
        <f t="shared" si="179"/>
        <v>58.001486227217669</v>
      </c>
      <c r="DD37" s="45">
        <f t="shared" si="180"/>
        <v>4.8910745664048285</v>
      </c>
      <c r="DE37" s="45">
        <f t="shared" si="181"/>
        <v>58.001486227217669</v>
      </c>
      <c r="DF37" s="45">
        <f t="shared" si="182"/>
        <v>33.217493257040182</v>
      </c>
      <c r="DG37" s="45">
        <f t="shared" si="183"/>
        <v>252.98013298716046</v>
      </c>
      <c r="DH37" s="45">
        <f t="shared" si="184"/>
        <v>252.98013298716046</v>
      </c>
      <c r="DI37" s="45">
        <f t="shared" si="185"/>
        <v>556.06190146731501</v>
      </c>
      <c r="DJ37" s="45">
        <f t="shared" si="186"/>
        <v>515.01117666921436</v>
      </c>
      <c r="DK37" s="45">
        <f t="shared" si="187"/>
        <v>167.92629461187494</v>
      </c>
      <c r="DL37" s="45">
        <f t="shared" si="188"/>
        <v>126.87556981377429</v>
      </c>
      <c r="DM37" s="76">
        <f t="shared" si="189"/>
        <v>1.2868407517108771</v>
      </c>
      <c r="DN37" s="70">
        <f t="shared" si="190"/>
        <v>2.4343574350586303</v>
      </c>
      <c r="DP37" s="47">
        <f t="shared" si="191"/>
        <v>2387.5006271177508</v>
      </c>
      <c r="DQ37" s="47">
        <f t="shared" si="192"/>
        <v>725.3774368028719</v>
      </c>
      <c r="DR37" s="47">
        <f t="shared" si="193"/>
        <v>388.13560685544007</v>
      </c>
      <c r="DS37" s="47">
        <f t="shared" si="194"/>
        <v>388.13560685544007</v>
      </c>
      <c r="DT37" s="47">
        <f t="shared" si="195"/>
        <v>9.4116567924750392</v>
      </c>
      <c r="DU37" s="47">
        <f t="shared" si="196"/>
        <v>83.72321542030032</v>
      </c>
      <c r="DV37" s="47">
        <f t="shared" si="197"/>
        <v>9.4116567924750392</v>
      </c>
      <c r="DW37" s="47">
        <f t="shared" si="198"/>
        <v>83.72321542030032</v>
      </c>
      <c r="DX37" s="47">
        <f t="shared" si="199"/>
        <v>36.856873122154106</v>
      </c>
      <c r="DY37" s="47">
        <f t="shared" si="200"/>
        <v>337.24182994743182</v>
      </c>
      <c r="DZ37" s="47">
        <f t="shared" si="201"/>
        <v>337.24182994743182</v>
      </c>
      <c r="EA37" s="47">
        <f t="shared" si="202"/>
        <v>584.41938016308256</v>
      </c>
      <c r="EB37" s="47">
        <f t="shared" si="203"/>
        <v>534.61547432449879</v>
      </c>
      <c r="EC37" s="47">
        <f t="shared" si="204"/>
        <v>196.28377330764249</v>
      </c>
      <c r="ED37" s="47">
        <f t="shared" si="205"/>
        <v>146.47986746905872</v>
      </c>
      <c r="EE37" s="76">
        <f t="shared" si="206"/>
        <v>3.5582054136318737</v>
      </c>
      <c r="EF37" s="70">
        <f t="shared" si="207"/>
        <v>5.62736144281455</v>
      </c>
    </row>
    <row r="38" spans="1:136" x14ac:dyDescent="0.35">
      <c r="A38" s="30" t="str">
        <f>'Data_world regions'!C8</f>
        <v>Russia</v>
      </c>
      <c r="B38" s="30" t="str">
        <f>'Data_world regions'!D8</f>
        <v>RUS</v>
      </c>
      <c r="C38" s="30">
        <f>'Data_world regions'!E8</f>
        <v>0</v>
      </c>
      <c r="D38" s="30">
        <f>'Data_world regions'!F8</f>
        <v>0</v>
      </c>
      <c r="E38" s="31">
        <f>'Data_world regions'!G8</f>
        <v>8.1395048509893472E-2</v>
      </c>
      <c r="F38" s="30">
        <f>'Data_world regions'!H8</f>
        <v>443.29187530584198</v>
      </c>
      <c r="G38" s="30">
        <f>'Data_world regions'!I8</f>
        <v>1624.2214311206051</v>
      </c>
      <c r="H38" s="31">
        <f>'Data_world regions'!J8</f>
        <v>1488.3218754897377</v>
      </c>
      <c r="I38" s="30">
        <f>'Data_world regions'!K8</f>
        <v>1.1171967272754229</v>
      </c>
      <c r="J38" s="30">
        <f>'Data_world regions'!L8</f>
        <v>1.4548504041547623</v>
      </c>
      <c r="K38" s="30">
        <f>'Data_world regions'!M8</f>
        <v>1.4065686993567248</v>
      </c>
      <c r="L38" s="30">
        <f>'Data_world regions'!N8</f>
        <v>1.3021366919447381</v>
      </c>
      <c r="M38" s="30">
        <f>'Data_world regions'!O8</f>
        <v>1.4080920055580388</v>
      </c>
      <c r="N38" s="30">
        <f>'Data_world regions'!P8</f>
        <v>1.5342057301372536</v>
      </c>
      <c r="O38" s="31">
        <f>'Data_world regions'!Q8</f>
        <v>1.201997037475719</v>
      </c>
      <c r="P38" s="31">
        <f>'Data_world regions'!R8</f>
        <v>1.0901307546951258</v>
      </c>
      <c r="Q38" s="31">
        <f>'Data_world regions'!S8</f>
        <v>1.0599826962241754</v>
      </c>
      <c r="R38" s="31">
        <f>'Data_world regions'!T8</f>
        <v>1.1372607799723293</v>
      </c>
      <c r="S38" s="31">
        <f>'Data_world regions'!U8</f>
        <v>1.0615175586333341</v>
      </c>
      <c r="T38" s="31">
        <f>'Data_world regions'!V8</f>
        <v>1.1250789639924195</v>
      </c>
      <c r="U38" s="30">
        <f>'Data_world regions'!W8</f>
        <v>1.0776972523070116</v>
      </c>
      <c r="V38" s="30">
        <f>'Data_world regions'!X8</f>
        <v>1.0776972523070116</v>
      </c>
      <c r="W38" s="31">
        <f>'Data_world regions'!Y8</f>
        <v>1750.4189734568383</v>
      </c>
      <c r="X38" s="31">
        <f>'Data_world regions'!Z8</f>
        <v>1750.4189734568383</v>
      </c>
      <c r="Z38" s="79">
        <f t="shared" si="138"/>
        <v>1662.7483284295545</v>
      </c>
      <c r="AA38" s="27">
        <f t="shared" si="139"/>
        <v>1952.3093484115398</v>
      </c>
      <c r="AB38" s="32">
        <f t="shared" si="140"/>
        <v>1750.4189734568383</v>
      </c>
      <c r="AC38" s="70">
        <f t="shared" si="141"/>
        <v>1750.4189734568383</v>
      </c>
      <c r="AD38" s="32">
        <f t="shared" si="142"/>
        <v>0.29219587619832293</v>
      </c>
      <c r="AE38" s="32">
        <f t="shared" si="106"/>
        <v>4.3418990568106617</v>
      </c>
      <c r="AF38" s="33">
        <f t="shared" si="107"/>
        <v>0.29219587619832293</v>
      </c>
      <c r="AG38" s="70">
        <f t="shared" si="108"/>
        <v>4.3418990568106617</v>
      </c>
      <c r="AH38" s="79">
        <f t="shared" si="109"/>
        <v>96.889285525727715</v>
      </c>
      <c r="AI38" s="32">
        <f t="shared" si="110"/>
        <v>201.89037495470143</v>
      </c>
      <c r="AJ38" s="33">
        <f t="shared" si="111"/>
        <v>201.89037495470143</v>
      </c>
      <c r="AK38" s="32">
        <f t="shared" si="112"/>
        <v>1674.2101637796823</v>
      </c>
      <c r="AL38" s="33">
        <f t="shared" si="113"/>
        <v>1548.9069457826595</v>
      </c>
      <c r="AM38" s="32">
        <f t="shared" si="114"/>
        <v>-76.208809677156069</v>
      </c>
      <c r="AN38" s="33">
        <f t="shared" si="115"/>
        <v>-201.51202767417885</v>
      </c>
      <c r="AS38" s="76">
        <f t="shared" si="143"/>
        <v>0.13586036298404058</v>
      </c>
      <c r="AT38" s="70">
        <f t="shared" si="144"/>
        <v>-1.1622217537768158</v>
      </c>
      <c r="AV38" s="35">
        <f t="shared" si="116"/>
        <v>2165.2856820686188</v>
      </c>
      <c r="AW38" s="35">
        <f t="shared" si="117"/>
        <v>1770.6137344995025</v>
      </c>
      <c r="AX38" s="37">
        <f t="shared" si="145"/>
        <v>1750.4189734568383</v>
      </c>
      <c r="AY38" s="39">
        <f t="shared" si="146"/>
        <v>1750.4189734568383</v>
      </c>
      <c r="AZ38" s="37">
        <f t="shared" si="118"/>
        <v>4.6300074429433057E-4</v>
      </c>
      <c r="BA38" s="37">
        <f t="shared" si="119"/>
        <v>6.8780325251115298E-2</v>
      </c>
      <c r="BB38" s="39">
        <f t="shared" si="120"/>
        <v>4.6300074429433057E-4</v>
      </c>
      <c r="BC38" s="39">
        <f t="shared" si="121"/>
        <v>6.8780325251115298E-2</v>
      </c>
      <c r="BD38" s="35">
        <f t="shared" si="122"/>
        <v>77.002815722451814</v>
      </c>
      <c r="BE38" s="37">
        <f t="shared" si="147"/>
        <v>20.19476104266414</v>
      </c>
      <c r="BF38" s="39">
        <f t="shared" si="148"/>
        <v>20.19476104266414</v>
      </c>
      <c r="BG38" s="37">
        <f t="shared" si="149"/>
        <v>1656.404802526991</v>
      </c>
      <c r="BH38" s="39">
        <f t="shared" si="150"/>
        <v>1581.1001547400886</v>
      </c>
      <c r="BI38" s="37">
        <f t="shared" si="151"/>
        <v>-94.014170929847296</v>
      </c>
      <c r="BJ38" s="39">
        <f t="shared" si="152"/>
        <v>-169.31881871674977</v>
      </c>
      <c r="BK38" s="76">
        <f t="shared" si="153"/>
        <v>-0.12306782750935777</v>
      </c>
      <c r="BL38" s="70">
        <f t="shared" si="154"/>
        <v>-0.64295080075728994</v>
      </c>
      <c r="BN38" s="41">
        <f t="shared" si="155"/>
        <v>2093.4269646317616</v>
      </c>
      <c r="BO38" s="41">
        <f t="shared" si="156"/>
        <v>1721.6466118243077</v>
      </c>
      <c r="BP38" s="41">
        <f t="shared" si="123"/>
        <v>1721.6466118243077</v>
      </c>
      <c r="BQ38" s="41">
        <f t="shared" si="124"/>
        <v>1721.6466118243077</v>
      </c>
      <c r="BR38" s="41">
        <f t="shared" si="125"/>
        <v>0</v>
      </c>
      <c r="BS38" s="41">
        <f t="shared" si="126"/>
        <v>0</v>
      </c>
      <c r="BT38" s="41">
        <f t="shared" si="127"/>
        <v>0</v>
      </c>
      <c r="BU38" s="41">
        <f t="shared" si="128"/>
        <v>0</v>
      </c>
      <c r="BV38" s="41">
        <f t="shared" si="129"/>
        <v>76.147471104112284</v>
      </c>
      <c r="BW38" s="41">
        <f t="shared" si="157"/>
        <v>0</v>
      </c>
      <c r="BX38" s="41">
        <f t="shared" si="158"/>
        <v>0</v>
      </c>
      <c r="BY38" s="41">
        <f t="shared" si="159"/>
        <v>1551.3932141413629</v>
      </c>
      <c r="BZ38" s="41">
        <f t="shared" si="160"/>
        <v>1461.3597766039568</v>
      </c>
      <c r="CA38" s="41">
        <f t="shared" si="161"/>
        <v>-170.25339768294475</v>
      </c>
      <c r="CB38" s="41">
        <f t="shared" si="162"/>
        <v>-260.28683522035089</v>
      </c>
      <c r="CC38" s="76">
        <f t="shared" si="163"/>
        <v>-0.56739451684097353</v>
      </c>
      <c r="CD38" s="70">
        <f t="shared" si="164"/>
        <v>-2.0274697358440106</v>
      </c>
      <c r="CF38" s="43">
        <f t="shared" si="165"/>
        <v>1937.9985234991955</v>
      </c>
      <c r="CG38" s="43">
        <f t="shared" si="166"/>
        <v>1847.1633316039922</v>
      </c>
      <c r="CH38" s="43">
        <f t="shared" si="130"/>
        <v>1750.4189734568383</v>
      </c>
      <c r="CI38" s="43">
        <f t="shared" si="131"/>
        <v>1750.4189734568383</v>
      </c>
      <c r="CJ38" s="43">
        <f t="shared" si="132"/>
        <v>4.1861787962104061E-2</v>
      </c>
      <c r="CK38" s="43">
        <f t="shared" si="133"/>
        <v>1.2981156347669331</v>
      </c>
      <c r="CL38" s="43">
        <f t="shared" si="134"/>
        <v>4.1861787962104061E-2</v>
      </c>
      <c r="CM38" s="43">
        <f t="shared" si="135"/>
        <v>1.2981156347669331</v>
      </c>
      <c r="CN38" s="43">
        <f t="shared" si="136"/>
        <v>84.91197790622806</v>
      </c>
      <c r="CO38" s="43">
        <f t="shared" si="167"/>
        <v>96.744358147153889</v>
      </c>
      <c r="CP38" s="43">
        <f t="shared" si="168"/>
        <v>96.744358147153889</v>
      </c>
      <c r="CQ38" s="43">
        <f t="shared" si="169"/>
        <v>1623.1436282937073</v>
      </c>
      <c r="CR38" s="43">
        <f t="shared" si="170"/>
        <v>1520.9875281315151</v>
      </c>
      <c r="CS38" s="43">
        <f t="shared" si="171"/>
        <v>-127.27534516313108</v>
      </c>
      <c r="CT38" s="43">
        <f t="shared" si="172"/>
        <v>-229.43144532532324</v>
      </c>
      <c r="CU38" s="76">
        <f t="shared" si="173"/>
        <v>-0.36613200340711816</v>
      </c>
      <c r="CV38" s="70">
        <f t="shared" si="174"/>
        <v>-1.7811277259313991</v>
      </c>
      <c r="CX38" s="45">
        <f t="shared" si="175"/>
        <v>2095.6941345742466</v>
      </c>
      <c r="CY38" s="45">
        <f t="shared" si="176"/>
        <v>1724.1395682430848</v>
      </c>
      <c r="CZ38" s="45">
        <f t="shared" si="177"/>
        <v>1724.1395682430848</v>
      </c>
      <c r="DA38" s="45">
        <f t="shared" si="178"/>
        <v>1724.1395682430848</v>
      </c>
      <c r="DB38" s="45">
        <f t="shared" si="137"/>
        <v>0</v>
      </c>
      <c r="DC38" s="45">
        <f t="shared" si="179"/>
        <v>0</v>
      </c>
      <c r="DD38" s="45">
        <f t="shared" si="180"/>
        <v>0</v>
      </c>
      <c r="DE38" s="45">
        <f t="shared" si="181"/>
        <v>0</v>
      </c>
      <c r="DF38" s="45">
        <f t="shared" si="182"/>
        <v>76.216473334878017</v>
      </c>
      <c r="DG38" s="45">
        <f t="shared" si="183"/>
        <v>0</v>
      </c>
      <c r="DH38" s="45">
        <f t="shared" si="184"/>
        <v>0</v>
      </c>
      <c r="DI38" s="45">
        <f t="shared" si="185"/>
        <v>1528.9862628928968</v>
      </c>
      <c r="DJ38" s="45">
        <f t="shared" si="186"/>
        <v>1434.7966909182342</v>
      </c>
      <c r="DK38" s="45">
        <f t="shared" si="187"/>
        <v>-195.15330535018802</v>
      </c>
      <c r="DL38" s="45">
        <f t="shared" si="188"/>
        <v>-289.34287732485063</v>
      </c>
      <c r="DM38" s="76">
        <f t="shared" si="189"/>
        <v>-0.85297985890718619</v>
      </c>
      <c r="DN38" s="70">
        <f t="shared" si="190"/>
        <v>-2.7800296637013262</v>
      </c>
      <c r="DP38" s="47">
        <f t="shared" si="191"/>
        <v>2283.3919496649796</v>
      </c>
      <c r="DQ38" s="47">
        <f t="shared" si="192"/>
        <v>1827.3773650194553</v>
      </c>
      <c r="DR38" s="47">
        <f t="shared" si="193"/>
        <v>1750.4189734568383</v>
      </c>
      <c r="DS38" s="47">
        <f t="shared" si="194"/>
        <v>1750.4189734568383</v>
      </c>
      <c r="DT38" s="47">
        <f t="shared" si="195"/>
        <v>2.5368215396222221E-2</v>
      </c>
      <c r="DU38" s="47">
        <f t="shared" si="196"/>
        <v>0.98890640310153011</v>
      </c>
      <c r="DV38" s="47">
        <f t="shared" si="197"/>
        <v>2.5368215396222221E-2</v>
      </c>
      <c r="DW38" s="47">
        <f t="shared" si="198"/>
        <v>0.98890640310153011</v>
      </c>
      <c r="DX38" s="47">
        <f t="shared" si="199"/>
        <v>77.388849070611045</v>
      </c>
      <c r="DY38" s="47">
        <f t="shared" si="200"/>
        <v>76.958391562616953</v>
      </c>
      <c r="DZ38" s="47">
        <f t="shared" si="201"/>
        <v>76.958391562616953</v>
      </c>
      <c r="EA38" s="47">
        <f t="shared" si="202"/>
        <v>1531.4059261394077</v>
      </c>
      <c r="EB38" s="47">
        <f t="shared" si="203"/>
        <v>1426.8320264682407</v>
      </c>
      <c r="EC38" s="47">
        <f t="shared" si="204"/>
        <v>-219.01304731743062</v>
      </c>
      <c r="ED38" s="47">
        <f t="shared" si="205"/>
        <v>-323.58694698859767</v>
      </c>
      <c r="EE38" s="76">
        <f t="shared" si="206"/>
        <v>-1.7603953813395252</v>
      </c>
      <c r="EF38" s="70">
        <f t="shared" si="207"/>
        <v>-5.0917181282558026</v>
      </c>
    </row>
    <row r="39" spans="1:136" x14ac:dyDescent="0.35">
      <c r="A39" s="30" t="str">
        <f>'Data_world regions'!C9</f>
        <v>China</v>
      </c>
      <c r="B39" s="30" t="str">
        <f>'Data_world regions'!D9</f>
        <v>CHN</v>
      </c>
      <c r="C39" s="30">
        <f>'Data_world regions'!E9</f>
        <v>0</v>
      </c>
      <c r="D39" s="30">
        <f>'Data_world regions'!F9</f>
        <v>0</v>
      </c>
      <c r="E39" s="31">
        <f>'Data_world regions'!G9</f>
        <v>2.9863984230625112E-3</v>
      </c>
      <c r="F39" s="30">
        <f>'Data_world regions'!H9</f>
        <v>2990.2329064362998</v>
      </c>
      <c r="G39" s="30">
        <f>'Data_world regions'!I9</f>
        <v>10956.213369182602</v>
      </c>
      <c r="H39" s="31">
        <f>'Data_world regions'!J9</f>
        <v>14687.673892881985</v>
      </c>
      <c r="I39" s="30">
        <f>'Data_world regions'!K9</f>
        <v>1.5578423880644019</v>
      </c>
      <c r="J39" s="30">
        <f>'Data_world regions'!L9</f>
        <v>2.0489306940081149</v>
      </c>
      <c r="K39" s="30">
        <f>'Data_world regions'!M9</f>
        <v>1.9187833095795357</v>
      </c>
      <c r="L39" s="30">
        <f>'Data_world regions'!N9</f>
        <v>1.5661000541957077</v>
      </c>
      <c r="M39" s="30">
        <f>'Data_world regions'!O9</f>
        <v>1.9187253721058406</v>
      </c>
      <c r="N39" s="30">
        <f>'Data_world regions'!P9</f>
        <v>2.162413361753833</v>
      </c>
      <c r="O39" s="31">
        <f>'Data_world regions'!Q9</f>
        <v>1.1970479120810882</v>
      </c>
      <c r="P39" s="31">
        <f>'Data_world regions'!R9</f>
        <v>1.154133732123878</v>
      </c>
      <c r="Q39" s="31">
        <f>'Data_world regions'!S9</f>
        <v>1.2154822023485663</v>
      </c>
      <c r="R39" s="31">
        <f>'Data_world regions'!T9</f>
        <v>1.2953811605285075</v>
      </c>
      <c r="S39" s="31">
        <f>'Data_world regions'!U9</f>
        <v>1.2357210310006459</v>
      </c>
      <c r="T39" s="31">
        <f>'Data_world regions'!V9</f>
        <v>1.3448954049704989</v>
      </c>
      <c r="U39" s="30">
        <f>'Data_world regions'!W9</f>
        <v>1.1235057722432191</v>
      </c>
      <c r="V39" s="30">
        <f>'Data_world regions'!X9</f>
        <v>1.0457572052349058</v>
      </c>
      <c r="W39" s="31">
        <f>'Data_world regions'!Y9</f>
        <v>12309.368962204981</v>
      </c>
      <c r="X39" s="31">
        <f>'Data_world regions'!Z9</f>
        <v>11457.539072913709</v>
      </c>
      <c r="Z39" s="79">
        <f t="shared" si="138"/>
        <v>22881.080972398442</v>
      </c>
      <c r="AA39" s="27">
        <f t="shared" si="139"/>
        <v>13115.112337894938</v>
      </c>
      <c r="AB39" s="32">
        <f t="shared" si="140"/>
        <v>12309.368962204981</v>
      </c>
      <c r="AC39" s="70">
        <f t="shared" si="141"/>
        <v>11457.539072913709</v>
      </c>
      <c r="AD39" s="32">
        <f t="shared" si="142"/>
        <v>0.20781193532827574</v>
      </c>
      <c r="AE39" s="32">
        <f t="shared" si="106"/>
        <v>0.77373990875318055</v>
      </c>
      <c r="AF39" s="33">
        <f t="shared" si="107"/>
        <v>1.8092494777399446</v>
      </c>
      <c r="AG39" s="70">
        <f t="shared" si="108"/>
        <v>3.2745149477789743</v>
      </c>
      <c r="AH39" s="79">
        <f t="shared" si="109"/>
        <v>916.00795386807397</v>
      </c>
      <c r="AI39" s="32">
        <f t="shared" si="110"/>
        <v>805.74337568995725</v>
      </c>
      <c r="AJ39" s="33">
        <f t="shared" si="111"/>
        <v>1657.5732649812289</v>
      </c>
      <c r="AK39" s="32">
        <f t="shared" si="112"/>
        <v>10485.914860539568</v>
      </c>
      <c r="AL39" s="33">
        <f t="shared" si="113"/>
        <v>9301.2767067154291</v>
      </c>
      <c r="AM39" s="32">
        <f t="shared" si="114"/>
        <v>-1823.454101665413</v>
      </c>
      <c r="AN39" s="33">
        <f t="shared" si="115"/>
        <v>-2156.2623661982798</v>
      </c>
      <c r="AS39" s="76">
        <f t="shared" si="143"/>
        <v>-7.8023081612567307</v>
      </c>
      <c r="AT39" s="70">
        <f t="shared" si="144"/>
        <v>-15.341251373775908</v>
      </c>
      <c r="AV39" s="35">
        <f t="shared" si="116"/>
        <v>30094.025862707556</v>
      </c>
      <c r="AW39" s="35">
        <f t="shared" si="117"/>
        <v>12644.935425720245</v>
      </c>
      <c r="AX39" s="37">
        <f t="shared" si="145"/>
        <v>12309.368962204981</v>
      </c>
      <c r="AY39" s="39">
        <f t="shared" si="146"/>
        <v>11457.539072913709</v>
      </c>
      <c r="AZ39" s="37">
        <f t="shared" si="118"/>
        <v>2.1238823637608227E-2</v>
      </c>
      <c r="BA39" s="37">
        <f t="shared" si="119"/>
        <v>0.18987735021359287</v>
      </c>
      <c r="BB39" s="39">
        <f t="shared" si="120"/>
        <v>0.94098334699861519</v>
      </c>
      <c r="BC39" s="39">
        <f t="shared" si="121"/>
        <v>2.3774285935134518</v>
      </c>
      <c r="BD39" s="35">
        <f t="shared" si="122"/>
        <v>770.09086154784268</v>
      </c>
      <c r="BE39" s="37">
        <f t="shared" si="147"/>
        <v>335.56646351526433</v>
      </c>
      <c r="BF39" s="39">
        <f t="shared" si="148"/>
        <v>1187.396352806536</v>
      </c>
      <c r="BG39" s="37">
        <f t="shared" si="149"/>
        <v>11502.753104281755</v>
      </c>
      <c r="BH39" s="39">
        <f t="shared" si="150"/>
        <v>10749.645304928075</v>
      </c>
      <c r="BI39" s="37">
        <f t="shared" si="151"/>
        <v>-806.61585792322512</v>
      </c>
      <c r="BJ39" s="39">
        <f t="shared" si="152"/>
        <v>-707.89376798563353</v>
      </c>
      <c r="BK39" s="76">
        <f t="shared" si="153"/>
        <v>-0.93687738844119983</v>
      </c>
      <c r="BL39" s="70">
        <f t="shared" si="154"/>
        <v>-0.46113229401132161</v>
      </c>
      <c r="BN39" s="41">
        <f t="shared" si="155"/>
        <v>28182.463522209036</v>
      </c>
      <c r="BO39" s="41">
        <f t="shared" si="156"/>
        <v>13317.082355374874</v>
      </c>
      <c r="BP39" s="41">
        <f t="shared" si="123"/>
        <v>12309.368962204981</v>
      </c>
      <c r="BQ39" s="41">
        <f t="shared" si="124"/>
        <v>11457.539072913709</v>
      </c>
      <c r="BR39" s="41">
        <f t="shared" si="125"/>
        <v>0.48564578311251488</v>
      </c>
      <c r="BS39" s="41">
        <f t="shared" si="126"/>
        <v>1.4457854378163602</v>
      </c>
      <c r="BT39" s="41">
        <f t="shared" si="127"/>
        <v>3.0515985810301309</v>
      </c>
      <c r="BU39" s="41">
        <f t="shared" si="128"/>
        <v>4.9231420582874117</v>
      </c>
      <c r="BV39" s="41">
        <f t="shared" si="129"/>
        <v>838.07928760906543</v>
      </c>
      <c r="BW39" s="41">
        <f t="shared" si="157"/>
        <v>1007.7133931698936</v>
      </c>
      <c r="BX39" s="41">
        <f t="shared" si="158"/>
        <v>1859.5432824611653</v>
      </c>
      <c r="BY39" s="41">
        <f t="shared" si="159"/>
        <v>11443.27296716737</v>
      </c>
      <c r="BZ39" s="41">
        <f t="shared" si="160"/>
        <v>10452.364692758902</v>
      </c>
      <c r="CA39" s="41">
        <f t="shared" si="161"/>
        <v>-866.09599503761092</v>
      </c>
      <c r="CB39" s="41">
        <f t="shared" si="162"/>
        <v>-1005.1743801548073</v>
      </c>
      <c r="CC39" s="76">
        <f t="shared" si="163"/>
        <v>-1.2072158002339339</v>
      </c>
      <c r="CD39" s="70">
        <f t="shared" si="164"/>
        <v>-0.58733962107300819</v>
      </c>
      <c r="CF39" s="43">
        <f t="shared" si="165"/>
        <v>23002.366879651359</v>
      </c>
      <c r="CG39" s="43">
        <f t="shared" si="166"/>
        <v>14192.472389169709</v>
      </c>
      <c r="CH39" s="43">
        <f t="shared" si="130"/>
        <v>12309.368962204981</v>
      </c>
      <c r="CI39" s="43">
        <f t="shared" si="131"/>
        <v>11457.539072913709</v>
      </c>
      <c r="CJ39" s="43">
        <f t="shared" si="132"/>
        <v>2.277333730887749</v>
      </c>
      <c r="CK39" s="43">
        <f t="shared" si="133"/>
        <v>3.6280541444690466</v>
      </c>
      <c r="CL39" s="43">
        <f t="shared" si="134"/>
        <v>6.9766089829345326</v>
      </c>
      <c r="CM39" s="43">
        <f t="shared" si="135"/>
        <v>7.6527741369049487</v>
      </c>
      <c r="CN39" s="43">
        <f t="shared" si="136"/>
        <v>988.63798755820756</v>
      </c>
      <c r="CO39" s="43">
        <f t="shared" si="167"/>
        <v>1883.103426964728</v>
      </c>
      <c r="CP39" s="43">
        <f t="shared" si="168"/>
        <v>2734.9333162559997</v>
      </c>
      <c r="CQ39" s="43">
        <f t="shared" si="169"/>
        <v>11584.190329144554</v>
      </c>
      <c r="CR39" s="43">
        <f t="shared" si="170"/>
        <v>10394.777436270033</v>
      </c>
      <c r="CS39" s="43">
        <f t="shared" si="171"/>
        <v>-725.17863306042636</v>
      </c>
      <c r="CT39" s="43">
        <f t="shared" si="172"/>
        <v>-1062.761636643676</v>
      </c>
      <c r="CU39" s="76">
        <f t="shared" si="173"/>
        <v>1.0040295382866944</v>
      </c>
      <c r="CV39" s="70">
        <f t="shared" si="174"/>
        <v>2.9974636108469088</v>
      </c>
      <c r="CX39" s="45">
        <f t="shared" si="175"/>
        <v>28181.612555489228</v>
      </c>
      <c r="CY39" s="45">
        <f t="shared" si="176"/>
        <v>13538.823280429386</v>
      </c>
      <c r="CZ39" s="45">
        <f t="shared" si="177"/>
        <v>12309.368962204981</v>
      </c>
      <c r="DA39" s="45">
        <f t="shared" si="178"/>
        <v>11457.539072913709</v>
      </c>
      <c r="DB39" s="45">
        <f t="shared" si="137"/>
        <v>0.85327483684119398</v>
      </c>
      <c r="DC39" s="45">
        <f t="shared" si="179"/>
        <v>2.0820818411704103</v>
      </c>
      <c r="DD39" s="45">
        <f t="shared" si="180"/>
        <v>4.1394812050135705</v>
      </c>
      <c r="DE39" s="45">
        <f t="shared" si="181"/>
        <v>5.9667216856769292</v>
      </c>
      <c r="DF39" s="45">
        <f t="shared" si="182"/>
        <v>852.04689554803622</v>
      </c>
      <c r="DG39" s="45">
        <f t="shared" si="183"/>
        <v>1229.4543182244051</v>
      </c>
      <c r="DH39" s="45">
        <f t="shared" si="184"/>
        <v>2081.2842075156768</v>
      </c>
      <c r="DI39" s="45">
        <f t="shared" si="185"/>
        <v>11357.145741389108</v>
      </c>
      <c r="DJ39" s="45">
        <f t="shared" si="186"/>
        <v>10304.172166485007</v>
      </c>
      <c r="DK39" s="45">
        <f t="shared" si="187"/>
        <v>-952.22322081587299</v>
      </c>
      <c r="DL39" s="45">
        <f t="shared" si="188"/>
        <v>-1153.3669064287024</v>
      </c>
      <c r="DM39" s="76">
        <f t="shared" si="189"/>
        <v>-1.4751343441360323</v>
      </c>
      <c r="DN39" s="70">
        <f t="shared" si="190"/>
        <v>-1.0830689808480916</v>
      </c>
      <c r="DP39" s="47">
        <f t="shared" si="191"/>
        <v>31760.822279050943</v>
      </c>
      <c r="DQ39" s="47">
        <f t="shared" si="192"/>
        <v>14734.96101609003</v>
      </c>
      <c r="DR39" s="47">
        <f t="shared" si="193"/>
        <v>12309.368962204981</v>
      </c>
      <c r="DS39" s="47">
        <f t="shared" si="194"/>
        <v>11457.539072913709</v>
      </c>
      <c r="DT39" s="47">
        <f t="shared" si="195"/>
        <v>6.2344017705945269</v>
      </c>
      <c r="DU39" s="47">
        <f t="shared" si="196"/>
        <v>7.7107794288107163</v>
      </c>
      <c r="DV39" s="47">
        <f t="shared" si="197"/>
        <v>15.379371018978297</v>
      </c>
      <c r="DW39" s="47">
        <f t="shared" si="198"/>
        <v>14.077562748060455</v>
      </c>
      <c r="DX39" s="47">
        <f t="shared" si="199"/>
        <v>873.51148841949998</v>
      </c>
      <c r="DY39" s="47">
        <f t="shared" si="200"/>
        <v>2425.5920538850496</v>
      </c>
      <c r="DZ39" s="47">
        <f t="shared" si="201"/>
        <v>3277.4219431763213</v>
      </c>
      <c r="EA39" s="47">
        <f t="shared" si="202"/>
        <v>11394.241323129103</v>
      </c>
      <c r="EB39" s="47">
        <f t="shared" si="203"/>
        <v>10213.883896334366</v>
      </c>
      <c r="EC39" s="47">
        <f t="shared" si="204"/>
        <v>-915.1276390758776</v>
      </c>
      <c r="ED39" s="47">
        <f t="shared" si="205"/>
        <v>-1243.6551765793429</v>
      </c>
      <c r="EE39" s="76">
        <f t="shared" si="206"/>
        <v>2.9025806003279104</v>
      </c>
      <c r="EF39" s="70">
        <f t="shared" si="207"/>
        <v>7.0552720667927886</v>
      </c>
    </row>
    <row r="40" spans="1:136" x14ac:dyDescent="0.35">
      <c r="A40" s="30" t="str">
        <f>'Data_world regions'!C10</f>
        <v>Great Britain + Ireland</v>
      </c>
      <c r="B40" s="30" t="str">
        <f>'Data_world regions'!D10</f>
        <v>GBR</v>
      </c>
      <c r="C40" s="30">
        <f>'Data_world regions'!E10</f>
        <v>0</v>
      </c>
      <c r="D40" s="30">
        <f>'Data_world regions'!F10</f>
        <v>0</v>
      </c>
      <c r="E40" s="31">
        <f>'Data_world regions'!G10</f>
        <v>7.2649430000000001E-2</v>
      </c>
      <c r="F40" s="30">
        <f>'Data_world regions'!H10</f>
        <v>98.639847519774776</v>
      </c>
      <c r="G40" s="30">
        <f>'Data_world regions'!I10</f>
        <v>361.41640131245481</v>
      </c>
      <c r="H40" s="31">
        <f>'Data_world regions'!J10</f>
        <v>3182.7891650993224</v>
      </c>
      <c r="I40" s="30">
        <f>'Data_world regions'!K10</f>
        <v>1.1319269378849495</v>
      </c>
      <c r="J40" s="30">
        <f>'Data_world regions'!L10</f>
        <v>1.2453929597293749</v>
      </c>
      <c r="K40" s="30">
        <f>'Data_world regions'!M10</f>
        <v>1.2219723762769277</v>
      </c>
      <c r="L40" s="30">
        <f>'Data_world regions'!N10</f>
        <v>1.1590962396275728</v>
      </c>
      <c r="M40" s="30">
        <f>'Data_world regions'!O10</f>
        <v>1.2300474440626652</v>
      </c>
      <c r="N40" s="30">
        <f>'Data_world regions'!P10</f>
        <v>1.2982598673567953</v>
      </c>
      <c r="O40" s="31">
        <f>'Data_world regions'!Q10</f>
        <v>1.2256428748258887</v>
      </c>
      <c r="P40" s="31">
        <f>'Data_world regions'!R10</f>
        <v>0.90947003354549738</v>
      </c>
      <c r="Q40" s="31">
        <f>'Data_world regions'!S10</f>
        <v>1.0160301239037073</v>
      </c>
      <c r="R40" s="31">
        <f>'Data_world regions'!T10</f>
        <v>1.0683930558484569</v>
      </c>
      <c r="S40" s="31">
        <f>'Data_world regions'!U10</f>
        <v>1.0727560349127803</v>
      </c>
      <c r="T40" s="31">
        <f>'Data_world regions'!V10</f>
        <v>1.2137481184144505</v>
      </c>
      <c r="U40" s="30">
        <f>'Data_world regions'!W10</f>
        <v>0.66510577091127332</v>
      </c>
      <c r="V40" s="30">
        <f>'Data_world regions'!X10</f>
        <v>0.66510577091127332</v>
      </c>
      <c r="W40" s="31">
        <f>'Data_world regions'!Y10</f>
        <v>240.38013421489839</v>
      </c>
      <c r="X40" s="31">
        <f>'Data_world regions'!Z10</f>
        <v>240.38013421489839</v>
      </c>
      <c r="Z40" s="79">
        <f t="shared" si="138"/>
        <v>3602.6847935842711</v>
      </c>
      <c r="AA40" s="27">
        <f t="shared" si="139"/>
        <v>442.96743711382425</v>
      </c>
      <c r="AB40" s="32">
        <f t="shared" si="140"/>
        <v>240.38013421489839</v>
      </c>
      <c r="AC40" s="70">
        <f t="shared" si="141"/>
        <v>240.38013421489839</v>
      </c>
      <c r="AD40" s="32">
        <f t="shared" si="142"/>
        <v>11.0905106019224</v>
      </c>
      <c r="AE40" s="32">
        <f t="shared" si="106"/>
        <v>164.23305572297843</v>
      </c>
      <c r="AF40" s="33">
        <f t="shared" si="107"/>
        <v>11.0905106019224</v>
      </c>
      <c r="AG40" s="70">
        <f t="shared" si="108"/>
        <v>164.23305572297843</v>
      </c>
      <c r="AH40" s="79">
        <f t="shared" si="109"/>
        <v>15.808182311401557</v>
      </c>
      <c r="AI40" s="32">
        <f t="shared" si="110"/>
        <v>202.58730289892586</v>
      </c>
      <c r="AJ40" s="33">
        <f t="shared" si="111"/>
        <v>202.58730289892586</v>
      </c>
      <c r="AK40" s="32">
        <f t="shared" si="112"/>
        <v>397.59355921330905</v>
      </c>
      <c r="AL40" s="33">
        <f t="shared" si="113"/>
        <v>377.14943989140272</v>
      </c>
      <c r="AM40" s="32">
        <f t="shared" si="114"/>
        <v>157.21342499841066</v>
      </c>
      <c r="AN40" s="33">
        <f t="shared" si="115"/>
        <v>136.76930567650433</v>
      </c>
      <c r="AS40" s="76">
        <f t="shared" si="143"/>
        <v>1.4198063080955545</v>
      </c>
      <c r="AT40" s="70">
        <f t="shared" si="144"/>
        <v>2.7512244294313968</v>
      </c>
      <c r="AV40" s="35">
        <f t="shared" si="116"/>
        <v>3963.8232185176312</v>
      </c>
      <c r="AW40" s="35">
        <f t="shared" si="117"/>
        <v>328.69738662553124</v>
      </c>
      <c r="AX40" s="37">
        <f t="shared" si="145"/>
        <v>240.38013421489839</v>
      </c>
      <c r="AY40" s="39">
        <f t="shared" si="146"/>
        <v>240.38013421489839</v>
      </c>
      <c r="AZ40" s="37">
        <f t="shared" si="118"/>
        <v>1.8360759190491407</v>
      </c>
      <c r="BA40" s="37">
        <f t="shared" si="119"/>
        <v>62.368649463151385</v>
      </c>
      <c r="BB40" s="39">
        <f t="shared" si="120"/>
        <v>1.8360759190491407</v>
      </c>
      <c r="BC40" s="39">
        <f t="shared" si="121"/>
        <v>62.368649463151385</v>
      </c>
      <c r="BD40" s="35">
        <f t="shared" si="122"/>
        <v>11.183104406994291</v>
      </c>
      <c r="BE40" s="37">
        <f t="shared" si="147"/>
        <v>88.317252410632847</v>
      </c>
      <c r="BF40" s="39">
        <f t="shared" si="148"/>
        <v>88.317252410632847</v>
      </c>
      <c r="BG40" s="37">
        <f t="shared" si="149"/>
        <v>312.11084497147709</v>
      </c>
      <c r="BH40" s="39">
        <f t="shared" si="150"/>
        <v>301.17436517354002</v>
      </c>
      <c r="BI40" s="37">
        <f t="shared" si="151"/>
        <v>71.730710756578702</v>
      </c>
      <c r="BJ40" s="39">
        <f t="shared" si="152"/>
        <v>60.794230958641634</v>
      </c>
      <c r="BK40" s="76">
        <f t="shared" si="153"/>
        <v>0.16995703555832278</v>
      </c>
      <c r="BL40" s="70">
        <f t="shared" si="154"/>
        <v>0.42380928297175957</v>
      </c>
      <c r="BN40" s="41">
        <f t="shared" si="155"/>
        <v>3889.2804392648777</v>
      </c>
      <c r="BO40" s="41">
        <f t="shared" si="156"/>
        <v>367.20995100632547</v>
      </c>
      <c r="BP40" s="41">
        <f t="shared" si="123"/>
        <v>240.38013421489839</v>
      </c>
      <c r="BQ40" s="41">
        <f t="shared" si="124"/>
        <v>240.38013421489839</v>
      </c>
      <c r="BR40" s="41">
        <f t="shared" si="125"/>
        <v>4.2750055480090392</v>
      </c>
      <c r="BS40" s="41">
        <f t="shared" si="126"/>
        <v>101.11988622610714</v>
      </c>
      <c r="BT40" s="41">
        <f t="shared" si="127"/>
        <v>4.2750055480090392</v>
      </c>
      <c r="BU40" s="41">
        <f t="shared" si="128"/>
        <v>101.11988622610714</v>
      </c>
      <c r="BV40" s="41">
        <f t="shared" si="129"/>
        <v>12.612555170317339</v>
      </c>
      <c r="BW40" s="41">
        <f t="shared" si="157"/>
        <v>126.82981679142708</v>
      </c>
      <c r="BX40" s="41">
        <f t="shared" si="158"/>
        <v>126.82981679142708</v>
      </c>
      <c r="BY40" s="41">
        <f t="shared" si="159"/>
        <v>339.01032283647868</v>
      </c>
      <c r="BZ40" s="41">
        <f t="shared" si="160"/>
        <v>324.09778954221764</v>
      </c>
      <c r="CA40" s="41">
        <f t="shared" si="161"/>
        <v>98.630188621580288</v>
      </c>
      <c r="CB40" s="41">
        <f t="shared" si="162"/>
        <v>83.71765532731925</v>
      </c>
      <c r="CC40" s="76">
        <f t="shared" si="163"/>
        <v>0.54003914623658988</v>
      </c>
      <c r="CD40" s="70">
        <f t="shared" si="164"/>
        <v>1.1460695653433712</v>
      </c>
      <c r="CF40" s="43">
        <f t="shared" si="165"/>
        <v>3689.1589527940064</v>
      </c>
      <c r="CG40" s="43">
        <f t="shared" si="166"/>
        <v>386.13477343196587</v>
      </c>
      <c r="CH40" s="43">
        <f t="shared" si="130"/>
        <v>240.38013421489839</v>
      </c>
      <c r="CI40" s="43">
        <f t="shared" si="131"/>
        <v>240.38013421489839</v>
      </c>
      <c r="CJ40" s="43">
        <f t="shared" si="132"/>
        <v>5.5660731774502938</v>
      </c>
      <c r="CK40" s="43">
        <f t="shared" si="133"/>
        <v>114.56389739665704</v>
      </c>
      <c r="CL40" s="43">
        <f t="shared" si="134"/>
        <v>5.5660731774502938</v>
      </c>
      <c r="CM40" s="43">
        <f t="shared" si="135"/>
        <v>114.56389739665704</v>
      </c>
      <c r="CN40" s="43">
        <f t="shared" si="136"/>
        <v>13.617534899090293</v>
      </c>
      <c r="CO40" s="43">
        <f t="shared" si="167"/>
        <v>145.75463921706748</v>
      </c>
      <c r="CP40" s="43">
        <f t="shared" si="168"/>
        <v>145.75463921706748</v>
      </c>
      <c r="CQ40" s="43">
        <f t="shared" si="169"/>
        <v>350.20820331625657</v>
      </c>
      <c r="CR40" s="43">
        <f t="shared" si="170"/>
        <v>333.82518771096846</v>
      </c>
      <c r="CS40" s="43">
        <f t="shared" si="171"/>
        <v>109.82806910135818</v>
      </c>
      <c r="CT40" s="43">
        <f t="shared" si="172"/>
        <v>93.445053496070074</v>
      </c>
      <c r="CU40" s="76">
        <f t="shared" si="173"/>
        <v>0.84780235466983356</v>
      </c>
      <c r="CV40" s="70">
        <f t="shared" si="174"/>
        <v>1.636157023675443</v>
      </c>
      <c r="CX40" s="45">
        <f t="shared" si="175"/>
        <v>3914.9816775207655</v>
      </c>
      <c r="CY40" s="45">
        <f t="shared" si="176"/>
        <v>387.7116256243952</v>
      </c>
      <c r="CZ40" s="45">
        <f t="shared" si="177"/>
        <v>240.38013421489839</v>
      </c>
      <c r="DA40" s="45">
        <f t="shared" si="178"/>
        <v>240.38013421489839</v>
      </c>
      <c r="DB40" s="45">
        <f t="shared" si="137"/>
        <v>6.0510543437996711</v>
      </c>
      <c r="DC40" s="45">
        <f t="shared" si="179"/>
        <v>123.21305416602119</v>
      </c>
      <c r="DD40" s="45">
        <f t="shared" si="180"/>
        <v>6.0510543437996711</v>
      </c>
      <c r="DE40" s="45">
        <f t="shared" si="181"/>
        <v>123.21305416602119</v>
      </c>
      <c r="DF40" s="45">
        <f t="shared" si="182"/>
        <v>13.272942828386713</v>
      </c>
      <c r="DG40" s="45">
        <f t="shared" si="183"/>
        <v>147.33149140949681</v>
      </c>
      <c r="DH40" s="45">
        <f t="shared" si="184"/>
        <v>147.33149140949681</v>
      </c>
      <c r="DI40" s="45">
        <f t="shared" si="185"/>
        <v>353.72607694513886</v>
      </c>
      <c r="DJ40" s="45">
        <f t="shared" si="186"/>
        <v>337.32315577668049</v>
      </c>
      <c r="DK40" s="45">
        <f t="shared" si="187"/>
        <v>113.34594273024047</v>
      </c>
      <c r="DL40" s="45">
        <f t="shared" si="188"/>
        <v>96.943021561782103</v>
      </c>
      <c r="DM40" s="76">
        <f t="shared" si="189"/>
        <v>0.81739432150036995</v>
      </c>
      <c r="DN40" s="70">
        <f t="shared" si="190"/>
        <v>1.6392227735952463</v>
      </c>
      <c r="DP40" s="47">
        <f t="shared" si="191"/>
        <v>4132.0874393064914</v>
      </c>
      <c r="DQ40" s="47">
        <f t="shared" si="192"/>
        <v>438.66847705711399</v>
      </c>
      <c r="DR40" s="47">
        <f t="shared" si="193"/>
        <v>240.38013421489839</v>
      </c>
      <c r="DS40" s="47">
        <f t="shared" si="194"/>
        <v>240.38013421489839</v>
      </c>
      <c r="DT40" s="47">
        <f t="shared" si="195"/>
        <v>12.162431582554303</v>
      </c>
      <c r="DU40" s="47">
        <f t="shared" si="196"/>
        <v>184.01129498922194</v>
      </c>
      <c r="DV40" s="47">
        <f t="shared" si="197"/>
        <v>12.162431582554303</v>
      </c>
      <c r="DW40" s="47">
        <f t="shared" si="198"/>
        <v>184.01129498922194</v>
      </c>
      <c r="DX40" s="47">
        <f t="shared" si="199"/>
        <v>14.617561927122852</v>
      </c>
      <c r="DY40" s="47">
        <f t="shared" si="200"/>
        <v>198.2883428422156</v>
      </c>
      <c r="DZ40" s="47">
        <f t="shared" si="201"/>
        <v>198.2883428422156</v>
      </c>
      <c r="EA40" s="47">
        <f t="shared" si="202"/>
        <v>382.76402973110095</v>
      </c>
      <c r="EB40" s="47">
        <f t="shared" si="203"/>
        <v>363.01163035106515</v>
      </c>
      <c r="EC40" s="47">
        <f t="shared" si="204"/>
        <v>142.38389551620256</v>
      </c>
      <c r="ED40" s="47">
        <f t="shared" si="205"/>
        <v>122.63149613616676</v>
      </c>
      <c r="EE40" s="76">
        <f t="shared" si="206"/>
        <v>2.3551532850072263</v>
      </c>
      <c r="EF40" s="70">
        <f t="shared" si="207"/>
        <v>3.9606751557112223</v>
      </c>
    </row>
    <row r="41" spans="1:136" x14ac:dyDescent="0.35">
      <c r="A41" s="30" t="str">
        <f>'Data_world regions'!C11</f>
        <v>India</v>
      </c>
      <c r="B41" s="30" t="str">
        <f>'Data_world regions'!D11</f>
        <v>IND</v>
      </c>
      <c r="C41" s="30">
        <f>'Data_world regions'!E11</f>
        <v>0</v>
      </c>
      <c r="D41" s="30">
        <f>'Data_world regions'!F11</f>
        <v>0</v>
      </c>
      <c r="E41" s="31">
        <f>'Data_world regions'!G11</f>
        <v>1.2662713963945825E-2</v>
      </c>
      <c r="F41" s="30">
        <f>'Data_world regions'!H11</f>
        <v>667.30675284223901</v>
      </c>
      <c r="G41" s="30">
        <f>'Data_world regions'!I11</f>
        <v>2445.0119424139639</v>
      </c>
      <c r="H41" s="31">
        <f>'Data_world regions'!J11</f>
        <v>2667.6879517965649</v>
      </c>
      <c r="I41" s="30">
        <f>'Data_world regions'!K11</f>
        <v>1.6630240731533636</v>
      </c>
      <c r="J41" s="30">
        <f>'Data_world regions'!L11</f>
        <v>1.9071796568781731</v>
      </c>
      <c r="K41" s="30">
        <f>'Data_world regions'!M11</f>
        <v>1.8280399678759807</v>
      </c>
      <c r="L41" s="30">
        <f>'Data_world regions'!N11</f>
        <v>1.6196120949624275</v>
      </c>
      <c r="M41" s="30">
        <f>'Data_world regions'!O11</f>
        <v>1.7903278371845397</v>
      </c>
      <c r="N41" s="30">
        <f>'Data_world regions'!P11</f>
        <v>1.9852971043624874</v>
      </c>
      <c r="O41" s="31">
        <f>'Data_world regions'!Q11</f>
        <v>1.5927315472174508</v>
      </c>
      <c r="P41" s="31">
        <f>'Data_world regions'!R11</f>
        <v>1.154133732123878</v>
      </c>
      <c r="Q41" s="31">
        <f>'Data_world regions'!S11</f>
        <v>1.2154822023485663</v>
      </c>
      <c r="R41" s="31">
        <f>'Data_world regions'!T11</f>
        <v>1.2953811605285075</v>
      </c>
      <c r="S41" s="31">
        <f>'Data_world regions'!U11</f>
        <v>1.2357210310006459</v>
      </c>
      <c r="T41" s="31">
        <f>'Data_world regions'!V11</f>
        <v>1.3448954049704989</v>
      </c>
      <c r="U41" s="30">
        <f>'Data_world regions'!W11</f>
        <v>1.8381476784731228</v>
      </c>
      <c r="V41" s="30">
        <f>'Data_world regions'!X11</f>
        <v>1.3610571318822398</v>
      </c>
      <c r="W41" s="31">
        <f>'Data_world regions'!Y11</f>
        <v>4494.2930257872886</v>
      </c>
      <c r="X41" s="31">
        <f>'Data_world regions'!Z11</f>
        <v>3327.8009417597737</v>
      </c>
      <c r="Z41" s="79">
        <f t="shared" si="138"/>
        <v>4436.4292834988773</v>
      </c>
      <c r="AA41" s="27">
        <f t="shared" si="139"/>
        <v>3894.2476540061375</v>
      </c>
      <c r="AB41" s="32">
        <f>MIN(AA41,W41)</f>
        <v>3894.2476540061375</v>
      </c>
      <c r="AC41" s="70">
        <f t="shared" si="141"/>
        <v>3327.8009417597737</v>
      </c>
      <c r="AD41" s="32">
        <f>E41*((AA41-AB41)/AA41)^3*Z41*AA41/10^3</f>
        <v>0</v>
      </c>
      <c r="AE41" s="32">
        <f t="shared" si="106"/>
        <v>0</v>
      </c>
      <c r="AF41" s="33">
        <f t="shared" si="107"/>
        <v>0.67327177364974089</v>
      </c>
      <c r="AG41" s="70">
        <f t="shared" si="108"/>
        <v>3.5657640467877711</v>
      </c>
      <c r="AH41" s="79">
        <f t="shared" si="109"/>
        <v>299.97340966452214</v>
      </c>
      <c r="AI41" s="32">
        <f t="shared" si="110"/>
        <v>0</v>
      </c>
      <c r="AJ41" s="33">
        <f t="shared" si="111"/>
        <v>566.44671224636386</v>
      </c>
      <c r="AK41" s="32">
        <f t="shared" si="112"/>
        <v>3033.2405758107884</v>
      </c>
      <c r="AL41" s="33">
        <f t="shared" si="113"/>
        <v>2645.2964048887834</v>
      </c>
      <c r="AM41" s="32">
        <f t="shared" si="114"/>
        <v>-861.0070781953491</v>
      </c>
      <c r="AN41" s="33">
        <f t="shared" si="115"/>
        <v>-682.50453687099025</v>
      </c>
      <c r="AS41" s="76">
        <f t="shared" si="143"/>
        <v>-4.72893546178486</v>
      </c>
      <c r="AT41" s="70">
        <f t="shared" si="144"/>
        <v>-4.6143765999862039</v>
      </c>
      <c r="AV41" s="35">
        <f t="shared" si="116"/>
        <v>5087.7601925654089</v>
      </c>
      <c r="AW41" s="35">
        <f t="shared" si="117"/>
        <v>2821.8707581856806</v>
      </c>
      <c r="AX41" s="37">
        <f t="shared" si="145"/>
        <v>2821.8707581856806</v>
      </c>
      <c r="AY41" s="39">
        <f t="shared" si="146"/>
        <v>2821.8707581856806</v>
      </c>
      <c r="AZ41" s="37">
        <f t="shared" si="118"/>
        <v>0</v>
      </c>
      <c r="BA41" s="37">
        <f t="shared" si="119"/>
        <v>0</v>
      </c>
      <c r="BB41" s="39">
        <f t="shared" si="120"/>
        <v>0</v>
      </c>
      <c r="BC41" s="39">
        <f t="shared" si="121"/>
        <v>0</v>
      </c>
      <c r="BD41" s="35">
        <f t="shared" si="122"/>
        <v>202.97837761528984</v>
      </c>
      <c r="BE41" s="37">
        <f t="shared" si="147"/>
        <v>0</v>
      </c>
      <c r="BF41" s="39">
        <f t="shared" si="148"/>
        <v>0</v>
      </c>
      <c r="BG41" s="37">
        <f t="shared" si="149"/>
        <v>2520.8175628777044</v>
      </c>
      <c r="BH41" s="39">
        <f t="shared" si="150"/>
        <v>2322.3155329029801</v>
      </c>
      <c r="BI41" s="37">
        <f t="shared" si="151"/>
        <v>-301.05319530797624</v>
      </c>
      <c r="BJ41" s="39">
        <f t="shared" si="152"/>
        <v>-499.55522528270058</v>
      </c>
      <c r="BK41" s="76">
        <f t="shared" si="153"/>
        <v>-0.44150833856895744</v>
      </c>
      <c r="BL41" s="70">
        <f t="shared" si="154"/>
        <v>-2.0172499115589839</v>
      </c>
      <c r="BN41" s="41">
        <f t="shared" si="155"/>
        <v>4876.6401977053329</v>
      </c>
      <c r="BO41" s="41">
        <f t="shared" si="156"/>
        <v>2971.8685005338707</v>
      </c>
      <c r="BP41" s="41">
        <f t="shared" si="123"/>
        <v>2971.8685005338707</v>
      </c>
      <c r="BQ41" s="41">
        <f t="shared" si="124"/>
        <v>2971.8685005338707</v>
      </c>
      <c r="BR41" s="41">
        <f t="shared" si="125"/>
        <v>0</v>
      </c>
      <c r="BS41" s="41">
        <f t="shared" si="126"/>
        <v>0</v>
      </c>
      <c r="BT41" s="41">
        <f t="shared" si="127"/>
        <v>0</v>
      </c>
      <c r="BU41" s="41">
        <f t="shared" si="128"/>
        <v>0</v>
      </c>
      <c r="BV41" s="41">
        <f t="shared" si="129"/>
        <v>218.34598276736543</v>
      </c>
      <c r="BW41" s="41">
        <f t="shared" si="157"/>
        <v>0</v>
      </c>
      <c r="BX41" s="41">
        <f t="shared" si="158"/>
        <v>0</v>
      </c>
      <c r="BY41" s="41">
        <f t="shared" si="159"/>
        <v>2483.6822889952173</v>
      </c>
      <c r="BZ41" s="41">
        <f t="shared" si="160"/>
        <v>2225.519554028599</v>
      </c>
      <c r="CA41" s="41">
        <f t="shared" si="161"/>
        <v>-488.18621153865342</v>
      </c>
      <c r="CB41" s="41">
        <f t="shared" si="162"/>
        <v>-746.34894650527167</v>
      </c>
      <c r="CC41" s="76">
        <f t="shared" si="163"/>
        <v>-1.6269524332209411</v>
      </c>
      <c r="CD41" s="70">
        <f t="shared" si="164"/>
        <v>-5.8135860007574696</v>
      </c>
      <c r="CF41" s="43">
        <f t="shared" si="165"/>
        <v>4320.6196723152616</v>
      </c>
      <c r="CG41" s="43">
        <f t="shared" si="166"/>
        <v>3167.2224074702608</v>
      </c>
      <c r="CH41" s="43">
        <f t="shared" si="130"/>
        <v>3167.2224074702608</v>
      </c>
      <c r="CI41" s="43">
        <f t="shared" si="131"/>
        <v>3167.2224074702608</v>
      </c>
      <c r="CJ41" s="43">
        <f t="shared" si="132"/>
        <v>0</v>
      </c>
      <c r="CK41" s="43">
        <f t="shared" si="133"/>
        <v>0</v>
      </c>
      <c r="CL41" s="43">
        <f t="shared" si="134"/>
        <v>0</v>
      </c>
      <c r="CM41" s="43">
        <f t="shared" si="135"/>
        <v>0</v>
      </c>
      <c r="CN41" s="43">
        <f t="shared" si="136"/>
        <v>247.21881262177388</v>
      </c>
      <c r="CO41" s="43">
        <f t="shared" si="167"/>
        <v>0</v>
      </c>
      <c r="CP41" s="43">
        <f t="shared" si="168"/>
        <v>0</v>
      </c>
      <c r="CQ41" s="43">
        <f t="shared" si="169"/>
        <v>2514.9954022600969</v>
      </c>
      <c r="CR41" s="43">
        <f t="shared" si="170"/>
        <v>2217.5708173321827</v>
      </c>
      <c r="CS41" s="43">
        <f t="shared" si="171"/>
        <v>-652.22700521016395</v>
      </c>
      <c r="CT41" s="43">
        <f t="shared" si="172"/>
        <v>-949.65159013807806</v>
      </c>
      <c r="CU41" s="76">
        <f t="shared" si="173"/>
        <v>-3.0265094790085563</v>
      </c>
      <c r="CV41" s="70">
        <f t="shared" si="174"/>
        <v>-9.3419730024640977</v>
      </c>
      <c r="CX41" s="45">
        <f t="shared" si="175"/>
        <v>4776.0360010231989</v>
      </c>
      <c r="CY41" s="45">
        <f t="shared" si="176"/>
        <v>3021.3526782886752</v>
      </c>
      <c r="CZ41" s="45">
        <f t="shared" si="177"/>
        <v>3021.3526782886752</v>
      </c>
      <c r="DA41" s="45">
        <f t="shared" si="178"/>
        <v>3021.3526782886752</v>
      </c>
      <c r="DB41" s="45">
        <f t="shared" si="137"/>
        <v>0</v>
      </c>
      <c r="DC41" s="45">
        <f t="shared" si="179"/>
        <v>0</v>
      </c>
      <c r="DD41" s="45">
        <f t="shared" si="180"/>
        <v>0</v>
      </c>
      <c r="DE41" s="45">
        <f t="shared" si="181"/>
        <v>0</v>
      </c>
      <c r="DF41" s="45">
        <f t="shared" si="182"/>
        <v>224.30739989655299</v>
      </c>
      <c r="DG41" s="45">
        <f t="shared" si="183"/>
        <v>0</v>
      </c>
      <c r="DH41" s="45">
        <f t="shared" si="184"/>
        <v>0</v>
      </c>
      <c r="DI41" s="45">
        <f t="shared" si="185"/>
        <v>2447.0105631401011</v>
      </c>
      <c r="DJ41" s="45">
        <f t="shared" si="186"/>
        <v>2169.8077871184832</v>
      </c>
      <c r="DK41" s="45">
        <f t="shared" si="187"/>
        <v>-574.34211514857407</v>
      </c>
      <c r="DL41" s="45">
        <f t="shared" si="188"/>
        <v>-851.54489117019193</v>
      </c>
      <c r="DM41" s="76">
        <f t="shared" si="189"/>
        <v>-2.5103456765172005</v>
      </c>
      <c r="DN41" s="70">
        <f t="shared" si="190"/>
        <v>-8.1817118821577814</v>
      </c>
      <c r="DP41" s="47">
        <f t="shared" si="191"/>
        <v>5296.1531660444152</v>
      </c>
      <c r="DQ41" s="47">
        <f t="shared" si="192"/>
        <v>3288.2853264505338</v>
      </c>
      <c r="DR41" s="47">
        <f t="shared" si="193"/>
        <v>3288.2853264505338</v>
      </c>
      <c r="DS41" s="47">
        <f t="shared" si="194"/>
        <v>3288.2853264505338</v>
      </c>
      <c r="DT41" s="47">
        <f t="shared" si="195"/>
        <v>0</v>
      </c>
      <c r="DU41" s="47">
        <f t="shared" si="196"/>
        <v>0</v>
      </c>
      <c r="DV41" s="47">
        <f t="shared" si="197"/>
        <v>0</v>
      </c>
      <c r="DW41" s="47">
        <f t="shared" si="198"/>
        <v>0</v>
      </c>
      <c r="DX41" s="47">
        <f t="shared" si="199"/>
        <v>231.8276327168181</v>
      </c>
      <c r="DY41" s="47">
        <f t="shared" si="200"/>
        <v>0</v>
      </c>
      <c r="DZ41" s="47">
        <f t="shared" si="201"/>
        <v>0</v>
      </c>
      <c r="EA41" s="47">
        <f t="shared" si="202"/>
        <v>2401.6671785989383</v>
      </c>
      <c r="EB41" s="47">
        <f t="shared" si="203"/>
        <v>2088.4034475074877</v>
      </c>
      <c r="EC41" s="47">
        <f t="shared" si="204"/>
        <v>-886.6181478515955</v>
      </c>
      <c r="ED41" s="47">
        <f t="shared" si="205"/>
        <v>-1199.8818789430461</v>
      </c>
      <c r="EE41" s="76">
        <f t="shared" si="206"/>
        <v>-8.6454616638888968</v>
      </c>
      <c r="EF41" s="70">
        <f t="shared" si="207"/>
        <v>-21.428601253068081</v>
      </c>
    </row>
    <row r="42" spans="1:136" x14ac:dyDescent="0.35">
      <c r="A42" s="30" t="str">
        <f>'Data_world regions'!C12</f>
        <v>Brazil</v>
      </c>
      <c r="B42" s="30" t="str">
        <f>'Data_world regions'!D12</f>
        <v>BRA</v>
      </c>
      <c r="C42" s="30">
        <f>'Data_world regions'!E12</f>
        <v>0</v>
      </c>
      <c r="D42" s="30">
        <f>'Data_world regions'!F12</f>
        <v>0</v>
      </c>
      <c r="E42" s="31">
        <f>'Data_world regions'!G12</f>
        <v>0.1505082450206115</v>
      </c>
      <c r="F42" s="30">
        <f>'Data_world regions'!H12</f>
        <v>120.716703817211</v>
      </c>
      <c r="G42" s="30">
        <f>'Data_world regions'!I12</f>
        <v>442.3060027862611</v>
      </c>
      <c r="H42" s="31">
        <f>'Data_world regions'!J12</f>
        <v>1448.5659367395608</v>
      </c>
      <c r="I42" s="30">
        <f>'Data_world regions'!K12</f>
        <v>1.1803659741701291</v>
      </c>
      <c r="J42" s="30">
        <f>'Data_world regions'!L12</f>
        <v>1.4251424909653108</v>
      </c>
      <c r="K42" s="30">
        <f>'Data_world regions'!M12</f>
        <v>1.3853642884230055</v>
      </c>
      <c r="L42" s="30">
        <f>'Data_world regions'!N12</f>
        <v>1.2886432636576071</v>
      </c>
      <c r="M42" s="30">
        <f>'Data_world regions'!O12</f>
        <v>1.3701462151588106</v>
      </c>
      <c r="N42" s="30">
        <f>'Data_world regions'!P12</f>
        <v>1.4678092081060481</v>
      </c>
      <c r="O42" s="31">
        <f>'Data_world regions'!Q12</f>
        <v>0.91680152185618657</v>
      </c>
      <c r="P42" s="31">
        <f>'Data_world regions'!R12</f>
        <v>1.1523297796771568</v>
      </c>
      <c r="Q42" s="31">
        <f>'Data_world regions'!S12</f>
        <v>1.261678755528314</v>
      </c>
      <c r="R42" s="31">
        <f>'Data_world regions'!T12</f>
        <v>1.2456836932865165</v>
      </c>
      <c r="S42" s="31">
        <f>'Data_world regions'!U12</f>
        <v>1.2512749062312558</v>
      </c>
      <c r="T42" s="31">
        <f>'Data_world regions'!V12</f>
        <v>1.4406165004533094</v>
      </c>
      <c r="U42" s="30">
        <f>'Data_world regions'!W12</f>
        <v>0.88378441678078301</v>
      </c>
      <c r="V42" s="30">
        <f>'Data_world regions'!X12</f>
        <v>0.56610512105704502</v>
      </c>
      <c r="W42" s="31">
        <f>'Data_world regions'!Y12</f>
        <v>390.90315271109517</v>
      </c>
      <c r="X42" s="31">
        <f>'Data_world regions'!Z12</f>
        <v>250.39169325157403</v>
      </c>
      <c r="Z42" s="79">
        <f t="shared" si="138"/>
        <v>1709.8379430692573</v>
      </c>
      <c r="AA42" s="27">
        <f t="shared" si="139"/>
        <v>405.50681648057088</v>
      </c>
      <c r="AB42" s="32">
        <f t="shared" ref="AB42:AB49" si="208">MIN(AA42,W42)</f>
        <v>390.90315271109517</v>
      </c>
      <c r="AC42" s="70">
        <f t="shared" si="141"/>
        <v>250.39169325157403</v>
      </c>
      <c r="AD42" s="32">
        <f t="shared" ref="AD42:AD49" si="209">E42*((AA42-AB42)/AA42)^3*Z42*AA42/10^3</f>
        <v>4.8742118367045995E-3</v>
      </c>
      <c r="AE42" s="32">
        <f t="shared" si="106"/>
        <v>1.0012991082880005</v>
      </c>
      <c r="AF42" s="33">
        <f t="shared" si="107"/>
        <v>5.8409212463022424</v>
      </c>
      <c r="AG42" s="70">
        <f t="shared" si="108"/>
        <v>112.96618520579599</v>
      </c>
      <c r="AH42" s="79">
        <f t="shared" si="109"/>
        <v>14.594187131541867</v>
      </c>
      <c r="AI42" s="32">
        <f t="shared" si="110"/>
        <v>14.603663769475702</v>
      </c>
      <c r="AJ42" s="33">
        <f t="shared" si="111"/>
        <v>155.11512322899685</v>
      </c>
      <c r="AK42" s="32">
        <f t="shared" si="112"/>
        <v>363.61744223630706</v>
      </c>
      <c r="AL42" s="33">
        <f t="shared" si="113"/>
        <v>344.74333658354789</v>
      </c>
      <c r="AM42" s="32">
        <f t="shared" si="114"/>
        <v>-27.285710474788118</v>
      </c>
      <c r="AN42" s="33">
        <f t="shared" si="115"/>
        <v>94.351643331973861</v>
      </c>
      <c r="AS42" s="76">
        <f t="shared" si="143"/>
        <v>-0.10975806648020456</v>
      </c>
      <c r="AT42" s="70">
        <f t="shared" si="144"/>
        <v>1.9867047355990102</v>
      </c>
      <c r="AV42" s="35">
        <f t="shared" si="116"/>
        <v>2064.4128674125163</v>
      </c>
      <c r="AW42" s="35">
        <f t="shared" si="117"/>
        <v>509.68237874057615</v>
      </c>
      <c r="AX42" s="37">
        <f t="shared" si="145"/>
        <v>390.90315271109517</v>
      </c>
      <c r="AY42" s="39">
        <f t="shared" si="146"/>
        <v>250.39169325157403</v>
      </c>
      <c r="AZ42" s="37">
        <f t="shared" si="118"/>
        <v>2.0043754941990817</v>
      </c>
      <c r="BA42" s="37">
        <f t="shared" si="119"/>
        <v>50.624395221305683</v>
      </c>
      <c r="BB42" s="39">
        <f t="shared" si="120"/>
        <v>20.850590491125612</v>
      </c>
      <c r="BC42" s="39">
        <f t="shared" si="121"/>
        <v>241.24187629574521</v>
      </c>
      <c r="BD42" s="35">
        <f t="shared" si="122"/>
        <v>16.694006069653121</v>
      </c>
      <c r="BE42" s="37">
        <f t="shared" si="147"/>
        <v>118.77922602948098</v>
      </c>
      <c r="BF42" s="39">
        <f t="shared" si="148"/>
        <v>259.29068548900216</v>
      </c>
      <c r="BG42" s="37">
        <f t="shared" si="149"/>
        <v>484.92218541946625</v>
      </c>
      <c r="BH42" s="39">
        <f t="shared" si="150"/>
        <v>468.59633765100477</v>
      </c>
      <c r="BI42" s="37">
        <f t="shared" si="151"/>
        <v>94.019032708371071</v>
      </c>
      <c r="BJ42" s="39">
        <f t="shared" si="152"/>
        <v>218.20464439943075</v>
      </c>
      <c r="BK42" s="76">
        <f t="shared" si="153"/>
        <v>0.22498082515296369</v>
      </c>
      <c r="BL42" s="70">
        <f t="shared" si="154"/>
        <v>1.4046502174104876</v>
      </c>
      <c r="BN42" s="41">
        <f t="shared" si="155"/>
        <v>2006.791518185006</v>
      </c>
      <c r="BO42" s="41">
        <f t="shared" si="156"/>
        <v>558.04808715807292</v>
      </c>
      <c r="BP42" s="41">
        <f t="shared" si="123"/>
        <v>390.90315271109517</v>
      </c>
      <c r="BQ42" s="41">
        <f t="shared" si="124"/>
        <v>250.39169325157403</v>
      </c>
      <c r="BR42" s="41">
        <f t="shared" si="125"/>
        <v>4.5289649392707156</v>
      </c>
      <c r="BS42" s="41">
        <f t="shared" si="126"/>
        <v>81.288104020419652</v>
      </c>
      <c r="BT42" s="41">
        <f t="shared" si="127"/>
        <v>28.24341040291576</v>
      </c>
      <c r="BU42" s="41">
        <f t="shared" si="128"/>
        <v>275.40539669231771</v>
      </c>
      <c r="BV42" s="41">
        <f t="shared" si="129"/>
        <v>18.53871902145346</v>
      </c>
      <c r="BW42" s="41">
        <f t="shared" si="157"/>
        <v>167.14493444697774</v>
      </c>
      <c r="BX42" s="41">
        <f t="shared" si="158"/>
        <v>307.65639390649892</v>
      </c>
      <c r="BY42" s="41">
        <f t="shared" si="159"/>
        <v>516.5985175751714</v>
      </c>
      <c r="BZ42" s="41">
        <f t="shared" si="160"/>
        <v>494.67914747869793</v>
      </c>
      <c r="CA42" s="41">
        <f t="shared" si="161"/>
        <v>125.69536486407623</v>
      </c>
      <c r="CB42" s="41">
        <f t="shared" si="162"/>
        <v>244.2874542271239</v>
      </c>
      <c r="CC42" s="76">
        <f t="shared" si="163"/>
        <v>0.69741586419791335</v>
      </c>
      <c r="CD42" s="70">
        <f t="shared" si="164"/>
        <v>3.1010689935613307</v>
      </c>
      <c r="CF42" s="43">
        <f t="shared" si="165"/>
        <v>1866.6847363433064</v>
      </c>
      <c r="CG42" s="43">
        <f t="shared" si="166"/>
        <v>550.97337511358603</v>
      </c>
      <c r="CH42" s="43">
        <f t="shared" si="130"/>
        <v>390.90315271109517</v>
      </c>
      <c r="CI42" s="43">
        <f t="shared" si="131"/>
        <v>250.39169325157403</v>
      </c>
      <c r="CJ42" s="43">
        <f t="shared" si="132"/>
        <v>3.7957857193421711</v>
      </c>
      <c r="CK42" s="43">
        <f t="shared" si="133"/>
        <v>71.139759707420225</v>
      </c>
      <c r="CL42" s="43">
        <f t="shared" si="134"/>
        <v>25.133766321146318</v>
      </c>
      <c r="CM42" s="43">
        <f t="shared" si="135"/>
        <v>250.85127775036344</v>
      </c>
      <c r="CN42" s="43">
        <f t="shared" si="136"/>
        <v>18.978170822270041</v>
      </c>
      <c r="CO42" s="43">
        <f t="shared" si="167"/>
        <v>160.07022240249086</v>
      </c>
      <c r="CP42" s="43">
        <f t="shared" si="168"/>
        <v>300.58168186201203</v>
      </c>
      <c r="CQ42" s="43">
        <f t="shared" si="169"/>
        <v>500.90406449557241</v>
      </c>
      <c r="CR42" s="43">
        <f t="shared" si="170"/>
        <v>478.07176253746661</v>
      </c>
      <c r="CS42" s="43">
        <f t="shared" si="171"/>
        <v>110.00091178447724</v>
      </c>
      <c r="CT42" s="43">
        <f t="shared" si="172"/>
        <v>227.68006928589259</v>
      </c>
      <c r="CU42" s="76">
        <f t="shared" si="173"/>
        <v>0.88181847780750966</v>
      </c>
      <c r="CV42" s="70">
        <f t="shared" si="174"/>
        <v>3.718199469817816</v>
      </c>
      <c r="CX42" s="45">
        <f t="shared" si="175"/>
        <v>1984.7471356316864</v>
      </c>
      <c r="CY42" s="45">
        <f t="shared" si="176"/>
        <v>553.44640216190044</v>
      </c>
      <c r="CZ42" s="45">
        <f t="shared" si="177"/>
        <v>390.90315271109517</v>
      </c>
      <c r="DA42" s="45">
        <f t="shared" si="178"/>
        <v>250.39169325157403</v>
      </c>
      <c r="DB42" s="45">
        <f t="shared" si="137"/>
        <v>4.1881396204766963</v>
      </c>
      <c r="DC42" s="45">
        <f t="shared" si="179"/>
        <v>77.298927540099342</v>
      </c>
      <c r="DD42" s="45">
        <f t="shared" si="180"/>
        <v>27.144225098843393</v>
      </c>
      <c r="DE42" s="45">
        <f t="shared" si="181"/>
        <v>268.7061870423733</v>
      </c>
      <c r="DF42" s="45">
        <f t="shared" si="182"/>
        <v>18.487670973876725</v>
      </c>
      <c r="DG42" s="45">
        <f t="shared" si="183"/>
        <v>162.54324945080526</v>
      </c>
      <c r="DH42" s="45">
        <f t="shared" si="184"/>
        <v>303.05470891032644</v>
      </c>
      <c r="DI42" s="45">
        <f t="shared" si="185"/>
        <v>506.1084719099149</v>
      </c>
      <c r="DJ42" s="45">
        <f t="shared" si="186"/>
        <v>483.26110388506856</v>
      </c>
      <c r="DK42" s="45">
        <f t="shared" si="187"/>
        <v>115.20531919881972</v>
      </c>
      <c r="DL42" s="45">
        <f t="shared" si="188"/>
        <v>232.86941063349454</v>
      </c>
      <c r="DM42" s="76">
        <f t="shared" si="189"/>
        <v>0.85876524410523802</v>
      </c>
      <c r="DN42" s="70">
        <f t="shared" si="190"/>
        <v>3.693315071231297</v>
      </c>
      <c r="DP42" s="47">
        <f t="shared" si="191"/>
        <v>2126.2184204950904</v>
      </c>
      <c r="DQ42" s="47">
        <f t="shared" si="192"/>
        <v>637.19332586343512</v>
      </c>
      <c r="DR42" s="47">
        <f t="shared" si="193"/>
        <v>390.90315271109517</v>
      </c>
      <c r="DS42" s="47">
        <f t="shared" si="194"/>
        <v>250.39169325157403</v>
      </c>
      <c r="DT42" s="47">
        <f t="shared" si="195"/>
        <v>11.775164522886763</v>
      </c>
      <c r="DU42" s="47">
        <f t="shared" si="196"/>
        <v>143.4303817993181</v>
      </c>
      <c r="DV42" s="47">
        <f t="shared" si="197"/>
        <v>45.613209009339059</v>
      </c>
      <c r="DW42" s="47">
        <f t="shared" si="198"/>
        <v>353.77210303900114</v>
      </c>
      <c r="DX42" s="47">
        <f t="shared" si="199"/>
        <v>20.564895492167516</v>
      </c>
      <c r="DY42" s="47">
        <f t="shared" si="200"/>
        <v>246.29017315233995</v>
      </c>
      <c r="DZ42" s="47">
        <f t="shared" si="201"/>
        <v>386.80163261186112</v>
      </c>
      <c r="EA42" s="47">
        <f t="shared" si="202"/>
        <v>558.54347149383375</v>
      </c>
      <c r="EB42" s="47">
        <f t="shared" si="203"/>
        <v>530.75456722955448</v>
      </c>
      <c r="EC42" s="47">
        <f t="shared" si="204"/>
        <v>167.64031878273858</v>
      </c>
      <c r="ED42" s="47">
        <f t="shared" si="205"/>
        <v>280.36287397798048</v>
      </c>
      <c r="EE42" s="76">
        <f t="shared" si="206"/>
        <v>2.8354642644531474</v>
      </c>
      <c r="EF42" s="70">
        <f t="shared" si="207"/>
        <v>8.4609105158074112</v>
      </c>
    </row>
    <row r="43" spans="1:136" x14ac:dyDescent="0.35">
      <c r="A43" s="30" t="str">
        <f>'Data_world regions'!C13</f>
        <v>EU29</v>
      </c>
      <c r="B43" s="30" t="str">
        <f>'Data_world regions'!D13</f>
        <v>EU</v>
      </c>
      <c r="C43" s="30">
        <f>'Data_world regions'!E13</f>
        <v>0</v>
      </c>
      <c r="D43" s="30">
        <f>'Data_world regions'!F13</f>
        <v>0</v>
      </c>
      <c r="E43" s="31">
        <f>'Data_world regions'!G13</f>
        <v>1.2389401307264044E-2</v>
      </c>
      <c r="F43" s="30">
        <f>'Data_world regions'!H13</f>
        <v>718.11352411118924</v>
      </c>
      <c r="G43" s="30">
        <f>'Data_world regions'!I13</f>
        <v>2631.1679523433972</v>
      </c>
      <c r="H43" s="31">
        <f>'Data_world regions'!J13</f>
        <v>15258.169414533266</v>
      </c>
      <c r="I43" s="30">
        <f>'Data_world regions'!K13</f>
        <v>1.1543200760601662</v>
      </c>
      <c r="J43" s="30">
        <f>'Data_world regions'!L13</f>
        <v>1.2067690036967176</v>
      </c>
      <c r="K43" s="30">
        <f>'Data_world regions'!M13</f>
        <v>1.1866174178280724</v>
      </c>
      <c r="L43" s="30">
        <f>'Data_world regions'!N13</f>
        <v>1.1300269287366025</v>
      </c>
      <c r="M43" s="30">
        <f>'Data_world regions'!O13</f>
        <v>1.1919270064378424</v>
      </c>
      <c r="N43" s="30">
        <f>'Data_world regions'!P13</f>
        <v>1.2529274166703845</v>
      </c>
      <c r="O43" s="31">
        <f>'Data_world regions'!Q13</f>
        <v>1.2264947460114872</v>
      </c>
      <c r="P43" s="31">
        <f>'Data_world regions'!R13</f>
        <v>0.90947003354549738</v>
      </c>
      <c r="Q43" s="31">
        <f>'Data_world regions'!S13</f>
        <v>1.0160301239037073</v>
      </c>
      <c r="R43" s="31">
        <f>'Data_world regions'!T13</f>
        <v>1.0683930558484569</v>
      </c>
      <c r="S43" s="31">
        <f>'Data_world regions'!U13</f>
        <v>1.0727560349127803</v>
      </c>
      <c r="T43" s="31">
        <f>'Data_world regions'!V13</f>
        <v>1.2137481184144505</v>
      </c>
      <c r="U43" s="30">
        <f>'Data_world regions'!W13</f>
        <v>0.66223689747419612</v>
      </c>
      <c r="V43" s="30">
        <f>'Data_world regions'!X13</f>
        <v>0.66223689747419612</v>
      </c>
      <c r="W43" s="31">
        <f>'Data_world regions'!Y13</f>
        <v>1742.4565014934249</v>
      </c>
      <c r="X43" s="31">
        <f>'Data_world regions'!Z13</f>
        <v>1742.4565014934249</v>
      </c>
      <c r="Z43" s="79">
        <f t="shared" si="138"/>
        <v>17612.81127912294</v>
      </c>
      <c r="AA43" s="27">
        <f t="shared" si="139"/>
        <v>3227.1136694229799</v>
      </c>
      <c r="AB43" s="32">
        <f t="shared" si="208"/>
        <v>1742.4565014934249</v>
      </c>
      <c r="AC43" s="70">
        <f t="shared" si="141"/>
        <v>1742.4565014934249</v>
      </c>
      <c r="AD43" s="32">
        <f t="shared" si="209"/>
        <v>68.569189250621179</v>
      </c>
      <c r="AE43" s="32">
        <f t="shared" si="106"/>
        <v>138.55560205777022</v>
      </c>
      <c r="AF43" s="33">
        <f t="shared" si="107"/>
        <v>68.569189250621179</v>
      </c>
      <c r="AG43" s="70">
        <f t="shared" si="108"/>
        <v>138.55560205777022</v>
      </c>
      <c r="AH43" s="79">
        <f t="shared" si="109"/>
        <v>126.1287624380557</v>
      </c>
      <c r="AI43" s="32">
        <f t="shared" si="110"/>
        <v>1484.657167929555</v>
      </c>
      <c r="AJ43" s="33">
        <f t="shared" si="111"/>
        <v>1484.657167929555</v>
      </c>
      <c r="AK43" s="32">
        <f t="shared" si="112"/>
        <v>2865.089057492753</v>
      </c>
      <c r="AL43" s="33">
        <f t="shared" si="113"/>
        <v>2701.9715390827969</v>
      </c>
      <c r="AM43" s="32">
        <f t="shared" si="114"/>
        <v>1122.6325559993281</v>
      </c>
      <c r="AN43" s="33">
        <f t="shared" si="115"/>
        <v>959.51503758937201</v>
      </c>
      <c r="AS43" s="76">
        <f t="shared" si="143"/>
        <v>10.242983005565975</v>
      </c>
      <c r="AT43" s="70">
        <f t="shared" si="144"/>
        <v>19.667712285932364</v>
      </c>
      <c r="AV43" s="35">
        <f t="shared" si="116"/>
        <v>18413.085902612038</v>
      </c>
      <c r="AW43" s="35">
        <f t="shared" si="117"/>
        <v>2392.9684058815869</v>
      </c>
      <c r="AX43" s="37">
        <f t="shared" si="145"/>
        <v>1742.4565014934249</v>
      </c>
      <c r="AY43" s="39">
        <f t="shared" si="146"/>
        <v>1742.4565014934249</v>
      </c>
      <c r="AZ43" s="37">
        <f t="shared" si="118"/>
        <v>10.966516996870979</v>
      </c>
      <c r="BA43" s="37">
        <f t="shared" si="119"/>
        <v>50.574863839819443</v>
      </c>
      <c r="BB43" s="39">
        <f t="shared" si="120"/>
        <v>10.966516996870979</v>
      </c>
      <c r="BC43" s="39">
        <f t="shared" si="121"/>
        <v>50.574863839819443</v>
      </c>
      <c r="BD43" s="35">
        <f t="shared" si="122"/>
        <v>91.471939466222594</v>
      </c>
      <c r="BE43" s="37">
        <f t="shared" si="147"/>
        <v>650.51190438816207</v>
      </c>
      <c r="BF43" s="39">
        <f t="shared" si="148"/>
        <v>650.51190438816207</v>
      </c>
      <c r="BG43" s="37">
        <f t="shared" si="149"/>
        <v>2257.2991785438976</v>
      </c>
      <c r="BH43" s="39">
        <f t="shared" si="150"/>
        <v>2167.844499266756</v>
      </c>
      <c r="BI43" s="37">
        <f t="shared" si="151"/>
        <v>514.84267705047273</v>
      </c>
      <c r="BJ43" s="39">
        <f t="shared" si="152"/>
        <v>425.38799777333111</v>
      </c>
      <c r="BK43" s="76">
        <f t="shared" si="153"/>
        <v>1.2320432262889014</v>
      </c>
      <c r="BL43" s="70">
        <f t="shared" si="154"/>
        <v>3.0311692582679646</v>
      </c>
      <c r="BN43" s="41">
        <f t="shared" si="155"/>
        <v>18105.609591456734</v>
      </c>
      <c r="BO43" s="41">
        <f t="shared" si="156"/>
        <v>2673.3459006309258</v>
      </c>
      <c r="BP43" s="41">
        <f t="shared" si="123"/>
        <v>1742.4565014934249</v>
      </c>
      <c r="BQ43" s="41">
        <f t="shared" si="124"/>
        <v>1742.4565014934249</v>
      </c>
      <c r="BR43" s="41">
        <f t="shared" si="125"/>
        <v>25.319050532564372</v>
      </c>
      <c r="BS43" s="41">
        <f t="shared" si="126"/>
        <v>81.596322471896102</v>
      </c>
      <c r="BT43" s="41">
        <f t="shared" si="127"/>
        <v>25.319050532564372</v>
      </c>
      <c r="BU43" s="41">
        <f t="shared" si="128"/>
        <v>81.596322471896102</v>
      </c>
      <c r="BV43" s="41">
        <f t="shared" si="129"/>
        <v>103.05351080436417</v>
      </c>
      <c r="BW43" s="41">
        <f t="shared" si="157"/>
        <v>930.88939913750096</v>
      </c>
      <c r="BX43" s="41">
        <f t="shared" si="158"/>
        <v>930.88939913750096</v>
      </c>
      <c r="BY43" s="41">
        <f t="shared" si="159"/>
        <v>2442.9349611315633</v>
      </c>
      <c r="BZ43" s="41">
        <f t="shared" si="160"/>
        <v>2321.0889996901196</v>
      </c>
      <c r="CA43" s="41">
        <f t="shared" si="161"/>
        <v>700.47845963813847</v>
      </c>
      <c r="CB43" s="41">
        <f t="shared" si="162"/>
        <v>578.63249819669477</v>
      </c>
      <c r="CC43" s="76">
        <f t="shared" si="163"/>
        <v>3.8856106051043247</v>
      </c>
      <c r="CD43" s="70">
        <f t="shared" si="164"/>
        <v>8.1327006744778831</v>
      </c>
      <c r="CF43" s="43">
        <f t="shared" si="165"/>
        <v>17242.142321647789</v>
      </c>
      <c r="CG43" s="43">
        <f t="shared" si="166"/>
        <v>2811.1215690546892</v>
      </c>
      <c r="CH43" s="43">
        <f t="shared" si="130"/>
        <v>1742.4565014934249</v>
      </c>
      <c r="CI43" s="43">
        <f t="shared" si="131"/>
        <v>1742.4565014934249</v>
      </c>
      <c r="CJ43" s="43">
        <f t="shared" si="132"/>
        <v>32.991885134698677</v>
      </c>
      <c r="CK43" s="43">
        <f t="shared" si="133"/>
        <v>92.616160486991859</v>
      </c>
      <c r="CL43" s="43">
        <f t="shared" si="134"/>
        <v>32.991885134698677</v>
      </c>
      <c r="CM43" s="43">
        <f t="shared" si="135"/>
        <v>92.616160486991859</v>
      </c>
      <c r="CN43" s="43">
        <f t="shared" si="136"/>
        <v>111.04480019910542</v>
      </c>
      <c r="CO43" s="43">
        <f t="shared" si="167"/>
        <v>1068.6650675612643</v>
      </c>
      <c r="CP43" s="43">
        <f t="shared" si="168"/>
        <v>1068.6650675612643</v>
      </c>
      <c r="CQ43" s="43">
        <f t="shared" si="169"/>
        <v>2518.1567387898076</v>
      </c>
      <c r="CR43" s="43">
        <f t="shared" si="170"/>
        <v>2384.5607019131494</v>
      </c>
      <c r="CS43" s="43">
        <f t="shared" si="171"/>
        <v>775.70023729638274</v>
      </c>
      <c r="CT43" s="43">
        <f t="shared" si="172"/>
        <v>642.10420041972452</v>
      </c>
      <c r="CU43" s="76">
        <f t="shared" si="173"/>
        <v>6.0789059143585513</v>
      </c>
      <c r="CV43" s="70">
        <f t="shared" si="174"/>
        <v>11.572918240898009</v>
      </c>
      <c r="CX43" s="45">
        <f t="shared" si="175"/>
        <v>18186.624193986081</v>
      </c>
      <c r="CY43" s="45">
        <f t="shared" si="176"/>
        <v>2822.6012997454818</v>
      </c>
      <c r="CZ43" s="45">
        <f t="shared" si="177"/>
        <v>1742.4565014934249</v>
      </c>
      <c r="DA43" s="45">
        <f t="shared" si="178"/>
        <v>1742.4565014934249</v>
      </c>
      <c r="DB43" s="45">
        <f t="shared" si="137"/>
        <v>35.640950231489455</v>
      </c>
      <c r="DC43" s="45">
        <f t="shared" si="179"/>
        <v>98.989367784297215</v>
      </c>
      <c r="DD43" s="45">
        <f t="shared" si="180"/>
        <v>35.640950231489455</v>
      </c>
      <c r="DE43" s="45">
        <f t="shared" si="181"/>
        <v>98.989367784297215</v>
      </c>
      <c r="DF43" s="45">
        <f t="shared" si="182"/>
        <v>108.56446667756353</v>
      </c>
      <c r="DG43" s="45">
        <f t="shared" si="183"/>
        <v>1080.1447982520569</v>
      </c>
      <c r="DH43" s="45">
        <f t="shared" si="184"/>
        <v>1080.1447982520569</v>
      </c>
      <c r="DI43" s="45">
        <f t="shared" si="185"/>
        <v>2544.6205222485064</v>
      </c>
      <c r="DJ43" s="45">
        <f t="shared" si="186"/>
        <v>2410.4547677784976</v>
      </c>
      <c r="DK43" s="45">
        <f t="shared" si="187"/>
        <v>802.16402075508154</v>
      </c>
      <c r="DL43" s="45">
        <f t="shared" si="188"/>
        <v>667.99826628507276</v>
      </c>
      <c r="DM43" s="76">
        <f t="shared" si="189"/>
        <v>5.8666730240404457</v>
      </c>
      <c r="DN43" s="70">
        <f t="shared" si="190"/>
        <v>11.607240229105907</v>
      </c>
      <c r="DP43" s="47">
        <f t="shared" si="191"/>
        <v>19117.378787670237</v>
      </c>
      <c r="DQ43" s="47">
        <f t="shared" si="192"/>
        <v>3193.575151389201</v>
      </c>
      <c r="DR43" s="47">
        <f t="shared" si="193"/>
        <v>1742.4565014934249</v>
      </c>
      <c r="DS43" s="47">
        <f t="shared" si="194"/>
        <v>1742.4565014934249</v>
      </c>
      <c r="DT43" s="47">
        <f t="shared" si="195"/>
        <v>70.963194243718888</v>
      </c>
      <c r="DU43" s="47">
        <f t="shared" si="196"/>
        <v>146.70721980345789</v>
      </c>
      <c r="DV43" s="47">
        <f t="shared" si="197"/>
        <v>70.963194243718888</v>
      </c>
      <c r="DW43" s="47">
        <f t="shared" si="198"/>
        <v>146.70721980345789</v>
      </c>
      <c r="DX43" s="47">
        <f t="shared" si="199"/>
        <v>119.80561703105067</v>
      </c>
      <c r="DY43" s="47">
        <f t="shared" si="200"/>
        <v>1451.1186498957761</v>
      </c>
      <c r="DZ43" s="47">
        <f t="shared" si="201"/>
        <v>1451.1186498957761</v>
      </c>
      <c r="EA43" s="47">
        <f t="shared" si="202"/>
        <v>2735.3819971501644</v>
      </c>
      <c r="EB43" s="47">
        <f t="shared" si="203"/>
        <v>2573.4912244366938</v>
      </c>
      <c r="EC43" s="47">
        <f t="shared" si="204"/>
        <v>992.92549565673949</v>
      </c>
      <c r="ED43" s="47">
        <f t="shared" si="205"/>
        <v>831.03472294326889</v>
      </c>
      <c r="EE43" s="76">
        <f t="shared" si="206"/>
        <v>16.757038723505936</v>
      </c>
      <c r="EF43" s="70">
        <f t="shared" si="207"/>
        <v>27.799097353267076</v>
      </c>
    </row>
    <row r="44" spans="1:136" x14ac:dyDescent="0.35">
      <c r="A44" s="30" t="str">
        <f>'Data_world regions'!C14</f>
        <v>Middle East</v>
      </c>
      <c r="B44" s="30" t="str">
        <f>'Data_world regions'!D14</f>
        <v>MEA</v>
      </c>
      <c r="C44" s="30">
        <f>'Data_world regions'!E14</f>
        <v>0</v>
      </c>
      <c r="D44" s="30">
        <f>'Data_world regions'!F14</f>
        <v>0</v>
      </c>
      <c r="E44" s="31">
        <f>'Data_world regions'!G14</f>
        <v>4.7599926130683909E-2</v>
      </c>
      <c r="F44" s="30">
        <f>'Data_world regions'!H14</f>
        <v>706.1644285952035</v>
      </c>
      <c r="G44" s="30">
        <f>'Data_world regions'!I14</f>
        <v>2587.3864663728255</v>
      </c>
      <c r="H44" s="31">
        <f>'Data_world regions'!J14</f>
        <v>3049.4541462853813</v>
      </c>
      <c r="I44" s="30">
        <f>'Data_world regions'!K14</f>
        <v>1.1944928429090393</v>
      </c>
      <c r="J44" s="30">
        <f>'Data_world regions'!L14</f>
        <v>1.5191729833165211</v>
      </c>
      <c r="K44" s="30">
        <f>'Data_world regions'!M14</f>
        <v>1.5053659950823708</v>
      </c>
      <c r="L44" s="30">
        <f>'Data_world regions'!N14</f>
        <v>1.3904458508036863</v>
      </c>
      <c r="M44" s="30">
        <f>'Data_world regions'!O14</f>
        <v>1.5195104172380642</v>
      </c>
      <c r="N44" s="30">
        <f>'Data_world regions'!P14</f>
        <v>1.6031371129828391</v>
      </c>
      <c r="O44" s="31">
        <f>'Data_world regions'!Q14</f>
        <v>1.1620756490513198</v>
      </c>
      <c r="P44" s="31">
        <f>'Data_world regions'!R14</f>
        <v>1.1616057605319869</v>
      </c>
      <c r="Q44" s="31">
        <f>'Data_world regions'!S14</f>
        <v>1.2522061475494199</v>
      </c>
      <c r="R44" s="31">
        <f>'Data_world regions'!T14</f>
        <v>1.2960748226840799</v>
      </c>
      <c r="S44" s="31">
        <f>'Data_world regions'!U14</f>
        <v>1.2900250367175268</v>
      </c>
      <c r="T44" s="31">
        <f>'Data_world regions'!V14</f>
        <v>1.3143699274053684</v>
      </c>
      <c r="U44" s="30">
        <f>'Data_world regions'!W14</f>
        <v>1.3186843786652682</v>
      </c>
      <c r="V44" s="30">
        <f>'Data_world regions'!X14</f>
        <v>1.1428751798067498</v>
      </c>
      <c r="W44" s="31">
        <f>'Data_world regions'!Y14</f>
        <v>3411.9461147757734</v>
      </c>
      <c r="X44" s="31">
        <f>'Data_world regions'!Z14</f>
        <v>2957.0597729853939</v>
      </c>
      <c r="Z44" s="79">
        <f t="shared" si="138"/>
        <v>3642.5511525171828</v>
      </c>
      <c r="AA44" s="27">
        <f t="shared" si="139"/>
        <v>3006.7388072568019</v>
      </c>
      <c r="AB44" s="32">
        <f t="shared" si="208"/>
        <v>3006.7388072568019</v>
      </c>
      <c r="AC44" s="70">
        <f t="shared" si="141"/>
        <v>2957.0597729853939</v>
      </c>
      <c r="AD44" s="32">
        <f t="shared" si="209"/>
        <v>0</v>
      </c>
      <c r="AE44" s="32">
        <f t="shared" si="106"/>
        <v>0</v>
      </c>
      <c r="AF44" s="33">
        <f t="shared" si="107"/>
        <v>2.3514728386019976E-3</v>
      </c>
      <c r="AG44" s="70">
        <f t="shared" si="108"/>
        <v>0.14199991242313764</v>
      </c>
      <c r="AH44" s="79">
        <f t="shared" si="109"/>
        <v>131.83450915679842</v>
      </c>
      <c r="AI44" s="32">
        <f t="shared" si="110"/>
        <v>0</v>
      </c>
      <c r="AJ44" s="33">
        <f t="shared" si="111"/>
        <v>49.679034271408</v>
      </c>
      <c r="AK44" s="32">
        <f t="shared" si="112"/>
        <v>2628.3371160490433</v>
      </c>
      <c r="AL44" s="33">
        <f t="shared" si="113"/>
        <v>2457.8405730023064</v>
      </c>
      <c r="AM44" s="32">
        <f t="shared" si="114"/>
        <v>-378.40169120775863</v>
      </c>
      <c r="AN44" s="33">
        <f t="shared" si="115"/>
        <v>-499.21919998308749</v>
      </c>
      <c r="AS44" s="76">
        <f t="shared" si="143"/>
        <v>-2.0783071610774124</v>
      </c>
      <c r="AT44" s="70">
        <f t="shared" si="144"/>
        <v>-5.4822681698650531</v>
      </c>
      <c r="AV44" s="35">
        <f t="shared" si="116"/>
        <v>4632.6483528992976</v>
      </c>
      <c r="AW44" s="35">
        <f t="shared" si="117"/>
        <v>3005.5230240611763</v>
      </c>
      <c r="AX44" s="37">
        <f t="shared" si="145"/>
        <v>3005.5230240611763</v>
      </c>
      <c r="AY44" s="39">
        <f t="shared" si="146"/>
        <v>2957.0597729853939</v>
      </c>
      <c r="AZ44" s="37">
        <f t="shared" si="118"/>
        <v>0</v>
      </c>
      <c r="BA44" s="37">
        <f t="shared" si="119"/>
        <v>0</v>
      </c>
      <c r="BB44" s="39">
        <f t="shared" si="120"/>
        <v>2.778645417571527E-3</v>
      </c>
      <c r="BC44" s="39">
        <f t="shared" si="121"/>
        <v>0.17200530438371961</v>
      </c>
      <c r="BD44" s="35">
        <f t="shared" si="122"/>
        <v>116.85347301773623</v>
      </c>
      <c r="BE44" s="37">
        <f t="shared" si="147"/>
        <v>0</v>
      </c>
      <c r="BF44" s="39">
        <f t="shared" si="148"/>
        <v>48.463251075782409</v>
      </c>
      <c r="BG44" s="37">
        <f t="shared" si="149"/>
        <v>2832.2084481534916</v>
      </c>
      <c r="BH44" s="39">
        <f t="shared" si="150"/>
        <v>2717.9319824721042</v>
      </c>
      <c r="BI44" s="37">
        <f t="shared" si="151"/>
        <v>-173.31457590768468</v>
      </c>
      <c r="BJ44" s="39">
        <f t="shared" si="152"/>
        <v>-239.12779051328971</v>
      </c>
      <c r="BK44" s="76">
        <f t="shared" si="153"/>
        <v>-0.25417378606629942</v>
      </c>
      <c r="BL44" s="70">
        <f t="shared" si="154"/>
        <v>-0.86777046430786109</v>
      </c>
      <c r="BN44" s="41">
        <f t="shared" si="155"/>
        <v>4590.5445753809545</v>
      </c>
      <c r="BO44" s="41">
        <f t="shared" si="156"/>
        <v>3239.9412392782224</v>
      </c>
      <c r="BP44" s="41">
        <f t="shared" si="123"/>
        <v>3239.9412392782224</v>
      </c>
      <c r="BQ44" s="41">
        <f t="shared" si="124"/>
        <v>2957.0597729853939</v>
      </c>
      <c r="BR44" s="41">
        <f t="shared" si="125"/>
        <v>0</v>
      </c>
      <c r="BS44" s="41">
        <f t="shared" si="126"/>
        <v>0</v>
      </c>
      <c r="BT44" s="41">
        <f t="shared" si="127"/>
        <v>0.47120479749033567</v>
      </c>
      <c r="BU44" s="41">
        <f t="shared" si="128"/>
        <v>4.9971969213694809</v>
      </c>
      <c r="BV44" s="41">
        <f t="shared" si="129"/>
        <v>126.54391386802429</v>
      </c>
      <c r="BW44" s="41">
        <f t="shared" si="157"/>
        <v>0</v>
      </c>
      <c r="BX44" s="41">
        <f t="shared" si="158"/>
        <v>282.88146629282846</v>
      </c>
      <c r="BY44" s="41">
        <f t="shared" si="159"/>
        <v>2957.0095676187343</v>
      </c>
      <c r="BZ44" s="41">
        <f t="shared" si="160"/>
        <v>2807.3895815603873</v>
      </c>
      <c r="CA44" s="41">
        <f t="shared" si="161"/>
        <v>-282.93167165948807</v>
      </c>
      <c r="CB44" s="41">
        <f t="shared" si="162"/>
        <v>-149.67019142500658</v>
      </c>
      <c r="CC44" s="76">
        <f t="shared" si="163"/>
        <v>-0.94291145624711192</v>
      </c>
      <c r="CD44" s="70">
        <f t="shared" si="164"/>
        <v>-6.41022723570015E-2</v>
      </c>
      <c r="CF44" s="43">
        <f t="shared" si="165"/>
        <v>4240.100864918606</v>
      </c>
      <c r="CG44" s="43">
        <f t="shared" si="166"/>
        <v>3353.4464556193479</v>
      </c>
      <c r="CH44" s="43">
        <f t="shared" si="130"/>
        <v>3353.4464556193479</v>
      </c>
      <c r="CI44" s="43">
        <f t="shared" si="131"/>
        <v>2957.0597729853939</v>
      </c>
      <c r="CJ44" s="43">
        <f t="shared" si="132"/>
        <v>0</v>
      </c>
      <c r="CK44" s="43">
        <f t="shared" si="133"/>
        <v>0</v>
      </c>
      <c r="CL44" s="43">
        <f t="shared" si="134"/>
        <v>1.1177814014500771</v>
      </c>
      <c r="CM44" s="43">
        <f t="shared" si="135"/>
        <v>8.4597801875369765</v>
      </c>
      <c r="CN44" s="43">
        <f t="shared" si="136"/>
        <v>136.28231922754628</v>
      </c>
      <c r="CO44" s="43">
        <f t="shared" si="167"/>
        <v>0</v>
      </c>
      <c r="CP44" s="43">
        <f t="shared" si="168"/>
        <v>396.38668263395402</v>
      </c>
      <c r="CQ44" s="43">
        <f t="shared" si="169"/>
        <v>2993.8985393818066</v>
      </c>
      <c r="CR44" s="43">
        <f t="shared" si="170"/>
        <v>2829.939689327462</v>
      </c>
      <c r="CS44" s="43">
        <f t="shared" si="171"/>
        <v>-359.54791623754136</v>
      </c>
      <c r="CT44" s="43">
        <f t="shared" si="172"/>
        <v>-127.1200836579319</v>
      </c>
      <c r="CU44" s="76">
        <f t="shared" si="173"/>
        <v>-1.6683994498204755</v>
      </c>
      <c r="CV44" s="70">
        <f t="shared" si="174"/>
        <v>0.69916636916433128</v>
      </c>
      <c r="CX44" s="45">
        <f t="shared" si="175"/>
        <v>4633.6773421704447</v>
      </c>
      <c r="CY44" s="45">
        <f t="shared" si="176"/>
        <v>3337.7933212850362</v>
      </c>
      <c r="CZ44" s="45">
        <f t="shared" si="177"/>
        <v>3337.7933212850362</v>
      </c>
      <c r="DA44" s="45">
        <f t="shared" si="178"/>
        <v>2957.0597729853939</v>
      </c>
      <c r="DB44" s="45">
        <f t="shared" si="137"/>
        <v>0</v>
      </c>
      <c r="DC44" s="45">
        <f t="shared" si="179"/>
        <v>0</v>
      </c>
      <c r="DD44" s="45">
        <f t="shared" si="180"/>
        <v>1.0926388146435868</v>
      </c>
      <c r="DE44" s="45">
        <f t="shared" si="181"/>
        <v>8.6094762559536697</v>
      </c>
      <c r="DF44" s="45">
        <f t="shared" si="182"/>
        <v>129.75759276424898</v>
      </c>
      <c r="DG44" s="45">
        <f t="shared" si="183"/>
        <v>0</v>
      </c>
      <c r="DH44" s="45">
        <f t="shared" si="184"/>
        <v>380.73354829964228</v>
      </c>
      <c r="DI44" s="45">
        <f t="shared" si="185"/>
        <v>3005.5472593219624</v>
      </c>
      <c r="DJ44" s="45">
        <f t="shared" si="186"/>
        <v>2845.1906908774044</v>
      </c>
      <c r="DK44" s="45">
        <f t="shared" si="187"/>
        <v>-332.24606196307377</v>
      </c>
      <c r="DL44" s="45">
        <f t="shared" si="188"/>
        <v>-111.86908210798947</v>
      </c>
      <c r="DM44" s="76">
        <f t="shared" si="189"/>
        <v>-1.4521875432608844</v>
      </c>
      <c r="DN44" s="70">
        <f t="shared" si="190"/>
        <v>0.75421214590113483</v>
      </c>
      <c r="DP44" s="47">
        <f t="shared" si="191"/>
        <v>4888.6931162494948</v>
      </c>
      <c r="DQ44" s="47">
        <f t="shared" si="192"/>
        <v>3400.7829619760832</v>
      </c>
      <c r="DR44" s="47">
        <f t="shared" si="193"/>
        <v>3400.7829619760832</v>
      </c>
      <c r="DS44" s="47">
        <f t="shared" si="194"/>
        <v>2957.0597729853939</v>
      </c>
      <c r="DT44" s="47">
        <f t="shared" si="195"/>
        <v>0</v>
      </c>
      <c r="DU44" s="47">
        <f t="shared" si="196"/>
        <v>0</v>
      </c>
      <c r="DV44" s="47">
        <f t="shared" si="197"/>
        <v>1.7578329413338365</v>
      </c>
      <c r="DW44" s="47">
        <f t="shared" si="198"/>
        <v>11.884659073141574</v>
      </c>
      <c r="DX44" s="47">
        <f t="shared" si="199"/>
        <v>128.71191787872039</v>
      </c>
      <c r="DY44" s="47">
        <f t="shared" si="200"/>
        <v>0</v>
      </c>
      <c r="DZ44" s="47">
        <f t="shared" si="201"/>
        <v>443.72318899068932</v>
      </c>
      <c r="EA44" s="47">
        <f t="shared" si="202"/>
        <v>2908.5279149884127</v>
      </c>
      <c r="EB44" s="47">
        <f t="shared" si="203"/>
        <v>2734.6022480689867</v>
      </c>
      <c r="EC44" s="47">
        <f t="shared" si="204"/>
        <v>-492.25504698767054</v>
      </c>
      <c r="ED44" s="47">
        <f t="shared" si="205"/>
        <v>-222.45752491640724</v>
      </c>
      <c r="EE44" s="76">
        <f t="shared" si="206"/>
        <v>-4.800005670874306</v>
      </c>
      <c r="EF44" s="70">
        <f t="shared" si="207"/>
        <v>-1.0642677076489804E-2</v>
      </c>
    </row>
    <row r="45" spans="1:136" x14ac:dyDescent="0.35">
      <c r="A45" s="30" t="str">
        <f>'Data_world regions'!C15</f>
        <v>Other Asia</v>
      </c>
      <c r="B45" s="30" t="str">
        <f>'Data_world regions'!D15</f>
        <v>OAS</v>
      </c>
      <c r="C45" s="30">
        <f>'Data_world regions'!E15</f>
        <v>0</v>
      </c>
      <c r="D45" s="30">
        <f>'Data_world regions'!F15</f>
        <v>0</v>
      </c>
      <c r="E45" s="31">
        <f>'Data_world regions'!G15</f>
        <v>1.6714457430316274E-2</v>
      </c>
      <c r="F45" s="30">
        <f>'Data_world regions'!H15</f>
        <v>714.3862479294595</v>
      </c>
      <c r="G45" s="30">
        <f>'Data_world regions'!I15</f>
        <v>2617.5112124135394</v>
      </c>
      <c r="H45" s="31">
        <f>'Data_world regions'!J15</f>
        <v>4304.4584507178179</v>
      </c>
      <c r="I45" s="30">
        <f>'Data_world regions'!K15</f>
        <v>1.4311390552424275</v>
      </c>
      <c r="J45" s="30">
        <f>'Data_world regions'!L15</f>
        <v>1.7219001222710315</v>
      </c>
      <c r="K45" s="30">
        <f>'Data_world regions'!M15</f>
        <v>1.6547407054205343</v>
      </c>
      <c r="L45" s="30">
        <f>'Data_world regions'!N15</f>
        <v>1.5096540985146716</v>
      </c>
      <c r="M45" s="30">
        <f>'Data_world regions'!O15</f>
        <v>1.6191436595076441</v>
      </c>
      <c r="N45" s="30">
        <f>'Data_world regions'!P15</f>
        <v>1.7898750741982348</v>
      </c>
      <c r="O45" s="31">
        <f>'Data_world regions'!Q15</f>
        <v>1.39378218396165</v>
      </c>
      <c r="P45" s="31">
        <f>'Data_world regions'!R15</f>
        <v>1.1426610170715317</v>
      </c>
      <c r="Q45" s="31">
        <f>'Data_world regions'!S15</f>
        <v>1.1876084752781089</v>
      </c>
      <c r="R45" s="31">
        <f>'Data_world regions'!T15</f>
        <v>1.2670376342900762</v>
      </c>
      <c r="S45" s="31">
        <f>'Data_world regions'!U15</f>
        <v>1.2044945649846828</v>
      </c>
      <c r="T45" s="31">
        <f>'Data_world regions'!V15</f>
        <v>1.3054926850896971</v>
      </c>
      <c r="U45" s="30">
        <f>'Data_world regions'!W15</f>
        <v>1.3737751325701801</v>
      </c>
      <c r="V45" s="30">
        <f>'Data_world regions'!X15</f>
        <v>0.981830169428626</v>
      </c>
      <c r="W45" s="31">
        <f>'Data_world regions'!Y15</f>
        <v>3595.871812837343</v>
      </c>
      <c r="X45" s="31">
        <f>'Data_world regions'!Z15</f>
        <v>2569.9514771653135</v>
      </c>
      <c r="Z45" s="79">
        <f t="shared" si="138"/>
        <v>6160.2786004905811</v>
      </c>
      <c r="AA45" s="27">
        <f t="shared" si="139"/>
        <v>3648.240494181849</v>
      </c>
      <c r="AB45" s="32">
        <f t="shared" si="208"/>
        <v>3595.871812837343</v>
      </c>
      <c r="AC45" s="70">
        <f t="shared" si="141"/>
        <v>2569.9514771653135</v>
      </c>
      <c r="AD45" s="32">
        <f t="shared" si="209"/>
        <v>1.1110679838646155E-3</v>
      </c>
      <c r="AE45" s="32">
        <f t="shared" si="106"/>
        <v>6.3648804323837155E-2</v>
      </c>
      <c r="AF45" s="33">
        <f t="shared" si="107"/>
        <v>9.6990961173720258</v>
      </c>
      <c r="AG45" s="70">
        <f t="shared" si="108"/>
        <v>26.984683969631742</v>
      </c>
      <c r="AH45" s="79">
        <f t="shared" si="109"/>
        <v>207.57570116724415</v>
      </c>
      <c r="AI45" s="32">
        <f t="shared" si="110"/>
        <v>52.368681344506058</v>
      </c>
      <c r="AJ45" s="33">
        <f t="shared" si="111"/>
        <v>1078.2890170165356</v>
      </c>
      <c r="AK45" s="32">
        <f t="shared" si="112"/>
        <v>3052.4405258905344</v>
      </c>
      <c r="AL45" s="33">
        <f t="shared" si="113"/>
        <v>2783.9907876856073</v>
      </c>
      <c r="AM45" s="32">
        <f t="shared" si="114"/>
        <v>-543.43128694680854</v>
      </c>
      <c r="AN45" s="33">
        <f t="shared" si="115"/>
        <v>214.03931052029384</v>
      </c>
      <c r="AS45" s="76">
        <f t="shared" si="143"/>
        <v>-2.8408911943726292</v>
      </c>
      <c r="AT45" s="70">
        <f t="shared" si="144"/>
        <v>8.7043265688216866</v>
      </c>
      <c r="AV45" s="35">
        <f t="shared" si="116"/>
        <v>7411.847532601585</v>
      </c>
      <c r="AW45" s="35">
        <f t="shared" si="117"/>
        <v>2990.9280241725928</v>
      </c>
      <c r="AX45" s="37">
        <f t="shared" si="145"/>
        <v>2990.9280241725928</v>
      </c>
      <c r="AY45" s="39">
        <f t="shared" si="146"/>
        <v>2569.9514771653135</v>
      </c>
      <c r="AZ45" s="37">
        <f t="shared" si="118"/>
        <v>0</v>
      </c>
      <c r="BA45" s="37">
        <f t="shared" si="119"/>
        <v>0</v>
      </c>
      <c r="BB45" s="39">
        <f t="shared" si="120"/>
        <v>1.0331908257003384</v>
      </c>
      <c r="BC45" s="39">
        <f t="shared" si="121"/>
        <v>7.3628151001186746</v>
      </c>
      <c r="BD45" s="35">
        <f t="shared" si="122"/>
        <v>155.14434649824898</v>
      </c>
      <c r="BE45" s="37">
        <f t="shared" si="147"/>
        <v>0</v>
      </c>
      <c r="BF45" s="39">
        <f t="shared" si="148"/>
        <v>420.97654700727935</v>
      </c>
      <c r="BG45" s="37">
        <f t="shared" si="149"/>
        <v>2760.8212423764053</v>
      </c>
      <c r="BH45" s="39">
        <f t="shared" si="150"/>
        <v>2609.0983441996655</v>
      </c>
      <c r="BI45" s="37">
        <f t="shared" si="151"/>
        <v>-230.10678179618753</v>
      </c>
      <c r="BJ45" s="39">
        <f t="shared" si="152"/>
        <v>39.146867034351999</v>
      </c>
      <c r="BK45" s="76">
        <f t="shared" si="153"/>
        <v>-0.33746216451997507</v>
      </c>
      <c r="BL45" s="70">
        <f t="shared" si="154"/>
        <v>1.0080496403321622</v>
      </c>
      <c r="BN45" s="41">
        <f t="shared" si="155"/>
        <v>7122.7626131941824</v>
      </c>
      <c r="BO45" s="41">
        <f t="shared" si="156"/>
        <v>3108.5784999977977</v>
      </c>
      <c r="BP45" s="41">
        <f t="shared" si="123"/>
        <v>3108.5784999977977</v>
      </c>
      <c r="BQ45" s="41">
        <f t="shared" si="124"/>
        <v>2569.9514771653135</v>
      </c>
      <c r="BR45" s="41">
        <f t="shared" si="125"/>
        <v>0</v>
      </c>
      <c r="BS45" s="41">
        <f t="shared" si="126"/>
        <v>0</v>
      </c>
      <c r="BT45" s="41">
        <f t="shared" si="127"/>
        <v>1.9252249901964373</v>
      </c>
      <c r="BU45" s="41">
        <f t="shared" si="128"/>
        <v>10.722958050297406</v>
      </c>
      <c r="BV45" s="41">
        <f t="shared" si="129"/>
        <v>164.48671777303201</v>
      </c>
      <c r="BW45" s="41">
        <f t="shared" si="157"/>
        <v>0</v>
      </c>
      <c r="BX45" s="41">
        <f t="shared" si="158"/>
        <v>538.62702283248427</v>
      </c>
      <c r="BY45" s="41">
        <f t="shared" si="159"/>
        <v>2740.8128714283948</v>
      </c>
      <c r="BZ45" s="41">
        <f t="shared" si="160"/>
        <v>2546.3309744511034</v>
      </c>
      <c r="CA45" s="41">
        <f t="shared" si="161"/>
        <v>-367.76562856940291</v>
      </c>
      <c r="CB45" s="41">
        <f t="shared" si="162"/>
        <v>-23.620502714210033</v>
      </c>
      <c r="CC45" s="76">
        <f t="shared" si="163"/>
        <v>-1.2256331090757246</v>
      </c>
      <c r="CD45" s="70">
        <f t="shared" si="164"/>
        <v>1.9137930622965336</v>
      </c>
      <c r="CF45" s="43">
        <f t="shared" si="165"/>
        <v>6498.243342012267</v>
      </c>
      <c r="CG45" s="43">
        <f t="shared" si="166"/>
        <v>3316.4852143042003</v>
      </c>
      <c r="CH45" s="43">
        <f t="shared" si="130"/>
        <v>3316.4852143042003</v>
      </c>
      <c r="CI45" s="43">
        <f t="shared" si="131"/>
        <v>2569.9514771653135</v>
      </c>
      <c r="CJ45" s="43">
        <f t="shared" si="132"/>
        <v>0</v>
      </c>
      <c r="CK45" s="43">
        <f t="shared" si="133"/>
        <v>0</v>
      </c>
      <c r="CL45" s="43">
        <f t="shared" si="134"/>
        <v>4.1084730273940684</v>
      </c>
      <c r="CM45" s="43">
        <f t="shared" si="135"/>
        <v>16.510197019922703</v>
      </c>
      <c r="CN45" s="43">
        <f t="shared" si="136"/>
        <v>183.72713851342806</v>
      </c>
      <c r="CO45" s="43">
        <f t="shared" si="167"/>
        <v>0</v>
      </c>
      <c r="CP45" s="43">
        <f t="shared" si="168"/>
        <v>746.53373713888686</v>
      </c>
      <c r="CQ45" s="43">
        <f t="shared" si="169"/>
        <v>2831.7656249751317</v>
      </c>
      <c r="CR45" s="43">
        <f t="shared" si="170"/>
        <v>2610.7267512226217</v>
      </c>
      <c r="CS45" s="43">
        <f t="shared" si="171"/>
        <v>-484.71958932906864</v>
      </c>
      <c r="CT45" s="43">
        <f t="shared" si="172"/>
        <v>40.775274057308252</v>
      </c>
      <c r="CU45" s="76">
        <f t="shared" si="173"/>
        <v>-2.2492298234306523</v>
      </c>
      <c r="CV45" s="70">
        <f t="shared" si="174"/>
        <v>4.0730416907311273</v>
      </c>
      <c r="CX45" s="45">
        <f t="shared" si="175"/>
        <v>6969.5366080938511</v>
      </c>
      <c r="CY45" s="45">
        <f t="shared" si="176"/>
        <v>3152.7780291385757</v>
      </c>
      <c r="CZ45" s="45">
        <f t="shared" si="177"/>
        <v>3152.7780291385757</v>
      </c>
      <c r="DA45" s="45">
        <f t="shared" si="178"/>
        <v>2569.9514771653135</v>
      </c>
      <c r="DB45" s="45">
        <f t="shared" si="137"/>
        <v>0</v>
      </c>
      <c r="DC45" s="45">
        <f t="shared" si="179"/>
        <v>0</v>
      </c>
      <c r="DD45" s="45">
        <f t="shared" si="180"/>
        <v>2.3202104727438813</v>
      </c>
      <c r="DE45" s="45">
        <f t="shared" si="181"/>
        <v>11.94288660093676</v>
      </c>
      <c r="DF45" s="45">
        <f t="shared" si="182"/>
        <v>168.64935108484329</v>
      </c>
      <c r="DG45" s="45">
        <f t="shared" si="183"/>
        <v>0</v>
      </c>
      <c r="DH45" s="45">
        <f t="shared" si="184"/>
        <v>582.82655197326221</v>
      </c>
      <c r="DI45" s="45">
        <f t="shared" si="185"/>
        <v>2720.9490967664169</v>
      </c>
      <c r="DJ45" s="45">
        <f t="shared" si="186"/>
        <v>2512.5294533818324</v>
      </c>
      <c r="DK45" s="45">
        <f t="shared" si="187"/>
        <v>-431.82893237215876</v>
      </c>
      <c r="DL45" s="45">
        <f t="shared" si="188"/>
        <v>-57.422023783481109</v>
      </c>
      <c r="DM45" s="76">
        <f t="shared" si="189"/>
        <v>-1.8874462881675709</v>
      </c>
      <c r="DN45" s="70">
        <f t="shared" si="190"/>
        <v>2.2482067925281708</v>
      </c>
      <c r="DP45" s="47">
        <f t="shared" si="191"/>
        <v>7704.4428888617731</v>
      </c>
      <c r="DQ45" s="47">
        <f t="shared" si="192"/>
        <v>3417.1417409461401</v>
      </c>
      <c r="DR45" s="47">
        <f t="shared" si="193"/>
        <v>3417.1417409461401</v>
      </c>
      <c r="DS45" s="47">
        <f t="shared" si="194"/>
        <v>2569.9514771653135</v>
      </c>
      <c r="DT45" s="47">
        <f t="shared" si="195"/>
        <v>0</v>
      </c>
      <c r="DU45" s="47">
        <f t="shared" si="196"/>
        <v>0</v>
      </c>
      <c r="DV45" s="47">
        <f t="shared" si="197"/>
        <v>6.7057970428046731</v>
      </c>
      <c r="DW45" s="47">
        <f t="shared" si="198"/>
        <v>23.746013131258689</v>
      </c>
      <c r="DX45" s="47">
        <f t="shared" si="199"/>
        <v>173.85436706587404</v>
      </c>
      <c r="DY45" s="47">
        <f t="shared" si="200"/>
        <v>0</v>
      </c>
      <c r="DZ45" s="47">
        <f t="shared" si="201"/>
        <v>847.19026378082663</v>
      </c>
      <c r="EA45" s="47">
        <f t="shared" si="202"/>
        <v>2752.2406887400616</v>
      </c>
      <c r="EB45" s="47">
        <f t="shared" si="203"/>
        <v>2517.3149939238401</v>
      </c>
      <c r="EC45" s="47">
        <f t="shared" si="204"/>
        <v>-664.90105220607848</v>
      </c>
      <c r="ED45" s="47">
        <f t="shared" si="205"/>
        <v>-52.636483241473343</v>
      </c>
      <c r="EE45" s="76">
        <f t="shared" si="206"/>
        <v>-6.4834862348082893</v>
      </c>
      <c r="EF45" s="70">
        <f t="shared" si="207"/>
        <v>6.6249229218107297</v>
      </c>
    </row>
    <row r="46" spans="1:136" x14ac:dyDescent="0.35">
      <c r="A46" s="30" t="str">
        <f>'Data_world regions'!C16</f>
        <v>Aust/NZ</v>
      </c>
      <c r="B46" s="30" t="str">
        <f>'Data_world regions'!D16</f>
        <v>ANZ</v>
      </c>
      <c r="C46" s="30">
        <f>'Data_world regions'!E16</f>
        <v>0</v>
      </c>
      <c r="D46" s="30">
        <f>'Data_world regions'!F16</f>
        <v>0</v>
      </c>
      <c r="E46" s="31">
        <f>'Data_world regions'!G16</f>
        <v>5.1192614855260894E-2</v>
      </c>
      <c r="F46" s="30">
        <f>'Data_world regions'!H16</f>
        <v>118.55318813181806</v>
      </c>
      <c r="G46" s="30">
        <f>'Data_world regions'!I16</f>
        <v>434.37888131498136</v>
      </c>
      <c r="H46" s="31">
        <f>'Data_world regions'!J16</f>
        <v>1539.5707033765207</v>
      </c>
      <c r="I46" s="30">
        <f>'Data_world regions'!K16</f>
        <v>1.3140408296254169</v>
      </c>
      <c r="J46" s="30">
        <f>'Data_world regions'!L16</f>
        <v>1.3543595801154618</v>
      </c>
      <c r="K46" s="30">
        <f>'Data_world regions'!M16</f>
        <v>1.3288572051247831</v>
      </c>
      <c r="L46" s="30">
        <f>'Data_world regions'!N16</f>
        <v>1.2102976121289006</v>
      </c>
      <c r="M46" s="30">
        <f>'Data_world regions'!O16</f>
        <v>1.3425892342080807</v>
      </c>
      <c r="N46" s="30">
        <f>'Data_world regions'!P16</f>
        <v>1.4318144556249657</v>
      </c>
      <c r="O46" s="31">
        <f>'Data_world regions'!Q16</f>
        <v>1.2691639629937483</v>
      </c>
      <c r="P46" s="31">
        <f>'Data_world regions'!R16</f>
        <v>0.90947003354549727</v>
      </c>
      <c r="Q46" s="31">
        <f>'Data_world regions'!S16</f>
        <v>1.0160301239037073</v>
      </c>
      <c r="R46" s="31">
        <f>'Data_world regions'!T16</f>
        <v>1.0683930558484569</v>
      </c>
      <c r="S46" s="31">
        <f>'Data_world regions'!U16</f>
        <v>1.07275603491278</v>
      </c>
      <c r="T46" s="31">
        <f>'Data_world regions'!V16</f>
        <v>1.2137481184144505</v>
      </c>
      <c r="U46" s="30">
        <f>'Data_world regions'!W16</f>
        <v>0.64758563624271648</v>
      </c>
      <c r="V46" s="30">
        <f>'Data_world regions'!X16</f>
        <v>0.64758563624271648</v>
      </c>
      <c r="W46" s="31">
        <f>'Data_world regions'!Y16</f>
        <v>281.29752422676165</v>
      </c>
      <c r="X46" s="31">
        <f>'Data_world regions'!Z16</f>
        <v>281.29752422676165</v>
      </c>
      <c r="Z46" s="79">
        <f t="shared" si="138"/>
        <v>2023.05876433187</v>
      </c>
      <c r="AA46" s="27">
        <f t="shared" si="139"/>
        <v>551.2980224505128</v>
      </c>
      <c r="AB46" s="32">
        <f t="shared" si="208"/>
        <v>281.29752422676165</v>
      </c>
      <c r="AC46" s="70">
        <f t="shared" si="141"/>
        <v>281.29752422676165</v>
      </c>
      <c r="AD46" s="32">
        <f t="shared" si="209"/>
        <v>6.7071286822275367</v>
      </c>
      <c r="AE46" s="32">
        <f t="shared" si="106"/>
        <v>74.523514508509862</v>
      </c>
      <c r="AF46" s="33">
        <f t="shared" si="107"/>
        <v>6.7071286822275367</v>
      </c>
      <c r="AG46" s="70">
        <f t="shared" si="108"/>
        <v>74.523514508509862</v>
      </c>
      <c r="AH46" s="79">
        <f t="shared" si="109"/>
        <v>31.276482302217978</v>
      </c>
      <c r="AI46" s="32">
        <f t="shared" si="110"/>
        <v>270.00049822375115</v>
      </c>
      <c r="AJ46" s="33">
        <f t="shared" si="111"/>
        <v>270.00049822375115</v>
      </c>
      <c r="AK46" s="32">
        <f t="shared" si="112"/>
        <v>461.5258233966772</v>
      </c>
      <c r="AL46" s="33">
        <f t="shared" si="113"/>
        <v>421.07714159631246</v>
      </c>
      <c r="AM46" s="32">
        <f t="shared" si="114"/>
        <v>180.22829916991554</v>
      </c>
      <c r="AN46" s="33">
        <f t="shared" si="115"/>
        <v>139.77961736955081</v>
      </c>
      <c r="AS46" s="76">
        <f t="shared" si="143"/>
        <v>1.7313393795335412</v>
      </c>
      <c r="AT46" s="70">
        <f t="shared" si="144"/>
        <v>3.1755510832354408</v>
      </c>
      <c r="AV46" s="35">
        <f t="shared" si="116"/>
        <v>2085.1323313830908</v>
      </c>
      <c r="AW46" s="35">
        <f t="shared" si="117"/>
        <v>395.05457576099167</v>
      </c>
      <c r="AX46" s="37">
        <f t="shared" si="145"/>
        <v>281.29752422676165</v>
      </c>
      <c r="AY46" s="39">
        <f t="shared" si="146"/>
        <v>281.29752422676165</v>
      </c>
      <c r="AZ46" s="37">
        <f t="shared" si="118"/>
        <v>1.0068429282247453</v>
      </c>
      <c r="BA46" s="37">
        <f t="shared" si="119"/>
        <v>26.552453179268149</v>
      </c>
      <c r="BB46" s="39">
        <f t="shared" si="120"/>
        <v>1.0068429282247453</v>
      </c>
      <c r="BC46" s="39">
        <f t="shared" si="121"/>
        <v>26.552453179268149</v>
      </c>
      <c r="BD46" s="35">
        <f t="shared" si="122"/>
        <v>22.076285464382288</v>
      </c>
      <c r="BE46" s="37">
        <f t="shared" si="147"/>
        <v>113.75705153423002</v>
      </c>
      <c r="BF46" s="39">
        <f t="shared" si="148"/>
        <v>113.75705153423002</v>
      </c>
      <c r="BG46" s="37">
        <f t="shared" si="149"/>
        <v>362.31150057403795</v>
      </c>
      <c r="BH46" s="39">
        <f t="shared" si="150"/>
        <v>340.72207055461467</v>
      </c>
      <c r="BI46" s="37">
        <f t="shared" si="151"/>
        <v>81.013976347276298</v>
      </c>
      <c r="BJ46" s="39">
        <f t="shared" si="152"/>
        <v>59.424546327853022</v>
      </c>
      <c r="BK46" s="76">
        <f t="shared" si="153"/>
        <v>0.20222568788004622</v>
      </c>
      <c r="BL46" s="70">
        <f t="shared" si="154"/>
        <v>0.46964249401023511</v>
      </c>
      <c r="BN46" s="41">
        <f t="shared" si="155"/>
        <v>2045.8696219809196</v>
      </c>
      <c r="BO46" s="41">
        <f t="shared" si="156"/>
        <v>441.34202860361427</v>
      </c>
      <c r="BP46" s="41">
        <f t="shared" si="123"/>
        <v>281.29752422676165</v>
      </c>
      <c r="BQ46" s="41">
        <f t="shared" si="124"/>
        <v>281.29752422676165</v>
      </c>
      <c r="BR46" s="41">
        <f t="shared" si="125"/>
        <v>2.2042304166740618</v>
      </c>
      <c r="BS46" s="41">
        <f t="shared" si="126"/>
        <v>41.317827661557537</v>
      </c>
      <c r="BT46" s="41">
        <f t="shared" si="127"/>
        <v>2.2042304166740618</v>
      </c>
      <c r="BU46" s="41">
        <f t="shared" si="128"/>
        <v>41.317827661557537</v>
      </c>
      <c r="BV46" s="41">
        <f t="shared" si="129"/>
        <v>24.898433609538632</v>
      </c>
      <c r="BW46" s="41">
        <f t="shared" si="157"/>
        <v>160.04450437685261</v>
      </c>
      <c r="BX46" s="41">
        <f t="shared" si="158"/>
        <v>160.04450437685261</v>
      </c>
      <c r="BY46" s="41">
        <f t="shared" si="159"/>
        <v>385.67316846233177</v>
      </c>
      <c r="BZ46" s="41">
        <f t="shared" si="160"/>
        <v>356.23435014492884</v>
      </c>
      <c r="CA46" s="41">
        <f t="shared" si="161"/>
        <v>104.37564423557012</v>
      </c>
      <c r="CB46" s="41">
        <f t="shared" si="162"/>
        <v>74.936825918167187</v>
      </c>
      <c r="CC46" s="76">
        <f t="shared" si="163"/>
        <v>0.61453314161063777</v>
      </c>
      <c r="CD46" s="70">
        <f t="shared" si="164"/>
        <v>1.2070331597425414</v>
      </c>
      <c r="CF46" s="43">
        <f t="shared" si="165"/>
        <v>1863.338746000215</v>
      </c>
      <c r="CG46" s="43">
        <f t="shared" si="166"/>
        <v>464.0873804041471</v>
      </c>
      <c r="CH46" s="43">
        <f t="shared" si="130"/>
        <v>281.29752422676165</v>
      </c>
      <c r="CI46" s="43">
        <f t="shared" si="131"/>
        <v>281.29752422676165</v>
      </c>
      <c r="CJ46" s="43">
        <f t="shared" si="132"/>
        <v>2.7049290818895471</v>
      </c>
      <c r="CK46" s="43">
        <f t="shared" si="133"/>
        <v>44.394078617764094</v>
      </c>
      <c r="CL46" s="43">
        <f t="shared" si="134"/>
        <v>2.7049290818895471</v>
      </c>
      <c r="CM46" s="43">
        <f t="shared" si="135"/>
        <v>44.394078617764094</v>
      </c>
      <c r="CN46" s="43">
        <f t="shared" si="136"/>
        <v>27.434027379512369</v>
      </c>
      <c r="CO46" s="43">
        <f t="shared" si="167"/>
        <v>182.78985617738545</v>
      </c>
      <c r="CP46" s="43">
        <f t="shared" si="168"/>
        <v>182.78985617738545</v>
      </c>
      <c r="CQ46" s="43">
        <f t="shared" si="169"/>
        <v>391.70933874609472</v>
      </c>
      <c r="CR46" s="43">
        <f t="shared" si="170"/>
        <v>358.70394518514428</v>
      </c>
      <c r="CS46" s="43">
        <f t="shared" si="171"/>
        <v>110.41181451933306</v>
      </c>
      <c r="CT46" s="43">
        <f t="shared" si="172"/>
        <v>77.406420958382625</v>
      </c>
      <c r="CU46" s="76">
        <f t="shared" si="173"/>
        <v>0.93643779627650425</v>
      </c>
      <c r="CV46" s="70">
        <f t="shared" si="174"/>
        <v>1.6605433634329112</v>
      </c>
      <c r="CX46" s="45">
        <f t="shared" si="175"/>
        <v>2067.0110516554792</v>
      </c>
      <c r="CY46" s="45">
        <f t="shared" si="176"/>
        <v>465.98256636930847</v>
      </c>
      <c r="CZ46" s="45">
        <f t="shared" si="177"/>
        <v>281.29752422676165</v>
      </c>
      <c r="DA46" s="45">
        <f t="shared" si="178"/>
        <v>281.29752422676165</v>
      </c>
      <c r="DB46" s="45">
        <f t="shared" si="137"/>
        <v>3.0697707437101092</v>
      </c>
      <c r="DC46" s="45">
        <f t="shared" si="179"/>
        <v>49.864959957191516</v>
      </c>
      <c r="DD46" s="45">
        <f t="shared" si="180"/>
        <v>3.0697707437101092</v>
      </c>
      <c r="DE46" s="45">
        <f t="shared" si="181"/>
        <v>49.864959957191516</v>
      </c>
      <c r="DF46" s="45">
        <f t="shared" si="182"/>
        <v>26.1537510521635</v>
      </c>
      <c r="DG46" s="45">
        <f t="shared" si="183"/>
        <v>184.68504214254682</v>
      </c>
      <c r="DH46" s="45">
        <f t="shared" si="184"/>
        <v>184.68504214254682</v>
      </c>
      <c r="DI46" s="45">
        <f t="shared" si="185"/>
        <v>399.01553494147163</v>
      </c>
      <c r="DJ46" s="45">
        <f t="shared" si="186"/>
        <v>366.69429900194592</v>
      </c>
      <c r="DK46" s="45">
        <f t="shared" si="187"/>
        <v>117.71801071470998</v>
      </c>
      <c r="DL46" s="45">
        <f t="shared" si="188"/>
        <v>85.396774775184269</v>
      </c>
      <c r="DM46" s="76">
        <f t="shared" si="189"/>
        <v>0.91813665386428445</v>
      </c>
      <c r="DN46" s="70">
        <f t="shared" si="190"/>
        <v>1.7077334663530703</v>
      </c>
      <c r="DP46" s="47">
        <f t="shared" si="191"/>
        <v>2204.3795885511986</v>
      </c>
      <c r="DQ46" s="47">
        <f t="shared" si="192"/>
        <v>527.22654987503256</v>
      </c>
      <c r="DR46" s="47">
        <f t="shared" si="193"/>
        <v>281.29752422676165</v>
      </c>
      <c r="DS46" s="47">
        <f t="shared" si="194"/>
        <v>281.29752422676165</v>
      </c>
      <c r="DT46" s="47">
        <f t="shared" si="195"/>
        <v>6.0384923086004774</v>
      </c>
      <c r="DU46" s="47">
        <f t="shared" si="196"/>
        <v>73.661402423113302</v>
      </c>
      <c r="DV46" s="47">
        <f t="shared" si="197"/>
        <v>6.0384923086004774</v>
      </c>
      <c r="DW46" s="47">
        <f t="shared" si="198"/>
        <v>73.661402423113302</v>
      </c>
      <c r="DX46" s="47">
        <f t="shared" si="199"/>
        <v>28.654299614092931</v>
      </c>
      <c r="DY46" s="47">
        <f t="shared" si="200"/>
        <v>245.92902564827091</v>
      </c>
      <c r="DZ46" s="47">
        <f t="shared" si="201"/>
        <v>245.92902564827091</v>
      </c>
      <c r="EA46" s="47">
        <f t="shared" si="202"/>
        <v>417.63900090987113</v>
      </c>
      <c r="EB46" s="47">
        <f t="shared" si="203"/>
        <v>378.91905754622627</v>
      </c>
      <c r="EC46" s="47">
        <f t="shared" si="204"/>
        <v>136.34147668310948</v>
      </c>
      <c r="ED46" s="47">
        <f t="shared" si="205"/>
        <v>97.621533319464618</v>
      </c>
      <c r="EE46" s="76">
        <f t="shared" si="206"/>
        <v>2.5285067725422925</v>
      </c>
      <c r="EF46" s="70">
        <f t="shared" si="207"/>
        <v>3.9394297953444193</v>
      </c>
    </row>
    <row r="47" spans="1:136" x14ac:dyDescent="0.35">
      <c r="A47" s="30" t="str">
        <f>'Data_world regions'!C17</f>
        <v>Other Americans</v>
      </c>
      <c r="B47" s="30" t="str">
        <f>'Data_world regions'!D17</f>
        <v>OAM</v>
      </c>
      <c r="C47" s="30">
        <f>'Data_world regions'!E17</f>
        <v>0</v>
      </c>
      <c r="D47" s="30">
        <f>'Data_world regions'!F17</f>
        <v>0</v>
      </c>
      <c r="E47" s="31">
        <f>'Data_world regions'!G17</f>
        <v>3.7655849233238656E-2</v>
      </c>
      <c r="F47" s="30">
        <f>'Data_world regions'!H17</f>
        <v>288.58240798802058</v>
      </c>
      <c r="G47" s="30">
        <f>'Data_world regions'!I17</f>
        <v>1057.3659428681076</v>
      </c>
      <c r="H47" s="31">
        <f>'Data_world regions'!J17</f>
        <v>3294.3799066912093</v>
      </c>
      <c r="I47" s="30">
        <f>'Data_world regions'!K17</f>
        <v>1.2214137182566644</v>
      </c>
      <c r="J47" s="30">
        <f>'Data_world regions'!L17</f>
        <v>1.4558173080365133</v>
      </c>
      <c r="K47" s="30">
        <f>'Data_world regions'!M17</f>
        <v>1.4332172219355646</v>
      </c>
      <c r="L47" s="30">
        <f>'Data_world regions'!N17</f>
        <v>1.3573636869301091</v>
      </c>
      <c r="M47" s="30">
        <f>'Data_world regions'!O17</f>
        <v>1.4122767459727905</v>
      </c>
      <c r="N47" s="30">
        <f>'Data_world regions'!P17</f>
        <v>1.4914976017743731</v>
      </c>
      <c r="O47" s="31">
        <f>'Data_world regions'!Q17</f>
        <v>1.1137228775074144</v>
      </c>
      <c r="P47" s="31">
        <f>'Data_world regions'!R17</f>
        <v>1.1523297796771566</v>
      </c>
      <c r="Q47" s="31">
        <f>'Data_world regions'!S17</f>
        <v>1.2616787555283142</v>
      </c>
      <c r="R47" s="31">
        <f>'Data_world regions'!T17</f>
        <v>1.2456836932865163</v>
      </c>
      <c r="S47" s="31">
        <f>'Data_world regions'!U17</f>
        <v>1.2512749062312563</v>
      </c>
      <c r="T47" s="31">
        <f>'Data_world regions'!V17</f>
        <v>1.4406165004533094</v>
      </c>
      <c r="U47" s="30">
        <f>'Data_world regions'!W17</f>
        <v>1.279850123562374</v>
      </c>
      <c r="V47" s="30">
        <f>'Data_world regions'!X17</f>
        <v>1.1187398671588795</v>
      </c>
      <c r="W47" s="31">
        <f>'Data_world regions'!Y17</f>
        <v>1353.2699326303937</v>
      </c>
      <c r="X47" s="31">
        <f>'Data_world regions'!Z17</f>
        <v>1182.9174344625901</v>
      </c>
      <c r="Z47" s="79">
        <f t="shared" si="138"/>
        <v>4023.800811181753</v>
      </c>
      <c r="AA47" s="27">
        <f t="shared" si="139"/>
        <v>1177.6126404694091</v>
      </c>
      <c r="AB47" s="32">
        <f t="shared" si="208"/>
        <v>1177.6126404694091</v>
      </c>
      <c r="AC47" s="70">
        <f t="shared" si="141"/>
        <v>1177.6126404694091</v>
      </c>
      <c r="AD47" s="32">
        <f t="shared" si="209"/>
        <v>0</v>
      </c>
      <c r="AE47" s="32">
        <f t="shared" si="106"/>
        <v>0</v>
      </c>
      <c r="AF47" s="33">
        <f t="shared" si="107"/>
        <v>0</v>
      </c>
      <c r="AG47" s="70">
        <f t="shared" si="108"/>
        <v>0</v>
      </c>
      <c r="AH47" s="79">
        <f t="shared" si="109"/>
        <v>55.234111359883919</v>
      </c>
      <c r="AI47" s="32">
        <f t="shared" si="110"/>
        <v>0</v>
      </c>
      <c r="AJ47" s="33">
        <f t="shared" si="111"/>
        <v>0</v>
      </c>
      <c r="AK47" s="32">
        <f t="shared" si="112"/>
        <v>1019.0753858111515</v>
      </c>
      <c r="AL47" s="33">
        <f t="shared" si="113"/>
        <v>947.64321599954133</v>
      </c>
      <c r="AM47" s="32">
        <f t="shared" si="114"/>
        <v>-158.53725465825767</v>
      </c>
      <c r="AN47" s="33">
        <f t="shared" si="115"/>
        <v>-229.96942446986782</v>
      </c>
      <c r="AS47" s="76">
        <f t="shared" si="143"/>
        <v>-0.87073900384051606</v>
      </c>
      <c r="AT47" s="70">
        <f t="shared" si="144"/>
        <v>-2.6576898239947382</v>
      </c>
      <c r="AV47" s="35">
        <f t="shared" si="116"/>
        <v>4796.0152874087762</v>
      </c>
      <c r="AW47" s="35">
        <f t="shared" si="117"/>
        <v>1218.4342639833353</v>
      </c>
      <c r="AX47" s="37">
        <f t="shared" si="145"/>
        <v>1218.4342639833353</v>
      </c>
      <c r="AY47" s="39">
        <f t="shared" si="146"/>
        <v>1182.9174344625901</v>
      </c>
      <c r="AZ47" s="37">
        <f t="shared" si="118"/>
        <v>0</v>
      </c>
      <c r="BA47" s="37">
        <f t="shared" si="119"/>
        <v>0</v>
      </c>
      <c r="BB47" s="39">
        <f t="shared" si="120"/>
        <v>5.4501865849011953E-3</v>
      </c>
      <c r="BC47" s="39">
        <f t="shared" si="121"/>
        <v>0.46036090426239495</v>
      </c>
      <c r="BD47" s="35">
        <f t="shared" si="122"/>
        <v>52.346177498179166</v>
      </c>
      <c r="BE47" s="37">
        <f t="shared" si="147"/>
        <v>0</v>
      </c>
      <c r="BF47" s="39">
        <f t="shared" si="148"/>
        <v>35.516829520745205</v>
      </c>
      <c r="BG47" s="37">
        <f t="shared" si="149"/>
        <v>1140.7955313107659</v>
      </c>
      <c r="BH47" s="39">
        <f t="shared" si="150"/>
        <v>1089.6037609513646</v>
      </c>
      <c r="BI47" s="37">
        <f t="shared" si="151"/>
        <v>-77.638732672569404</v>
      </c>
      <c r="BJ47" s="39">
        <f t="shared" si="152"/>
        <v>-93.313673511225488</v>
      </c>
      <c r="BK47" s="76">
        <f t="shared" si="153"/>
        <v>-0.11386076748263418</v>
      </c>
      <c r="BL47" s="70">
        <f t="shared" si="154"/>
        <v>-0.30509907877897335</v>
      </c>
      <c r="BN47" s="41">
        <f t="shared" si="155"/>
        <v>4721.5620178683193</v>
      </c>
      <c r="BO47" s="41">
        <f t="shared" si="156"/>
        <v>1334.0561469358565</v>
      </c>
      <c r="BP47" s="41">
        <f t="shared" si="123"/>
        <v>1334.0561469358565</v>
      </c>
      <c r="BQ47" s="41">
        <f t="shared" si="124"/>
        <v>1182.9174344625901</v>
      </c>
      <c r="BR47" s="41">
        <f t="shared" si="125"/>
        <v>0</v>
      </c>
      <c r="BS47" s="41">
        <f t="shared" si="126"/>
        <v>0</v>
      </c>
      <c r="BT47" s="41">
        <f t="shared" si="127"/>
        <v>0.34490308827047228</v>
      </c>
      <c r="BU47" s="41">
        <f t="shared" si="128"/>
        <v>6.8460902430569348</v>
      </c>
      <c r="BV47" s="41">
        <f t="shared" si="129"/>
        <v>57.763620814049112</v>
      </c>
      <c r="BW47" s="41">
        <f t="shared" si="157"/>
        <v>0</v>
      </c>
      <c r="BX47" s="41">
        <f t="shared" si="158"/>
        <v>151.13871247326642</v>
      </c>
      <c r="BY47" s="41">
        <f t="shared" si="159"/>
        <v>1204.9060574651896</v>
      </c>
      <c r="BZ47" s="41">
        <f t="shared" si="160"/>
        <v>1136.6088800134848</v>
      </c>
      <c r="CA47" s="41">
        <f t="shared" si="161"/>
        <v>-129.1500894706669</v>
      </c>
      <c r="CB47" s="41">
        <f t="shared" si="162"/>
        <v>-46.308554449105259</v>
      </c>
      <c r="CC47" s="76">
        <f t="shared" si="163"/>
        <v>-0.43041168994255175</v>
      </c>
      <c r="CD47" s="70">
        <f t="shared" si="164"/>
        <v>0.22792312957557137</v>
      </c>
      <c r="CF47" s="43">
        <f t="shared" si="165"/>
        <v>4471.6716562948486</v>
      </c>
      <c r="CG47" s="43">
        <f t="shared" si="166"/>
        <v>1317.1435128673238</v>
      </c>
      <c r="CH47" s="43">
        <f t="shared" si="130"/>
        <v>1317.1435128673238</v>
      </c>
      <c r="CI47" s="43">
        <f t="shared" si="131"/>
        <v>1182.9174344625901</v>
      </c>
      <c r="CJ47" s="43">
        <f t="shared" si="132"/>
        <v>0</v>
      </c>
      <c r="CK47" s="43">
        <f t="shared" si="133"/>
        <v>0</v>
      </c>
      <c r="CL47" s="43">
        <f t="shared" si="134"/>
        <v>0.23471825322625239</v>
      </c>
      <c r="CM47" s="43">
        <f t="shared" si="135"/>
        <v>5.2460354056944869</v>
      </c>
      <c r="CN47" s="43">
        <f t="shared" si="136"/>
        <v>58.603194885636775</v>
      </c>
      <c r="CO47" s="43">
        <f t="shared" si="167"/>
        <v>0</v>
      </c>
      <c r="CP47" s="43">
        <f t="shared" si="168"/>
        <v>134.2260784047337</v>
      </c>
      <c r="CQ47" s="43">
        <f t="shared" si="169"/>
        <v>1162.5331663056963</v>
      </c>
      <c r="CR47" s="43">
        <f t="shared" si="170"/>
        <v>1092.0286981001282</v>
      </c>
      <c r="CS47" s="43">
        <f t="shared" si="171"/>
        <v>-154.61034656162747</v>
      </c>
      <c r="CT47" s="43">
        <f t="shared" si="172"/>
        <v>-90.888736362461941</v>
      </c>
      <c r="CU47" s="76">
        <f t="shared" si="173"/>
        <v>-0.71743377027264343</v>
      </c>
      <c r="CV47" s="70">
        <f t="shared" si="174"/>
        <v>-0.23388779978989516</v>
      </c>
      <c r="CX47" s="45">
        <f t="shared" si="175"/>
        <v>4652.5761346200061</v>
      </c>
      <c r="CY47" s="45">
        <f t="shared" si="176"/>
        <v>1323.0554710144152</v>
      </c>
      <c r="CZ47" s="45">
        <f t="shared" si="177"/>
        <v>1323.0554710144152</v>
      </c>
      <c r="DA47" s="45">
        <f t="shared" si="178"/>
        <v>1182.9174344625901</v>
      </c>
      <c r="DB47" s="45">
        <f t="shared" si="137"/>
        <v>0</v>
      </c>
      <c r="DC47" s="45">
        <f t="shared" si="179"/>
        <v>0</v>
      </c>
      <c r="DD47" s="45">
        <f t="shared" si="180"/>
        <v>0.27544691602788401</v>
      </c>
      <c r="DE47" s="45">
        <f t="shared" si="181"/>
        <v>5.8966199928030196</v>
      </c>
      <c r="DF47" s="45">
        <f t="shared" si="182"/>
        <v>57.710449644263157</v>
      </c>
      <c r="DG47" s="45">
        <f t="shared" si="183"/>
        <v>0</v>
      </c>
      <c r="DH47" s="45">
        <f t="shared" si="184"/>
        <v>140.13803655182505</v>
      </c>
      <c r="DI47" s="45">
        <f t="shared" si="185"/>
        <v>1175.2870882943284</v>
      </c>
      <c r="DJ47" s="45">
        <f t="shared" si="186"/>
        <v>1103.9675649338717</v>
      </c>
      <c r="DK47" s="45">
        <f t="shared" si="187"/>
        <v>-147.76838272008672</v>
      </c>
      <c r="DL47" s="45">
        <f t="shared" si="188"/>
        <v>-78.949869528718409</v>
      </c>
      <c r="DM47" s="76">
        <f t="shared" si="189"/>
        <v>-0.64586891837341476</v>
      </c>
      <c r="DN47" s="70">
        <f t="shared" si="190"/>
        <v>-8.5327933937701994E-2</v>
      </c>
      <c r="DP47" s="47">
        <f t="shared" si="191"/>
        <v>4913.5597301636217</v>
      </c>
      <c r="DQ47" s="47">
        <f t="shared" si="192"/>
        <v>1523.258824313167</v>
      </c>
      <c r="DR47" s="47">
        <f t="shared" si="193"/>
        <v>1353.2699326303937</v>
      </c>
      <c r="DS47" s="47">
        <f t="shared" si="194"/>
        <v>1182.9174344625901</v>
      </c>
      <c r="DT47" s="47">
        <f t="shared" si="195"/>
        <v>0.39169038229320319</v>
      </c>
      <c r="DU47" s="47">
        <f t="shared" si="196"/>
        <v>6.9126349095356288</v>
      </c>
      <c r="DV47" s="47">
        <f t="shared" si="197"/>
        <v>3.1435877303758928</v>
      </c>
      <c r="DW47" s="47">
        <f t="shared" si="198"/>
        <v>27.709715809964077</v>
      </c>
      <c r="DX47" s="47">
        <f t="shared" si="199"/>
        <v>64.654496237415501</v>
      </c>
      <c r="DY47" s="47">
        <f t="shared" si="200"/>
        <v>169.98889168277333</v>
      </c>
      <c r="DZ47" s="47">
        <f t="shared" si="201"/>
        <v>340.34138985057689</v>
      </c>
      <c r="EA47" s="47">
        <f t="shared" si="202"/>
        <v>1275.9895534652114</v>
      </c>
      <c r="EB47" s="47">
        <f t="shared" si="203"/>
        <v>1188.6233129277364</v>
      </c>
      <c r="EC47" s="47">
        <f t="shared" si="204"/>
        <v>-77.280379165182239</v>
      </c>
      <c r="ED47" s="47">
        <f t="shared" si="205"/>
        <v>5.7058784651462702</v>
      </c>
      <c r="EE47" s="76">
        <f t="shared" si="206"/>
        <v>7.5220282692624041E-2</v>
      </c>
      <c r="EF47" s="70">
        <f t="shared" si="207"/>
        <v>3.1409666460330627</v>
      </c>
    </row>
    <row r="48" spans="1:136" x14ac:dyDescent="0.35">
      <c r="A48" s="30" t="str">
        <f>'Data_world regions'!C18</f>
        <v>Africa</v>
      </c>
      <c r="B48" s="30" t="str">
        <f>'Data_world regions'!D18</f>
        <v>AFR</v>
      </c>
      <c r="C48" s="30">
        <f>'Data_world regions'!E18</f>
        <v>0</v>
      </c>
      <c r="D48" s="30">
        <f>'Data_world regions'!F18</f>
        <v>0</v>
      </c>
      <c r="E48" s="31">
        <f>'Data_world regions'!G18</f>
        <v>3.3717403533832312E-2</v>
      </c>
      <c r="F48" s="30">
        <f>'Data_world regions'!H18</f>
        <v>369.52382776757668</v>
      </c>
      <c r="G48" s="30">
        <f>'Data_world regions'!I18</f>
        <v>1353.9353049404019</v>
      </c>
      <c r="H48" s="31">
        <f>'Data_world regions'!J18</f>
        <v>2411.8423218423864</v>
      </c>
      <c r="I48" s="30">
        <f>'Data_world regions'!K18</f>
        <v>1.3263572562220902</v>
      </c>
      <c r="J48" s="30">
        <f>'Data_world regions'!L18</f>
        <v>1.7666823095078694</v>
      </c>
      <c r="K48" s="30">
        <f>'Data_world regions'!M18</f>
        <v>1.6994169047912171</v>
      </c>
      <c r="L48" s="30">
        <f>'Data_world regions'!N18</f>
        <v>1.5805832526128178</v>
      </c>
      <c r="M48" s="30">
        <f>'Data_world regions'!O18</f>
        <v>1.6446826058458313</v>
      </c>
      <c r="N48" s="30">
        <f>'Data_world regions'!P18</f>
        <v>1.8339270661341445</v>
      </c>
      <c r="O48" s="31">
        <f>'Data_world regions'!Q18</f>
        <v>1.3070253557120981</v>
      </c>
      <c r="P48" s="31">
        <f>'Data_world regions'!R18</f>
        <v>1.2084588740143432</v>
      </c>
      <c r="Q48" s="31">
        <f>'Data_world regions'!S18</f>
        <v>1.2955776667494447</v>
      </c>
      <c r="R48" s="31">
        <f>'Data_world regions'!T18</f>
        <v>1.3384436079984463</v>
      </c>
      <c r="S48" s="31">
        <f>'Data_world regions'!U18</f>
        <v>1.3294974920764482</v>
      </c>
      <c r="T48" s="31">
        <f>'Data_world regions'!V18</f>
        <v>1.3338270838610413</v>
      </c>
      <c r="U48" s="30">
        <f>'Data_world regions'!W18</f>
        <v>1.4757193281194212</v>
      </c>
      <c r="V48" s="30">
        <f>'Data_world regions'!X18</f>
        <v>1.0899245214980713</v>
      </c>
      <c r="W48" s="31">
        <f>'Data_world regions'!Y18</f>
        <v>1998.0284985238136</v>
      </c>
      <c r="X48" s="31">
        <f>'Data_world regions'!Z18</f>
        <v>1475.6872893765128</v>
      </c>
      <c r="Z48" s="79">
        <f t="shared" si="138"/>
        <v>3198.9645644391831</v>
      </c>
      <c r="AA48" s="27">
        <f t="shared" si="139"/>
        <v>1769.6277735508968</v>
      </c>
      <c r="AB48" s="32">
        <f t="shared" si="208"/>
        <v>1769.6277735508968</v>
      </c>
      <c r="AC48" s="70">
        <f t="shared" si="141"/>
        <v>1475.6872893765128</v>
      </c>
      <c r="AD48" s="32">
        <f t="shared" si="209"/>
        <v>0</v>
      </c>
      <c r="AE48" s="32">
        <f t="shared" si="106"/>
        <v>0</v>
      </c>
      <c r="AF48" s="33">
        <f t="shared" si="107"/>
        <v>0.87473784641725261</v>
      </c>
      <c r="AG48" s="70">
        <f t="shared" si="108"/>
        <v>8.9277036697500609</v>
      </c>
      <c r="AH48" s="79">
        <f t="shared" si="109"/>
        <v>98.376081967595738</v>
      </c>
      <c r="AI48" s="32">
        <f t="shared" si="110"/>
        <v>0</v>
      </c>
      <c r="AJ48" s="33">
        <f t="shared" si="111"/>
        <v>293.94048417438398</v>
      </c>
      <c r="AK48" s="32">
        <f t="shared" si="112"/>
        <v>1487.2610698022095</v>
      </c>
      <c r="AL48" s="33">
        <f t="shared" si="113"/>
        <v>1360.0350346674431</v>
      </c>
      <c r="AM48" s="32">
        <f t="shared" si="114"/>
        <v>-282.36670374868731</v>
      </c>
      <c r="AN48" s="33">
        <f t="shared" si="115"/>
        <v>-115.65225470906967</v>
      </c>
      <c r="AS48" s="76">
        <f t="shared" si="143"/>
        <v>-1.5508512675449921</v>
      </c>
      <c r="AT48" s="70">
        <f t="shared" si="144"/>
        <v>0.36193288109801403</v>
      </c>
      <c r="AV48" s="35">
        <f t="shared" si="116"/>
        <v>4260.9591633213295</v>
      </c>
      <c r="AW48" s="35">
        <f t="shared" si="117"/>
        <v>1636.1751340965445</v>
      </c>
      <c r="AX48" s="37">
        <f t="shared" si="145"/>
        <v>1636.1751340965445</v>
      </c>
      <c r="AY48" s="39">
        <f t="shared" si="146"/>
        <v>1475.6872893765128</v>
      </c>
      <c r="AZ48" s="37">
        <f t="shared" si="118"/>
        <v>0</v>
      </c>
      <c r="BA48" s="37">
        <f t="shared" si="119"/>
        <v>0</v>
      </c>
      <c r="BB48" s="39">
        <f t="shared" si="120"/>
        <v>0.22183412422720264</v>
      </c>
      <c r="BC48" s="39">
        <f t="shared" si="121"/>
        <v>4.1467462775300232</v>
      </c>
      <c r="BD48" s="35">
        <f t="shared" si="122"/>
        <v>78.811285787366671</v>
      </c>
      <c r="BE48" s="37">
        <f t="shared" si="147"/>
        <v>0</v>
      </c>
      <c r="BF48" s="39">
        <f t="shared" si="148"/>
        <v>160.48784472003172</v>
      </c>
      <c r="BG48" s="37">
        <f t="shared" si="149"/>
        <v>1519.2839179415605</v>
      </c>
      <c r="BH48" s="39">
        <f t="shared" si="150"/>
        <v>1442.210682863481</v>
      </c>
      <c r="BI48" s="37">
        <f>BG48-AX48</f>
        <v>-116.89121615498402</v>
      </c>
      <c r="BJ48" s="39">
        <f>BH48-AY48</f>
        <v>-33.476606513031811</v>
      </c>
      <c r="BK48" s="76">
        <f t="shared" si="153"/>
        <v>-0.17142633741221935</v>
      </c>
      <c r="BL48" s="70">
        <f t="shared" si="154"/>
        <v>0.18885071956317029</v>
      </c>
      <c r="BN48" s="41">
        <f t="shared" si="155"/>
        <v>4098.7256134298505</v>
      </c>
      <c r="BO48" s="41">
        <f t="shared" si="156"/>
        <v>1754.1283433043839</v>
      </c>
      <c r="BP48" s="41">
        <f t="shared" si="123"/>
        <v>1754.1283433043839</v>
      </c>
      <c r="BQ48" s="41">
        <f t="shared" si="124"/>
        <v>1475.6872893765128</v>
      </c>
      <c r="BR48" s="41">
        <f t="shared" si="125"/>
        <v>0</v>
      </c>
      <c r="BS48" s="41">
        <f t="shared" si="126"/>
        <v>0</v>
      </c>
      <c r="BT48" s="41">
        <f t="shared" si="127"/>
        <v>0.96957195340288338</v>
      </c>
      <c r="BU48" s="41">
        <f t="shared" si="128"/>
        <v>10.446433164852696</v>
      </c>
      <c r="BV48" s="41">
        <f t="shared" si="129"/>
        <v>86.148804274855038</v>
      </c>
      <c r="BW48" s="41">
        <f t="shared" si="157"/>
        <v>0</v>
      </c>
      <c r="BX48" s="41">
        <f t="shared" si="158"/>
        <v>278.44105392787105</v>
      </c>
      <c r="BY48" s="41">
        <f t="shared" si="159"/>
        <v>1561.5135864195031</v>
      </c>
      <c r="BZ48" s="41">
        <f t="shared" si="160"/>
        <v>1459.6550102102203</v>
      </c>
      <c r="CA48" s="41">
        <f>BY48-BP48</f>
        <v>-192.61475688488076</v>
      </c>
      <c r="CB48" s="41">
        <f>BZ48-BQ48</f>
        <v>-16.032279166292483</v>
      </c>
      <c r="CC48" s="76">
        <f t="shared" si="163"/>
        <v>-0.64191703899302843</v>
      </c>
      <c r="CD48" s="70">
        <f t="shared" si="164"/>
        <v>0.95955849634090806</v>
      </c>
      <c r="CF48" s="43">
        <f t="shared" si="165"/>
        <v>3812.1175818468896</v>
      </c>
      <c r="CG48" s="43">
        <f t="shared" si="166"/>
        <v>1812.1660545409081</v>
      </c>
      <c r="CH48" s="43">
        <f t="shared" si="130"/>
        <v>1812.1660545409081</v>
      </c>
      <c r="CI48" s="43">
        <f t="shared" si="131"/>
        <v>1475.6872893765128</v>
      </c>
      <c r="CJ48" s="43">
        <f t="shared" si="132"/>
        <v>0</v>
      </c>
      <c r="CK48" s="43">
        <f t="shared" si="133"/>
        <v>0</v>
      </c>
      <c r="CL48" s="43">
        <f t="shared" si="134"/>
        <v>1.4910678769597332</v>
      </c>
      <c r="CM48" s="43">
        <f t="shared" si="135"/>
        <v>13.294163239970583</v>
      </c>
      <c r="CN48" s="43">
        <f t="shared" si="136"/>
        <v>92.284158820738242</v>
      </c>
      <c r="CO48" s="43">
        <f t="shared" si="167"/>
        <v>0</v>
      </c>
      <c r="CP48" s="43">
        <f t="shared" si="168"/>
        <v>336.47876516439533</v>
      </c>
      <c r="CQ48" s="43">
        <f t="shared" si="169"/>
        <v>1568.6966361027744</v>
      </c>
      <c r="CR48" s="43">
        <f t="shared" si="170"/>
        <v>1457.6711953541671</v>
      </c>
      <c r="CS48" s="43">
        <f t="shared" si="171"/>
        <v>-243.46941843813374</v>
      </c>
      <c r="CT48" s="43">
        <f t="shared" si="172"/>
        <v>-18.016094022345669</v>
      </c>
      <c r="CU48" s="76">
        <f t="shared" si="173"/>
        <v>-1.1297638657483626</v>
      </c>
      <c r="CV48" s="70">
        <f t="shared" si="174"/>
        <v>1.4777860855932021</v>
      </c>
      <c r="CX48" s="45">
        <f t="shared" si="175"/>
        <v>3966.715114776996</v>
      </c>
      <c r="CY48" s="45">
        <f t="shared" si="176"/>
        <v>1800.0535923520254</v>
      </c>
      <c r="CZ48" s="45">
        <f t="shared" si="177"/>
        <v>1800.0535923520254</v>
      </c>
      <c r="DA48" s="45">
        <f t="shared" si="178"/>
        <v>1475.6872893765128</v>
      </c>
      <c r="DB48" s="45">
        <f t="shared" si="137"/>
        <v>0</v>
      </c>
      <c r="DC48" s="45">
        <f t="shared" si="179"/>
        <v>0</v>
      </c>
      <c r="DD48" s="45">
        <f t="shared" si="180"/>
        <v>1.4087095427696552</v>
      </c>
      <c r="DE48" s="45">
        <f t="shared" si="181"/>
        <v>13.028876888694599</v>
      </c>
      <c r="DF48" s="45">
        <f t="shared" si="182"/>
        <v>89.863274711310808</v>
      </c>
      <c r="DG48" s="45">
        <f t="shared" si="183"/>
        <v>0</v>
      </c>
      <c r="DH48" s="45">
        <f t="shared" si="184"/>
        <v>324.36630297551255</v>
      </c>
      <c r="DI48" s="45">
        <f t="shared" si="185"/>
        <v>1569.9574684806132</v>
      </c>
      <c r="DJ48" s="45">
        <f t="shared" si="186"/>
        <v>1458.9029547915559</v>
      </c>
      <c r="DK48" s="45">
        <f t="shared" si="187"/>
        <v>-230.09612387141215</v>
      </c>
      <c r="DL48" s="45">
        <f t="shared" si="188"/>
        <v>-16.784334584956923</v>
      </c>
      <c r="DM48" s="76">
        <f t="shared" si="189"/>
        <v>-1.0057086090483602</v>
      </c>
      <c r="DN48" s="70">
        <f t="shared" si="190"/>
        <v>1.3970035405538688</v>
      </c>
      <c r="DP48" s="47">
        <f t="shared" si="191"/>
        <v>4423.1429132745707</v>
      </c>
      <c r="DQ48" s="47">
        <f t="shared" si="192"/>
        <v>1805.9155795251661</v>
      </c>
      <c r="DR48" s="47">
        <f t="shared" si="193"/>
        <v>1805.9155795251661</v>
      </c>
      <c r="DS48" s="47">
        <f t="shared" si="194"/>
        <v>1475.6872893765128</v>
      </c>
      <c r="DT48" s="47">
        <f t="shared" si="195"/>
        <v>0</v>
      </c>
      <c r="DU48" s="47">
        <f t="shared" si="196"/>
        <v>0</v>
      </c>
      <c r="DV48" s="47">
        <f t="shared" si="197"/>
        <v>1.6467703302395094</v>
      </c>
      <c r="DW48" s="47">
        <f t="shared" si="198"/>
        <v>14.960290011781341</v>
      </c>
      <c r="DX48" s="47">
        <f t="shared" si="199"/>
        <v>85.377664308225562</v>
      </c>
      <c r="DY48" s="47">
        <f t="shared" si="200"/>
        <v>0</v>
      </c>
      <c r="DZ48" s="47">
        <f t="shared" si="201"/>
        <v>330.22829014865329</v>
      </c>
      <c r="EA48" s="47">
        <f t="shared" si="202"/>
        <v>1479.3911453593735</v>
      </c>
      <c r="EB48" s="47">
        <f t="shared" si="203"/>
        <v>1364.0221302008633</v>
      </c>
      <c r="EC48" s="47">
        <f t="shared" si="204"/>
        <v>-326.52443416579263</v>
      </c>
      <c r="ED48" s="47">
        <f t="shared" si="205"/>
        <v>-111.66515917564948</v>
      </c>
      <c r="EE48" s="76">
        <f t="shared" si="206"/>
        <v>-3.1839574733991203</v>
      </c>
      <c r="EF48" s="70">
        <f t="shared" si="207"/>
        <v>0.95454146470860923</v>
      </c>
    </row>
    <row r="49" spans="1:136" x14ac:dyDescent="0.35">
      <c r="A49" s="30" t="str">
        <f>'Data_world regions'!C19</f>
        <v>Rest Europe (nonETS)</v>
      </c>
      <c r="B49" s="30" t="str">
        <f>'Data_world regions'!D19</f>
        <v>REU</v>
      </c>
      <c r="C49" s="30">
        <f>'Data_world regions'!E19</f>
        <v>0</v>
      </c>
      <c r="D49" s="30">
        <f>'Data_world regions'!F19</f>
        <v>0</v>
      </c>
      <c r="E49" s="31">
        <f>'Data_world regions'!G19</f>
        <v>0.23309856322810685</v>
      </c>
      <c r="F49" s="30">
        <f>'Data_world regions'!H19</f>
        <v>95.861342948326367</v>
      </c>
      <c r="G49" s="30">
        <f>'Data_world regions'!I19</f>
        <v>351.23596056266786</v>
      </c>
      <c r="H49" s="31">
        <f>'Data_world regions'!J19</f>
        <v>341.41864866316308</v>
      </c>
      <c r="I49" s="30">
        <f>'Data_world regions'!K19</f>
        <v>1.1764228653088502</v>
      </c>
      <c r="J49" s="30">
        <f>'Data_world regions'!L19</f>
        <v>1.3891991750881394</v>
      </c>
      <c r="K49" s="30">
        <f>'Data_world regions'!M19</f>
        <v>1.3375567692711523</v>
      </c>
      <c r="L49" s="30">
        <f>'Data_world regions'!N19</f>
        <v>1.2398470082518664</v>
      </c>
      <c r="M49" s="30">
        <f>'Data_world regions'!O19</f>
        <v>1.3330343608818602</v>
      </c>
      <c r="N49" s="30">
        <f>'Data_world regions'!P19</f>
        <v>1.4503110773426875</v>
      </c>
      <c r="O49" s="31">
        <f>'Data_world regions'!Q19</f>
        <v>1.234033450224737</v>
      </c>
      <c r="P49" s="31">
        <f>'Data_world regions'!R19</f>
        <v>1.0487494457892137</v>
      </c>
      <c r="Q49" s="31">
        <f>'Data_world regions'!S19</f>
        <v>1.0499151233681128</v>
      </c>
      <c r="R49" s="31">
        <f>'Data_world regions'!T19</f>
        <v>1.1214862577215474</v>
      </c>
      <c r="S49" s="31">
        <f>'Data_world regions'!U19</f>
        <v>1.064091792011747</v>
      </c>
      <c r="T49" s="31">
        <f>'Data_world regions'!V19</f>
        <v>1.1453891102500837</v>
      </c>
      <c r="U49" s="30">
        <f>'Data_world regions'!W19</f>
        <v>0.97047669209528398</v>
      </c>
      <c r="V49" s="30">
        <f>'Data_world regions'!X19</f>
        <v>0.94336249666276284</v>
      </c>
      <c r="W49" s="31">
        <f>'Data_world regions'!Y19</f>
        <v>340.86631315176754</v>
      </c>
      <c r="X49" s="31">
        <f>'Data_world regions'!Z19</f>
        <v>331.34283267414207</v>
      </c>
      <c r="Z49" s="79">
        <f t="shared" si="138"/>
        <v>401.65270493019398</v>
      </c>
      <c r="AA49" s="27">
        <f t="shared" si="139"/>
        <v>433.43692425614864</v>
      </c>
      <c r="AB49" s="32">
        <f t="shared" si="208"/>
        <v>340.86631315176754</v>
      </c>
      <c r="AC49" s="70">
        <f t="shared" si="141"/>
        <v>331.34283267414207</v>
      </c>
      <c r="AD49" s="32">
        <f t="shared" si="209"/>
        <v>0.39532827110125512</v>
      </c>
      <c r="AE49" s="32">
        <f t="shared" si="106"/>
        <v>12.811677476844874</v>
      </c>
      <c r="AF49" s="33">
        <f t="shared" si="107"/>
        <v>0.53032281166228734</v>
      </c>
      <c r="AG49" s="70">
        <f t="shared" si="108"/>
        <v>15.583354632318997</v>
      </c>
      <c r="AH49" s="79">
        <f t="shared" si="109"/>
        <v>25.86247787643536</v>
      </c>
      <c r="AI49" s="32">
        <f t="shared" si="110"/>
        <v>92.570611104381101</v>
      </c>
      <c r="AJ49" s="33">
        <f t="shared" si="111"/>
        <v>102.09409158200657</v>
      </c>
      <c r="AK49" s="32">
        <f t="shared" si="112"/>
        <v>359.20442299483739</v>
      </c>
      <c r="AL49" s="33">
        <f t="shared" si="113"/>
        <v>325.757466649663</v>
      </c>
      <c r="AM49" s="32">
        <f t="shared" si="114"/>
        <v>18.338109843069844</v>
      </c>
      <c r="AN49" s="33">
        <f t="shared" si="115"/>
        <v>-5.5853660244790717</v>
      </c>
      <c r="AS49" s="76">
        <f t="shared" si="143"/>
        <v>0.35493315730322572</v>
      </c>
      <c r="AT49" s="70">
        <f t="shared" si="144"/>
        <v>0.52538742476624278</v>
      </c>
      <c r="AV49" s="35">
        <f t="shared" si="116"/>
        <v>474.29850508257346</v>
      </c>
      <c r="AW49" s="35">
        <f t="shared" si="117"/>
        <v>368.35851898134001</v>
      </c>
      <c r="AX49" s="37">
        <f t="shared" si="145"/>
        <v>340.86631315176754</v>
      </c>
      <c r="AY49" s="39">
        <f t="shared" si="146"/>
        <v>331.34283267414207</v>
      </c>
      <c r="AZ49" s="37">
        <f t="shared" si="118"/>
        <v>1.6930846656580099E-2</v>
      </c>
      <c r="BA49" s="37">
        <f t="shared" si="119"/>
        <v>1.8475250870959368</v>
      </c>
      <c r="BB49" s="39">
        <f t="shared" si="120"/>
        <v>4.1324473986590504E-2</v>
      </c>
      <c r="BC49" s="39">
        <f t="shared" si="121"/>
        <v>3.3492131128111513</v>
      </c>
      <c r="BD49" s="35">
        <f t="shared" si="122"/>
        <v>20.226205462736658</v>
      </c>
      <c r="BE49" s="37">
        <f t="shared" si="147"/>
        <v>27.49220582957247</v>
      </c>
      <c r="BF49" s="39">
        <f t="shared" si="148"/>
        <v>37.015686307197939</v>
      </c>
      <c r="BG49" s="37">
        <f t="shared" si="149"/>
        <v>338.35944294648539</v>
      </c>
      <c r="BH49" s="39">
        <f t="shared" si="150"/>
        <v>318.57929251761209</v>
      </c>
      <c r="BI49" s="37">
        <f t="shared" ref="BI49" si="210">BG49-AX49</f>
        <v>-2.506870205282155</v>
      </c>
      <c r="BJ49" s="39">
        <f t="shared" ref="BJ49" si="211">BH49-AY49</f>
        <v>-12.763540156529984</v>
      </c>
      <c r="BK49" s="76">
        <f t="shared" si="153"/>
        <v>1.6482850996770552E-2</v>
      </c>
      <c r="BL49" s="70">
        <f t="shared" si="154"/>
        <v>2.3196023435142502E-2</v>
      </c>
      <c r="BN49" s="41">
        <f t="shared" si="155"/>
        <v>456.66682467482303</v>
      </c>
      <c r="BO49" s="41">
        <f t="shared" si="156"/>
        <v>368.767946865471</v>
      </c>
      <c r="BP49" s="41">
        <f t="shared" si="123"/>
        <v>340.86631315176754</v>
      </c>
      <c r="BQ49" s="41">
        <f t="shared" si="124"/>
        <v>331.34283267414207</v>
      </c>
      <c r="BR49" s="41">
        <f t="shared" si="125"/>
        <v>1.700284625911376E-2</v>
      </c>
      <c r="BS49" s="41">
        <f t="shared" si="126"/>
        <v>1.8281559890268795</v>
      </c>
      <c r="BT49" s="41">
        <f t="shared" si="127"/>
        <v>4.1031947561102823E-2</v>
      </c>
      <c r="BU49" s="41">
        <f t="shared" si="128"/>
        <v>3.2891240372441848</v>
      </c>
      <c r="BV49" s="41">
        <f t="shared" si="129"/>
        <v>20.635880693286271</v>
      </c>
      <c r="BW49" s="41">
        <f t="shared" si="157"/>
        <v>27.901633713703461</v>
      </c>
      <c r="BX49" s="41">
        <f t="shared" si="158"/>
        <v>37.42511419132893</v>
      </c>
      <c r="BY49" s="41">
        <f t="shared" si="159"/>
        <v>322.62946384995121</v>
      </c>
      <c r="BZ49" s="41">
        <f t="shared" si="160"/>
        <v>298.2305015667767</v>
      </c>
      <c r="CA49" s="41">
        <f t="shared" ref="CA49" si="212">BY49-BP49</f>
        <v>-18.236849301816335</v>
      </c>
      <c r="CB49" s="41">
        <f t="shared" ref="CB49" si="213">BZ49-BQ49</f>
        <v>-33.112331107365378</v>
      </c>
      <c r="CC49" s="76">
        <f t="shared" si="163"/>
        <v>-1.4283834222234976E-2</v>
      </c>
      <c r="CD49" s="70">
        <f t="shared" si="164"/>
        <v>-0.11216512731810269</v>
      </c>
      <c r="CF49" s="43">
        <f t="shared" si="165"/>
        <v>423.30689010641782</v>
      </c>
      <c r="CG49" s="43">
        <f t="shared" si="166"/>
        <v>393.90630298865938</v>
      </c>
      <c r="CH49" s="43">
        <f t="shared" si="130"/>
        <v>340.86631315176754</v>
      </c>
      <c r="CI49" s="43">
        <f t="shared" si="131"/>
        <v>331.34283267414207</v>
      </c>
      <c r="CJ49" s="43">
        <f t="shared" si="132"/>
        <v>9.4889764855764724E-2</v>
      </c>
      <c r="CK49" s="43">
        <f t="shared" si="133"/>
        <v>5.3670691763461305</v>
      </c>
      <c r="CL49" s="43">
        <f t="shared" si="134"/>
        <v>0.15572974242917195</v>
      </c>
      <c r="CM49" s="43">
        <f t="shared" si="135"/>
        <v>7.4674442600270634</v>
      </c>
      <c r="CN49" s="43">
        <f t="shared" si="136"/>
        <v>22.894693598257625</v>
      </c>
      <c r="CO49" s="43">
        <f t="shared" si="167"/>
        <v>53.039989836891834</v>
      </c>
      <c r="CP49" s="43">
        <f t="shared" si="168"/>
        <v>62.563470314517303</v>
      </c>
      <c r="CQ49" s="43">
        <f t="shared" si="169"/>
        <v>333.50419490297116</v>
      </c>
      <c r="CR49" s="43">
        <f t="shared" si="170"/>
        <v>305.95999360089837</v>
      </c>
      <c r="CS49" s="43">
        <f t="shared" si="171"/>
        <v>-7.3621182487963779</v>
      </c>
      <c r="CT49" s="43">
        <f t="shared" si="172"/>
        <v>-25.382839073243701</v>
      </c>
      <c r="CU49" s="76">
        <f t="shared" si="173"/>
        <v>8.8897722534025031E-2</v>
      </c>
      <c r="CV49" s="70">
        <f t="shared" si="174"/>
        <v>5.8028995616378087E-2</v>
      </c>
      <c r="CX49" s="45">
        <f t="shared" si="175"/>
        <v>455.122790113848</v>
      </c>
      <c r="CY49" s="45">
        <f t="shared" si="176"/>
        <v>373.7473026940965</v>
      </c>
      <c r="CZ49" s="45">
        <f t="shared" si="177"/>
        <v>340.86631315176754</v>
      </c>
      <c r="DA49" s="45">
        <f t="shared" si="178"/>
        <v>331.34283267414207</v>
      </c>
      <c r="DB49" s="45">
        <f t="shared" si="137"/>
        <v>2.6998938070497962E-2</v>
      </c>
      <c r="DC49" s="45">
        <f t="shared" si="179"/>
        <v>2.4633326228586752</v>
      </c>
      <c r="DD49" s="45">
        <f t="shared" si="180"/>
        <v>5.7909119913480585E-2</v>
      </c>
      <c r="DE49" s="45">
        <f t="shared" si="181"/>
        <v>4.0969114732170979</v>
      </c>
      <c r="DF49" s="45">
        <f t="shared" si="182"/>
        <v>20.949967318038436</v>
      </c>
      <c r="DG49" s="45">
        <f t="shared" si="183"/>
        <v>32.880989542328962</v>
      </c>
      <c r="DH49" s="45">
        <f t="shared" si="184"/>
        <v>42.404470019954431</v>
      </c>
      <c r="DI49" s="45">
        <f t="shared" si="185"/>
        <v>320.1046295264486</v>
      </c>
      <c r="DJ49" s="45">
        <f t="shared" si="186"/>
        <v>294.21431515964349</v>
      </c>
      <c r="DK49" s="45">
        <f t="shared" si="187"/>
        <v>-20.761683625318938</v>
      </c>
      <c r="DL49" s="45">
        <f t="shared" si="188"/>
        <v>-37.128517514498583</v>
      </c>
      <c r="DM49" s="76">
        <f t="shared" si="189"/>
        <v>-1.8887136205630442E-2</v>
      </c>
      <c r="DN49" s="70">
        <f t="shared" si="190"/>
        <v>-0.15302100471389141</v>
      </c>
      <c r="DP49" s="47">
        <f t="shared" si="191"/>
        <v>495.16324816755656</v>
      </c>
      <c r="DQ49" s="47">
        <f t="shared" si="192"/>
        <v>402.30184435670765</v>
      </c>
      <c r="DR49" s="47">
        <f t="shared" si="193"/>
        <v>340.86631315176754</v>
      </c>
      <c r="DS49" s="47">
        <f t="shared" si="194"/>
        <v>331.34283267414207</v>
      </c>
      <c r="DT49" s="47">
        <f t="shared" si="195"/>
        <v>0.16536469945455126</v>
      </c>
      <c r="DU49" s="47">
        <f t="shared" si="196"/>
        <v>8.0750355475686408</v>
      </c>
      <c r="DV49" s="47">
        <f t="shared" si="197"/>
        <v>0.25480422599265184</v>
      </c>
      <c r="DW49" s="47">
        <f t="shared" si="198"/>
        <v>10.772594767773089</v>
      </c>
      <c r="DX49" s="47">
        <f t="shared" si="199"/>
        <v>21.619587149527458</v>
      </c>
      <c r="DY49" s="47">
        <f t="shared" si="200"/>
        <v>61.435531204940105</v>
      </c>
      <c r="DZ49" s="47">
        <f t="shared" si="201"/>
        <v>70.959011682565574</v>
      </c>
      <c r="EA49" s="47">
        <f t="shared" si="202"/>
        <v>319.61835192228909</v>
      </c>
      <c r="EB49" s="47">
        <f t="shared" si="203"/>
        <v>290.40426533671518</v>
      </c>
      <c r="EC49" s="47">
        <f t="shared" si="204"/>
        <v>-21.247961229478449</v>
      </c>
      <c r="ED49" s="47">
        <f t="shared" si="205"/>
        <v>-40.938567337426889</v>
      </c>
      <c r="EE49" s="76">
        <f t="shared" si="206"/>
        <v>9.2340576232971816E-2</v>
      </c>
      <c r="EF49" s="70">
        <f t="shared" si="207"/>
        <v>-9.7492973324919574E-2</v>
      </c>
    </row>
    <row r="50" spans="1:136" x14ac:dyDescent="0.35">
      <c r="Z50" s="79"/>
      <c r="AC50" s="70"/>
      <c r="AG50" s="70"/>
      <c r="AH50" s="79"/>
      <c r="AS50" s="76"/>
      <c r="AT50" s="70"/>
      <c r="BK50" s="76"/>
      <c r="BL50" s="70"/>
      <c r="CC50" s="76"/>
      <c r="CD50" s="70"/>
      <c r="CU50" s="76"/>
      <c r="CV50" s="70"/>
      <c r="DM50" s="76"/>
      <c r="DN50" s="70"/>
      <c r="EE50" s="76"/>
      <c r="EF50" s="70"/>
    </row>
    <row r="51" spans="1:136" x14ac:dyDescent="0.35">
      <c r="Z51" s="79"/>
      <c r="AC51" s="70"/>
      <c r="AG51" s="70"/>
      <c r="AH51" s="79"/>
      <c r="AS51" s="76">
        <f>SUM(AS34:AS49)</f>
        <v>19.020876474346675</v>
      </c>
      <c r="AT51" s="70">
        <f>SUM(AT34:AT50)</f>
        <v>58.05596123105456</v>
      </c>
      <c r="BK51" s="76">
        <f>SUM(BK34:BK49)</f>
        <v>2.0576758072058294</v>
      </c>
      <c r="BL51" s="70">
        <f>SUM(BL34:BL50)</f>
        <v>9.4015128990699957</v>
      </c>
      <c r="CC51" s="76">
        <f>SUM(CC34:CC49)</f>
        <v>7.6755872142331185</v>
      </c>
      <c r="CD51" s="70">
        <f>SUM(CD34:CD50)</f>
        <v>27.427161031326193</v>
      </c>
      <c r="CU51" s="76">
        <f>SUM(CU34:CU49)</f>
        <v>14.238080784391046</v>
      </c>
      <c r="CV51" s="70">
        <f>SUM(CV34:CV50)</f>
        <v>43.948901272979633</v>
      </c>
      <c r="DM51" s="76">
        <f>SUM(DM34:DM49)</f>
        <v>11.831112361763459</v>
      </c>
      <c r="DN51" s="70">
        <f>SUM(DN34:DN50)</f>
        <v>38.559929612435035</v>
      </c>
      <c r="EE51" s="76">
        <f>SUM(EE34:EE49)</f>
        <v>41.070155737060375</v>
      </c>
      <c r="EF51" s="70">
        <f>SUM(EF34:EF50)</f>
        <v>101.79629786190007</v>
      </c>
    </row>
    <row r="52" spans="1:136" x14ac:dyDescent="0.35">
      <c r="Z52" s="79"/>
      <c r="AC52" s="70"/>
      <c r="AG52" s="70"/>
      <c r="AH52" s="79"/>
      <c r="AS52" s="76" t="s">
        <v>555</v>
      </c>
      <c r="AT52" s="70"/>
      <c r="BK52" s="76" t="s">
        <v>555</v>
      </c>
      <c r="BL52" s="70"/>
      <c r="CC52" s="76" t="s">
        <v>555</v>
      </c>
      <c r="CD52" s="70"/>
      <c r="CU52" s="76" t="s">
        <v>555</v>
      </c>
      <c r="CV52" s="70"/>
      <c r="DM52" s="76" t="s">
        <v>555</v>
      </c>
      <c r="DN52" s="70"/>
      <c r="EE52" s="76" t="s">
        <v>555</v>
      </c>
      <c r="EF52" s="70"/>
    </row>
    <row r="53" spans="1:136" ht="15" thickBot="1" x14ac:dyDescent="0.4">
      <c r="Z53" s="80"/>
      <c r="AA53" s="83"/>
      <c r="AB53" s="81"/>
      <c r="AC53" s="74"/>
      <c r="AD53" s="81"/>
      <c r="AE53" s="81"/>
      <c r="AF53" s="73"/>
      <c r="AG53" s="74"/>
      <c r="AH53" s="80"/>
      <c r="AI53" s="81"/>
      <c r="AJ53" s="73"/>
      <c r="AK53" s="81"/>
      <c r="AL53" s="73"/>
      <c r="AM53" s="81"/>
      <c r="AN53" s="73"/>
      <c r="AO53" s="73"/>
      <c r="AP53" s="73"/>
      <c r="AQ53" s="73"/>
      <c r="AR53" s="73"/>
      <c r="AS53" s="77">
        <f>SUM(AD34:AD49)</f>
        <v>225.82353457128286</v>
      </c>
      <c r="AT53" s="74">
        <f>SUM(AF34:AF50)</f>
        <v>266.57800352729055</v>
      </c>
      <c r="BK53" s="77">
        <f>SUM(AZ34:AZ49)</f>
        <v>33.40354491591058</v>
      </c>
      <c r="BL53" s="74">
        <f>SUM(BB34:BB50)</f>
        <v>62.798747856504463</v>
      </c>
      <c r="CC53" s="77">
        <f>SUM(BR34:BR49)</f>
        <v>78.745143906039871</v>
      </c>
      <c r="CD53" s="74">
        <f>SUM(BT34:BT50)</f>
        <v>121.75345579720722</v>
      </c>
      <c r="CU53" s="77">
        <f>SUM(CJ34:CJ49)</f>
        <v>102.19006759753235</v>
      </c>
      <c r="CV53" s="74">
        <f>SUM(CL34:CL50)</f>
        <v>149.70011616782656</v>
      </c>
      <c r="DM53" s="77">
        <f>SUM(DB34:DB49)</f>
        <v>110.31002059083229</v>
      </c>
      <c r="DN53" s="74">
        <f>SUM(DD34:DD50)</f>
        <v>157.39367741109666</v>
      </c>
      <c r="EE53" s="77">
        <f>SUM(DT34:DT49)</f>
        <v>232.64807696066984</v>
      </c>
      <c r="EF53" s="74">
        <f>SUM(DV34:DV50)</f>
        <v>311.66556419508538</v>
      </c>
    </row>
    <row r="55" spans="1:136" x14ac:dyDescent="0.35">
      <c r="AS55" s="33">
        <f>AS53-AS26</f>
        <v>84.277084042571545</v>
      </c>
      <c r="AT55" s="33">
        <f>AT53-AT26</f>
        <v>96.068935405176859</v>
      </c>
      <c r="BK55" s="33">
        <f>BK53-BK26</f>
        <v>22.248162452667149</v>
      </c>
      <c r="BL55" s="33">
        <f>BL53-BL26</f>
        <v>44.103810818087311</v>
      </c>
      <c r="CC55" s="33">
        <f>CC53-CC26</f>
        <v>43.371467126024314</v>
      </c>
      <c r="CD55" s="33">
        <f>CD53-CD26</f>
        <v>69.002632171602386</v>
      </c>
      <c r="CU55" s="33">
        <f>CU53-CU26</f>
        <v>50.014404671348565</v>
      </c>
      <c r="CV55" s="33">
        <f>CV53-CV26</f>
        <v>73.854767995023266</v>
      </c>
      <c r="DM55" s="33">
        <f>DM53-DM26</f>
        <v>54.373287369474276</v>
      </c>
      <c r="DN55" s="33">
        <f>DN53-DN26</f>
        <v>79.956150373403403</v>
      </c>
      <c r="EE55" s="33">
        <f>EE53-EE26</f>
        <v>92.542805278365279</v>
      </c>
      <c r="EF55" s="33">
        <f>EF53-EF26</f>
        <v>123.89360106986553</v>
      </c>
    </row>
  </sheetData>
  <sheetProtection algorithmName="SHA-512" hashValue="CMdei2hBd6AiO9CxvahEc8hW2BbGhrv+Le6gVk0RLgL38xyMhYlR3iV8yMhR/h3rqhuH2YPjabJU3TY7EHrc+g==" saltValue="UnweJTcA4KYbaOWbuAFrDw==" spinCount="100000" sheet="1" objects="1" scenarios="1"/>
  <pageMargins left="0.7" right="0.7" top="0.78740157499999996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871E12-232F-44F1-98DB-AEF59116CFBA}">
  <dimension ref="A1:R202"/>
  <sheetViews>
    <sheetView workbookViewId="0">
      <pane ySplit="1" topLeftCell="A2" activePane="bottomLeft" state="frozen"/>
      <selection pane="bottomLeft" activeCell="S28" sqref="S28"/>
    </sheetView>
  </sheetViews>
  <sheetFormatPr baseColWidth="10" defaultColWidth="11.453125" defaultRowHeight="14.5" x14ac:dyDescent="0.35"/>
  <cols>
    <col min="8" max="8" width="18.7265625" bestFit="1" customWidth="1"/>
    <col min="9" max="9" width="19.26953125" style="13" bestFit="1" customWidth="1"/>
  </cols>
  <sheetData>
    <row r="1" spans="1:18" s="2" customFormat="1" x14ac:dyDescent="0.35">
      <c r="A1" s="2" t="s">
        <v>557</v>
      </c>
      <c r="B1" s="2" t="s">
        <v>96</v>
      </c>
      <c r="C1" s="2" t="s">
        <v>99</v>
      </c>
      <c r="D1" s="2" t="s">
        <v>558</v>
      </c>
      <c r="E1" s="2" t="s">
        <v>559</v>
      </c>
      <c r="F1" s="2" t="s">
        <v>560</v>
      </c>
      <c r="G1" s="2" t="s">
        <v>561</v>
      </c>
      <c r="H1" s="2" t="s">
        <v>562</v>
      </c>
      <c r="I1" s="4" t="s">
        <v>563</v>
      </c>
      <c r="M1" s="2" t="s">
        <v>558</v>
      </c>
      <c r="N1" s="2" t="s">
        <v>559</v>
      </c>
      <c r="O1" s="2" t="s">
        <v>560</v>
      </c>
      <c r="P1" s="2" t="s">
        <v>561</v>
      </c>
      <c r="Q1" s="2" t="s">
        <v>564</v>
      </c>
      <c r="R1" s="2" t="s">
        <v>565</v>
      </c>
    </row>
    <row r="2" spans="1:18" x14ac:dyDescent="0.35">
      <c r="A2" t="s">
        <v>483</v>
      </c>
      <c r="B2" t="s">
        <v>482</v>
      </c>
      <c r="C2" t="s">
        <v>168</v>
      </c>
      <c r="D2">
        <v>1.7787090000000001</v>
      </c>
      <c r="E2">
        <v>1.7787090000000001</v>
      </c>
      <c r="F2">
        <v>3.091885</v>
      </c>
      <c r="G2">
        <v>2.0612569999999999</v>
      </c>
      <c r="H2">
        <v>1.7382747824405227</v>
      </c>
      <c r="I2">
        <v>1.158850042362185</v>
      </c>
      <c r="K2" t="s">
        <v>126</v>
      </c>
      <c r="L2" s="12" t="s">
        <v>125</v>
      </c>
      <c r="M2">
        <f t="shared" ref="M2:M17" si="0">SUMIF($C$2:$C$198,$L2,D$2:D$198)</f>
        <v>5925.4422709999999</v>
      </c>
      <c r="N2">
        <f t="shared" ref="N2:N17" si="1">SUMIF($C$2:$C$198,$L2,E$2:E$198)</f>
        <v>5925.4422709999999</v>
      </c>
      <c r="O2">
        <f>SUMIF($C$2:$C$198,$L2,F$2:F$198)</f>
        <v>4331.867843</v>
      </c>
      <c r="P2">
        <f>SUMIF($C$2:$C$198,$L2,G$2:G$198)</f>
        <v>4192.8651300000001</v>
      </c>
      <c r="Q2">
        <f>MAX(O2/M2)</f>
        <v>0.73106236545427317</v>
      </c>
      <c r="R2">
        <f t="shared" ref="R2:R17" si="2">P2/N2</f>
        <v>0.70760374301856066</v>
      </c>
    </row>
    <row r="3" spans="1:18" x14ac:dyDescent="0.35">
      <c r="A3" t="s">
        <v>392</v>
      </c>
      <c r="B3" t="s">
        <v>391</v>
      </c>
      <c r="C3" t="s">
        <v>168</v>
      </c>
      <c r="D3">
        <v>31.265639</v>
      </c>
      <c r="E3">
        <v>31.265639</v>
      </c>
      <c r="F3">
        <v>51.292991999999998</v>
      </c>
      <c r="G3">
        <v>46.743924</v>
      </c>
      <c r="H3">
        <v>1.6405547316656472</v>
      </c>
      <c r="I3">
        <v>1.4950573695295337</v>
      </c>
      <c r="K3" t="s">
        <v>160</v>
      </c>
      <c r="L3" s="12" t="s">
        <v>159</v>
      </c>
      <c r="M3">
        <f t="shared" si="0"/>
        <v>732.33233099999995</v>
      </c>
      <c r="N3">
        <f t="shared" si="1"/>
        <v>732.33233099999995</v>
      </c>
      <c r="O3">
        <f t="shared" ref="O3:O17" si="3">SUMIF($C$2:$C$198,$L3,F$2:F$198)</f>
        <v>458.4</v>
      </c>
      <c r="P3">
        <f t="shared" ref="P3:P17" si="4">SUMIF($C$2:$C$198,$L3,G$2:G$198)</f>
        <v>421.45</v>
      </c>
      <c r="Q3">
        <f t="shared" ref="Q3:Q17" si="5">MAX(O3/M3)</f>
        <v>0.62594532645316192</v>
      </c>
      <c r="R3">
        <f t="shared" si="2"/>
        <v>0.57549009126022055</v>
      </c>
    </row>
    <row r="4" spans="1:18" x14ac:dyDescent="0.35">
      <c r="A4" t="s">
        <v>479</v>
      </c>
      <c r="B4" t="s">
        <v>478</v>
      </c>
      <c r="C4" t="s">
        <v>168</v>
      </c>
      <c r="D4">
        <v>0.46516099999999999</v>
      </c>
      <c r="E4">
        <v>0.46516099999999999</v>
      </c>
      <c r="F4">
        <v>1.1094889999999999</v>
      </c>
      <c r="G4">
        <v>0.81769400000000003</v>
      </c>
      <c r="H4">
        <v>2.3851720157106895</v>
      </c>
      <c r="I4">
        <v>1.7578730805033098</v>
      </c>
      <c r="K4" t="s">
        <v>140</v>
      </c>
      <c r="L4" s="12" t="s">
        <v>139</v>
      </c>
      <c r="M4">
        <f t="shared" si="0"/>
        <v>1294.580359</v>
      </c>
      <c r="N4">
        <f t="shared" si="1"/>
        <v>1294.580359</v>
      </c>
      <c r="O4">
        <f t="shared" si="3"/>
        <v>800.79689399999995</v>
      </c>
      <c r="P4">
        <f t="shared" si="4"/>
        <v>744.47689400000002</v>
      </c>
      <c r="Q4">
        <f t="shared" si="5"/>
        <v>0.6185764278229714</v>
      </c>
      <c r="R4">
        <f t="shared" si="2"/>
        <v>0.57507198284320638</v>
      </c>
    </row>
    <row r="5" spans="1:18" x14ac:dyDescent="0.35">
      <c r="A5" t="s">
        <v>493</v>
      </c>
      <c r="B5" t="s">
        <v>492</v>
      </c>
      <c r="C5" t="s">
        <v>168</v>
      </c>
      <c r="D5">
        <v>0.47572799999999998</v>
      </c>
      <c r="E5">
        <v>0.47572799999999998</v>
      </c>
      <c r="F5">
        <v>0.675508</v>
      </c>
      <c r="G5">
        <v>0.52014099999999996</v>
      </c>
      <c r="H5">
        <v>1.4199458514108902</v>
      </c>
      <c r="I5">
        <v>1.093357969259745</v>
      </c>
      <c r="K5" t="s">
        <v>158</v>
      </c>
      <c r="L5" s="12" t="s">
        <v>157</v>
      </c>
      <c r="M5">
        <f t="shared" si="0"/>
        <v>672.19600600000001</v>
      </c>
      <c r="N5">
        <f t="shared" si="1"/>
        <v>672.19600600000001</v>
      </c>
      <c r="O5">
        <f t="shared" si="3"/>
        <v>436.56</v>
      </c>
      <c r="P5">
        <f t="shared" si="4"/>
        <v>436.56</v>
      </c>
      <c r="Q5">
        <f t="shared" si="5"/>
        <v>0.64945342742783274</v>
      </c>
      <c r="R5">
        <f t="shared" si="2"/>
        <v>0.64945342742783274</v>
      </c>
    </row>
    <row r="6" spans="1:18" x14ac:dyDescent="0.35">
      <c r="A6" t="s">
        <v>438</v>
      </c>
      <c r="B6" t="s">
        <v>437</v>
      </c>
      <c r="C6" t="s">
        <v>168</v>
      </c>
      <c r="D6">
        <v>7.5301</v>
      </c>
      <c r="E6">
        <v>7.5301</v>
      </c>
      <c r="F6">
        <v>10.164</v>
      </c>
      <c r="G6">
        <v>7.5019999999999998</v>
      </c>
      <c r="H6">
        <v>1.3497828714094102</v>
      </c>
      <c r="I6">
        <v>0.99626830984980275</v>
      </c>
      <c r="K6" t="s">
        <v>137</v>
      </c>
      <c r="L6" s="12" t="s">
        <v>136</v>
      </c>
      <c r="M6">
        <f t="shared" si="0"/>
        <v>2481.7780330000001</v>
      </c>
      <c r="N6">
        <f t="shared" si="1"/>
        <v>2481.7780330000001</v>
      </c>
      <c r="O6">
        <f t="shared" si="3"/>
        <v>2674.6053670000001</v>
      </c>
      <c r="P6">
        <f t="shared" si="4"/>
        <v>2674.6053670000001</v>
      </c>
      <c r="Q6">
        <f t="shared" si="5"/>
        <v>1.0776972523070116</v>
      </c>
      <c r="R6">
        <f t="shared" si="2"/>
        <v>1.0776972523070116</v>
      </c>
    </row>
    <row r="7" spans="1:18" x14ac:dyDescent="0.35">
      <c r="A7" t="s">
        <v>310</v>
      </c>
      <c r="B7" t="s">
        <v>309</v>
      </c>
      <c r="C7" t="s">
        <v>168</v>
      </c>
      <c r="D7">
        <v>179.23544999999999</v>
      </c>
      <c r="E7">
        <v>179.23544999999999</v>
      </c>
      <c r="F7">
        <v>255.5</v>
      </c>
      <c r="G7">
        <v>225.7</v>
      </c>
      <c r="H7">
        <v>1.4254992525195211</v>
      </c>
      <c r="I7">
        <v>1.2592375001708647</v>
      </c>
      <c r="K7" t="s">
        <v>121</v>
      </c>
      <c r="L7" s="12" t="s">
        <v>120</v>
      </c>
      <c r="M7">
        <f t="shared" si="0"/>
        <v>11334.073603000001</v>
      </c>
      <c r="N7">
        <f t="shared" si="1"/>
        <v>11334.073603000001</v>
      </c>
      <c r="O7">
        <f t="shared" si="3"/>
        <v>12733.897116</v>
      </c>
      <c r="P7">
        <f t="shared" si="4"/>
        <v>11852.689135000001</v>
      </c>
      <c r="Q7">
        <f t="shared" si="5"/>
        <v>1.1235057722432191</v>
      </c>
      <c r="R7">
        <f t="shared" si="2"/>
        <v>1.0457572052349058</v>
      </c>
    </row>
    <row r="8" spans="1:18" x14ac:dyDescent="0.35">
      <c r="A8" t="s">
        <v>297</v>
      </c>
      <c r="B8" t="s">
        <v>296</v>
      </c>
      <c r="C8" t="s">
        <v>168</v>
      </c>
      <c r="D8">
        <v>102.796429</v>
      </c>
      <c r="E8">
        <v>102.796429</v>
      </c>
      <c r="F8">
        <v>98.385193999999998</v>
      </c>
      <c r="G8">
        <v>79.704460999999995</v>
      </c>
      <c r="H8">
        <v>0.95708766303545423</v>
      </c>
      <c r="I8">
        <v>0.77536215776522732</v>
      </c>
      <c r="K8" t="s">
        <v>524</v>
      </c>
      <c r="L8" s="12" t="s">
        <v>184</v>
      </c>
      <c r="M8">
        <f t="shared" si="0"/>
        <v>466.70979199999999</v>
      </c>
      <c r="N8">
        <f t="shared" si="1"/>
        <v>466.70979199999999</v>
      </c>
      <c r="O8">
        <f t="shared" si="3"/>
        <v>310.41137600000002</v>
      </c>
      <c r="P8">
        <f t="shared" si="4"/>
        <v>310.41137600000002</v>
      </c>
      <c r="Q8">
        <f t="shared" si="5"/>
        <v>0.66510577091127332</v>
      </c>
      <c r="R8">
        <f t="shared" si="2"/>
        <v>0.66510577091127332</v>
      </c>
    </row>
    <row r="9" spans="1:18" x14ac:dyDescent="0.35">
      <c r="A9" t="s">
        <v>400</v>
      </c>
      <c r="B9" t="s">
        <v>399</v>
      </c>
      <c r="C9" t="s">
        <v>168</v>
      </c>
      <c r="D9">
        <v>12.213863999999999</v>
      </c>
      <c r="E9">
        <v>12.213863999999999</v>
      </c>
      <c r="F9">
        <v>9.1635530000000003</v>
      </c>
      <c r="G9">
        <v>7.6735930000000003</v>
      </c>
      <c r="H9">
        <v>0.75025831301216395</v>
      </c>
      <c r="I9">
        <v>0.62826907193333748</v>
      </c>
      <c r="K9" t="s">
        <v>134</v>
      </c>
      <c r="L9" s="12" t="s">
        <v>133</v>
      </c>
      <c r="M9">
        <f t="shared" si="0"/>
        <v>2513.4904780000002</v>
      </c>
      <c r="N9">
        <f t="shared" si="1"/>
        <v>2513.4904780000002</v>
      </c>
      <c r="O9">
        <f t="shared" si="3"/>
        <v>4620.1666869999999</v>
      </c>
      <c r="P9">
        <f t="shared" si="4"/>
        <v>3421.0041409999999</v>
      </c>
      <c r="Q9">
        <f t="shared" si="5"/>
        <v>1.8381476784731228</v>
      </c>
      <c r="R9">
        <f t="shared" si="2"/>
        <v>1.3610571318822398</v>
      </c>
    </row>
    <row r="10" spans="1:18" x14ac:dyDescent="0.35">
      <c r="A10" t="s">
        <v>378</v>
      </c>
      <c r="B10" t="s">
        <v>377</v>
      </c>
      <c r="C10" t="s">
        <v>168</v>
      </c>
      <c r="D10">
        <v>20.450837</v>
      </c>
      <c r="E10">
        <v>20.450837</v>
      </c>
      <c r="F10">
        <v>30.018905</v>
      </c>
      <c r="G10">
        <v>22.717319</v>
      </c>
      <c r="H10">
        <v>1.4678570368537973</v>
      </c>
      <c r="I10">
        <v>1.110825879644926</v>
      </c>
      <c r="K10" t="s">
        <v>162</v>
      </c>
      <c r="L10" s="12" t="s">
        <v>161</v>
      </c>
      <c r="M10">
        <f t="shared" si="0"/>
        <v>1226.1447479999999</v>
      </c>
      <c r="N10">
        <f t="shared" si="1"/>
        <v>1226.1447479999999</v>
      </c>
      <c r="O10">
        <f>SUMIF($C$2:$C$198,$L10,F$2:F$198)</f>
        <v>1083.6476210000001</v>
      </c>
      <c r="P10">
        <f t="shared" si="4"/>
        <v>694.12682099999995</v>
      </c>
      <c r="Q10">
        <f t="shared" si="5"/>
        <v>0.88378441678078301</v>
      </c>
      <c r="R10">
        <f t="shared" si="2"/>
        <v>0.56610512105704502</v>
      </c>
    </row>
    <row r="11" spans="1:18" x14ac:dyDescent="0.35">
      <c r="A11" t="s">
        <v>405</v>
      </c>
      <c r="B11" t="s">
        <v>404</v>
      </c>
      <c r="C11" t="s">
        <v>168</v>
      </c>
      <c r="D11">
        <v>15.651952</v>
      </c>
      <c r="E11">
        <v>15.651952</v>
      </c>
      <c r="F11">
        <v>17.482332</v>
      </c>
      <c r="G11">
        <v>3.3689710000000002</v>
      </c>
      <c r="H11">
        <v>1.1169426024306746</v>
      </c>
      <c r="I11">
        <v>0.215242865554405</v>
      </c>
      <c r="K11" t="s">
        <v>132</v>
      </c>
      <c r="L11" s="12" t="s">
        <v>130</v>
      </c>
      <c r="M11">
        <f>SUMIF($C$2:$C$198,$L11,D$2:D$198)</f>
        <v>3390.1849090000001</v>
      </c>
      <c r="N11">
        <f t="shared" si="1"/>
        <v>3390.1849090000001</v>
      </c>
      <c r="O11">
        <f>SUMIF($C$2:$C$198,$L11,F$2:F$198)</f>
        <v>2245.105536</v>
      </c>
      <c r="P11">
        <f t="shared" si="4"/>
        <v>2245.105536</v>
      </c>
      <c r="Q11">
        <f t="shared" si="5"/>
        <v>0.66223689747419612</v>
      </c>
      <c r="R11">
        <f t="shared" si="2"/>
        <v>0.66223689747419612</v>
      </c>
    </row>
    <row r="12" spans="1:18" x14ac:dyDescent="0.35">
      <c r="A12" t="s">
        <v>214</v>
      </c>
      <c r="B12" t="s">
        <v>213</v>
      </c>
      <c r="C12" t="s">
        <v>168</v>
      </c>
      <c r="D12">
        <v>378.84756299999998</v>
      </c>
      <c r="E12">
        <v>378.84756299999998</v>
      </c>
      <c r="F12">
        <v>372.19406600000002</v>
      </c>
      <c r="G12">
        <v>246.57856799999999</v>
      </c>
      <c r="H12">
        <v>0.98243753517295307</v>
      </c>
      <c r="I12">
        <v>0.65086486513838282</v>
      </c>
      <c r="K12" t="s">
        <v>143</v>
      </c>
      <c r="L12" s="12" t="s">
        <v>144</v>
      </c>
      <c r="M12">
        <f t="shared" si="0"/>
        <v>3316.4111320000002</v>
      </c>
      <c r="N12">
        <f t="shared" si="1"/>
        <v>3286.6897360000003</v>
      </c>
      <c r="O12">
        <f t="shared" si="3"/>
        <v>4373.2995529999989</v>
      </c>
      <c r="P12">
        <f t="shared" si="4"/>
        <v>3756.2761229999996</v>
      </c>
      <c r="Q12">
        <f t="shared" si="5"/>
        <v>1.3186843786652682</v>
      </c>
      <c r="R12">
        <f t="shared" si="2"/>
        <v>1.1428751798067498</v>
      </c>
    </row>
    <row r="13" spans="1:18" x14ac:dyDescent="0.35">
      <c r="A13" t="s">
        <v>485</v>
      </c>
      <c r="B13" t="s">
        <v>484</v>
      </c>
      <c r="C13" t="s">
        <v>168</v>
      </c>
      <c r="D13">
        <v>3.3620670000000001</v>
      </c>
      <c r="E13">
        <v>3.3620670000000001</v>
      </c>
      <c r="F13">
        <v>11.934167</v>
      </c>
      <c r="G13">
        <v>8.2154629999999997</v>
      </c>
      <c r="H13">
        <v>3.549651746975893</v>
      </c>
      <c r="I13">
        <v>2.4435750388079711</v>
      </c>
      <c r="K13" t="s">
        <v>124</v>
      </c>
      <c r="L13" s="12" t="s">
        <v>156</v>
      </c>
      <c r="M13">
        <f t="shared" si="0"/>
        <v>4427.6380390000013</v>
      </c>
      <c r="N13">
        <f t="shared" si="1"/>
        <v>4427.6380390000013</v>
      </c>
      <c r="O13">
        <f t="shared" si="3"/>
        <v>6082.5790339999994</v>
      </c>
      <c r="P13">
        <f t="shared" si="4"/>
        <v>4347.1886060000006</v>
      </c>
      <c r="Q13">
        <f t="shared" si="5"/>
        <v>1.3737751325701801</v>
      </c>
      <c r="R13">
        <f t="shared" si="2"/>
        <v>0.981830169428626</v>
      </c>
    </row>
    <row r="14" spans="1:18" x14ac:dyDescent="0.35">
      <c r="A14" t="s">
        <v>302</v>
      </c>
      <c r="B14" t="s">
        <v>301</v>
      </c>
      <c r="C14" t="s">
        <v>168</v>
      </c>
      <c r="D14">
        <v>43.532803000000001</v>
      </c>
      <c r="E14">
        <v>43.532803000000001</v>
      </c>
      <c r="F14">
        <v>73.983568000000005</v>
      </c>
      <c r="G14">
        <v>63.721615999999997</v>
      </c>
      <c r="H14">
        <v>1.6994901063457826</v>
      </c>
      <c r="I14">
        <v>1.463760925295805</v>
      </c>
      <c r="K14" t="s">
        <v>526</v>
      </c>
      <c r="L14" s="12" t="s">
        <v>174</v>
      </c>
      <c r="M14">
        <f t="shared" si="0"/>
        <v>660.244462</v>
      </c>
      <c r="N14">
        <f t="shared" si="1"/>
        <v>660.244462</v>
      </c>
      <c r="O14">
        <f t="shared" si="3"/>
        <v>427.56483000000003</v>
      </c>
      <c r="P14">
        <f t="shared" si="4"/>
        <v>427.56483000000003</v>
      </c>
      <c r="Q14">
        <f t="shared" si="5"/>
        <v>0.64758563624271648</v>
      </c>
      <c r="R14">
        <f t="shared" si="2"/>
        <v>0.64758563624271648</v>
      </c>
    </row>
    <row r="15" spans="1:18" x14ac:dyDescent="0.35">
      <c r="A15" t="s">
        <v>350</v>
      </c>
      <c r="B15" t="s">
        <v>349</v>
      </c>
      <c r="C15" t="s">
        <v>168</v>
      </c>
      <c r="D15">
        <v>14.761067000000001</v>
      </c>
      <c r="E15">
        <v>14.761067000000001</v>
      </c>
      <c r="F15">
        <v>27.450305</v>
      </c>
      <c r="G15">
        <v>24.220858</v>
      </c>
      <c r="H15">
        <v>1.859642328024119</v>
      </c>
      <c r="I15">
        <v>1.6408609215038452</v>
      </c>
      <c r="K15" t="s">
        <v>527</v>
      </c>
      <c r="L15" s="12" t="s">
        <v>178</v>
      </c>
      <c r="M15">
        <f t="shared" si="0"/>
        <v>2024.8639799999999</v>
      </c>
      <c r="N15">
        <f t="shared" si="1"/>
        <v>2024.8639799999999</v>
      </c>
      <c r="O15">
        <f t="shared" si="3"/>
        <v>2591.5224150000004</v>
      </c>
      <c r="P15">
        <f t="shared" si="4"/>
        <v>2265.2960600000001</v>
      </c>
      <c r="Q15">
        <f t="shared" si="5"/>
        <v>1.279850123562374</v>
      </c>
      <c r="R15">
        <f t="shared" si="2"/>
        <v>1.1187398671588795</v>
      </c>
    </row>
    <row r="16" spans="1:18" x14ac:dyDescent="0.35">
      <c r="A16" t="s">
        <v>566</v>
      </c>
      <c r="B16" t="s">
        <v>165</v>
      </c>
      <c r="C16" t="s">
        <v>168</v>
      </c>
      <c r="D16">
        <v>511.124168</v>
      </c>
      <c r="E16">
        <v>511.124168</v>
      </c>
      <c r="F16">
        <v>726.08969100000002</v>
      </c>
      <c r="G16">
        <v>368.61595999999997</v>
      </c>
      <c r="H16">
        <v>1.4205739748937092</v>
      </c>
      <c r="I16">
        <v>0.7211867156318853</v>
      </c>
      <c r="K16" t="s">
        <v>167</v>
      </c>
      <c r="L16" s="12" t="s">
        <v>168</v>
      </c>
      <c r="M16">
        <f t="shared" si="0"/>
        <v>3169.6087479999997</v>
      </c>
      <c r="N16">
        <f t="shared" si="1"/>
        <v>3169.6087479999997</v>
      </c>
      <c r="O16">
        <f t="shared" si="3"/>
        <v>4677.4528919999993</v>
      </c>
      <c r="P16">
        <f t="shared" si="4"/>
        <v>3454.6342980000004</v>
      </c>
      <c r="Q16">
        <f t="shared" si="5"/>
        <v>1.4757193281194212</v>
      </c>
      <c r="R16">
        <f t="shared" si="2"/>
        <v>1.0899245214980713</v>
      </c>
    </row>
    <row r="17" spans="1:18" x14ac:dyDescent="0.35">
      <c r="A17" t="s">
        <v>456</v>
      </c>
      <c r="B17" t="s">
        <v>455</v>
      </c>
      <c r="C17" t="s">
        <v>168</v>
      </c>
      <c r="D17">
        <v>4.332948</v>
      </c>
      <c r="E17">
        <v>4.332948</v>
      </c>
      <c r="F17">
        <v>8.0848200000000006</v>
      </c>
      <c r="G17">
        <v>7.3188899999999997</v>
      </c>
      <c r="H17">
        <v>1.8658936133089989</v>
      </c>
      <c r="I17">
        <v>1.6891248175606999</v>
      </c>
      <c r="K17" t="s">
        <v>528</v>
      </c>
      <c r="L17" s="12" t="s">
        <v>199</v>
      </c>
      <c r="M17">
        <f t="shared" si="0"/>
        <v>537.62288599999999</v>
      </c>
      <c r="N17">
        <f t="shared" si="1"/>
        <v>537.62288599999999</v>
      </c>
      <c r="O17">
        <f t="shared" si="3"/>
        <v>521.75047999999992</v>
      </c>
      <c r="P17">
        <f t="shared" si="4"/>
        <v>507.17326799999995</v>
      </c>
      <c r="Q17">
        <f t="shared" si="5"/>
        <v>0.97047669209528398</v>
      </c>
      <c r="R17">
        <f t="shared" si="2"/>
        <v>0.94336249666276284</v>
      </c>
    </row>
    <row r="18" spans="1:18" x14ac:dyDescent="0.35">
      <c r="A18" t="s">
        <v>421</v>
      </c>
      <c r="B18" t="s">
        <v>420</v>
      </c>
      <c r="C18" t="s">
        <v>168</v>
      </c>
      <c r="D18">
        <v>259.53837299999998</v>
      </c>
      <c r="E18">
        <v>259.53837299999998</v>
      </c>
      <c r="F18">
        <v>328.3</v>
      </c>
      <c r="G18">
        <v>273</v>
      </c>
      <c r="H18">
        <v>1.2649381908547297</v>
      </c>
      <c r="I18">
        <v>1.0518675787491356</v>
      </c>
    </row>
    <row r="19" spans="1:18" x14ac:dyDescent="0.35">
      <c r="A19" t="s">
        <v>340</v>
      </c>
      <c r="B19" t="s">
        <v>339</v>
      </c>
      <c r="C19" t="s">
        <v>168</v>
      </c>
      <c r="D19">
        <v>40.057561999999997</v>
      </c>
      <c r="E19">
        <v>40.057561999999997</v>
      </c>
      <c r="F19">
        <v>108.417911</v>
      </c>
      <c r="G19">
        <v>80.548254999999997</v>
      </c>
      <c r="H19">
        <v>2.7065529100348145</v>
      </c>
      <c r="I19">
        <v>2.0108127149625332</v>
      </c>
      <c r="L19" s="12" t="s">
        <v>567</v>
      </c>
      <c r="M19">
        <f>SUM(M2:M17)</f>
        <v>44173.321776999997</v>
      </c>
      <c r="N19">
        <f>SUM(N2:N17)</f>
        <v>44143.600381000004</v>
      </c>
      <c r="O19">
        <f>SUM(O2:O17)</f>
        <v>48369.627644000007</v>
      </c>
      <c r="P19">
        <f>SUM(P2:P17)</f>
        <v>41751.427585000005</v>
      </c>
    </row>
    <row r="20" spans="1:18" x14ac:dyDescent="0.35">
      <c r="A20" t="s">
        <v>427</v>
      </c>
      <c r="B20" t="s">
        <v>426</v>
      </c>
      <c r="C20" t="s">
        <v>168</v>
      </c>
      <c r="D20">
        <v>4.5775949999999996</v>
      </c>
      <c r="E20">
        <v>4.5775949999999996</v>
      </c>
      <c r="F20">
        <v>5.5242139999999997</v>
      </c>
      <c r="G20">
        <v>3.9897100000000001</v>
      </c>
      <c r="H20">
        <v>1.2067939605841058</v>
      </c>
      <c r="I20">
        <v>0.87157339170459602</v>
      </c>
      <c r="M20">
        <f>D202</f>
        <v>48072.920882999999</v>
      </c>
      <c r="N20">
        <f t="shared" ref="N20:P20" si="6">E202</f>
        <v>47995.579457999993</v>
      </c>
      <c r="O20">
        <f t="shared" si="6"/>
        <v>51592.334035999986</v>
      </c>
      <c r="P20">
        <f t="shared" si="6"/>
        <v>44768.90264600001</v>
      </c>
    </row>
    <row r="21" spans="1:18" x14ac:dyDescent="0.35">
      <c r="A21" t="s">
        <v>419</v>
      </c>
      <c r="B21" t="s">
        <v>418</v>
      </c>
      <c r="C21" t="s">
        <v>168</v>
      </c>
      <c r="D21">
        <v>3.8280419999999999</v>
      </c>
      <c r="E21">
        <v>3.8280419999999999</v>
      </c>
      <c r="F21">
        <v>10.515000000000001</v>
      </c>
      <c r="G21">
        <v>6.4320000000000004</v>
      </c>
      <c r="H21">
        <v>2.746835066072943</v>
      </c>
      <c r="I21">
        <v>1.6802323485479</v>
      </c>
      <c r="L21" s="12" t="s">
        <v>568</v>
      </c>
      <c r="M21">
        <f>D202-M19</f>
        <v>3899.5991060000015</v>
      </c>
      <c r="N21">
        <f t="shared" ref="N21:P21" si="7">E202-N19</f>
        <v>3851.979076999989</v>
      </c>
      <c r="O21">
        <f t="shared" si="7"/>
        <v>3222.7063919999782</v>
      </c>
      <c r="P21">
        <f t="shared" si="7"/>
        <v>3017.4750610000046</v>
      </c>
    </row>
    <row r="22" spans="1:18" x14ac:dyDescent="0.35">
      <c r="A22" t="s">
        <v>499</v>
      </c>
      <c r="B22" t="s">
        <v>498</v>
      </c>
      <c r="C22" t="s">
        <v>168</v>
      </c>
      <c r="D22">
        <v>19.430273</v>
      </c>
      <c r="E22">
        <v>19.430273</v>
      </c>
      <c r="F22">
        <v>15.558479</v>
      </c>
      <c r="G22">
        <v>13.360037</v>
      </c>
      <c r="H22">
        <v>0.80073393719172137</v>
      </c>
      <c r="I22">
        <v>0.68758874360643318</v>
      </c>
    </row>
    <row r="23" spans="1:18" x14ac:dyDescent="0.35">
      <c r="A23" t="s">
        <v>454</v>
      </c>
      <c r="B23" t="s">
        <v>453</v>
      </c>
      <c r="C23" t="s">
        <v>168</v>
      </c>
      <c r="D23">
        <v>4.8580129999999997</v>
      </c>
      <c r="E23">
        <v>4.8580129999999997</v>
      </c>
      <c r="F23">
        <v>12.742964000000001</v>
      </c>
      <c r="G23">
        <v>5.0971859999999998</v>
      </c>
      <c r="H23">
        <v>2.6230814944299246</v>
      </c>
      <c r="I23">
        <v>1.0492326801101604</v>
      </c>
      <c r="L23" t="s">
        <v>130</v>
      </c>
      <c r="M23">
        <f>D60</f>
        <v>3390.1849090000001</v>
      </c>
      <c r="N23">
        <f t="shared" ref="N23:R23" si="8">E60</f>
        <v>3390.1849090000001</v>
      </c>
      <c r="O23">
        <f t="shared" si="8"/>
        <v>2245.105536</v>
      </c>
      <c r="P23">
        <f t="shared" si="8"/>
        <v>2245.105536</v>
      </c>
      <c r="Q23">
        <f t="shared" si="8"/>
        <v>0.66223689747419612</v>
      </c>
      <c r="R23">
        <f t="shared" si="8"/>
        <v>0.66223689747419612</v>
      </c>
    </row>
    <row r="24" spans="1:18" x14ac:dyDescent="0.35">
      <c r="A24" t="s">
        <v>328</v>
      </c>
      <c r="B24" t="s">
        <v>327</v>
      </c>
      <c r="C24" t="s">
        <v>168</v>
      </c>
      <c r="D24">
        <v>28.491948000000001</v>
      </c>
      <c r="E24">
        <v>28.491948000000001</v>
      </c>
      <c r="F24">
        <v>43.82</v>
      </c>
      <c r="G24">
        <v>38.520000000000003</v>
      </c>
      <c r="H24">
        <v>1.5379783790143096</v>
      </c>
      <c r="I24">
        <v>1.3519609119039526</v>
      </c>
    </row>
    <row r="25" spans="1:18" x14ac:dyDescent="0.35">
      <c r="A25" t="s">
        <v>569</v>
      </c>
      <c r="B25" t="s">
        <v>321</v>
      </c>
      <c r="C25" t="s">
        <v>168</v>
      </c>
      <c r="D25">
        <v>32.138925</v>
      </c>
      <c r="E25">
        <v>32.138925</v>
      </c>
      <c r="F25">
        <v>43.790295</v>
      </c>
      <c r="G25">
        <v>39.369860000000003</v>
      </c>
      <c r="H25">
        <v>1.362531416343266</v>
      </c>
      <c r="I25">
        <v>1.2249899459922819</v>
      </c>
      <c r="K25" t="s">
        <v>199</v>
      </c>
      <c r="L25">
        <f>SUM(D188:D196)</f>
        <v>537.62288599999999</v>
      </c>
    </row>
    <row r="26" spans="1:18" x14ac:dyDescent="0.35">
      <c r="A26" t="s">
        <v>421</v>
      </c>
      <c r="B26" t="s">
        <v>420</v>
      </c>
      <c r="C26" t="s">
        <v>168</v>
      </c>
      <c r="D26">
        <v>259.53837299999998</v>
      </c>
      <c r="E26">
        <v>259.53837299999998</v>
      </c>
      <c r="F26">
        <v>328.3</v>
      </c>
      <c r="G26">
        <v>273</v>
      </c>
      <c r="H26">
        <v>1.2649381908547297</v>
      </c>
      <c r="I26">
        <v>1.0518675787491356</v>
      </c>
      <c r="K26" t="s">
        <v>570</v>
      </c>
      <c r="L26">
        <f>SUM(D87:D127)</f>
        <v>3622.4788970000009</v>
      </c>
      <c r="M26">
        <f>L26+L27</f>
        <v>3899.599106000001</v>
      </c>
      <c r="N26">
        <f>M23+L25</f>
        <v>3927.8077950000002</v>
      </c>
      <c r="O26">
        <f>SUM(F87:F127)</f>
        <v>2747.6378540000005</v>
      </c>
    </row>
    <row r="27" spans="1:18" x14ac:dyDescent="0.35">
      <c r="A27" t="s">
        <v>571</v>
      </c>
      <c r="B27" t="s">
        <v>315</v>
      </c>
      <c r="C27" t="s">
        <v>168</v>
      </c>
      <c r="D27">
        <v>97.886895999999993</v>
      </c>
      <c r="E27">
        <v>97.886895999999993</v>
      </c>
      <c r="F27">
        <v>146</v>
      </c>
      <c r="G27">
        <v>123.675</v>
      </c>
      <c r="H27">
        <v>1.491517311980145</v>
      </c>
      <c r="I27">
        <v>1.2634479695831811</v>
      </c>
      <c r="K27" t="s">
        <v>149</v>
      </c>
      <c r="L27">
        <f>SUM(D79:D86)</f>
        <v>277.12020899999999</v>
      </c>
      <c r="O27">
        <f>SUM(F79:F86)</f>
        <v>475.06853799999999</v>
      </c>
    </row>
    <row r="28" spans="1:18" x14ac:dyDescent="0.35">
      <c r="A28" t="s">
        <v>432</v>
      </c>
      <c r="B28" t="s">
        <v>431</v>
      </c>
      <c r="C28" t="s">
        <v>168</v>
      </c>
      <c r="D28">
        <v>37.133101000000003</v>
      </c>
      <c r="E28">
        <v>37.133101000000003</v>
      </c>
      <c r="F28">
        <v>82.866544000000005</v>
      </c>
      <c r="G28">
        <v>67.209348000000006</v>
      </c>
      <c r="H28">
        <v>2.2316085047677543</v>
      </c>
      <c r="I28">
        <v>1.8099578594311312</v>
      </c>
    </row>
    <row r="29" spans="1:18" x14ac:dyDescent="0.35">
      <c r="A29" t="s">
        <v>452</v>
      </c>
      <c r="B29" t="s">
        <v>451</v>
      </c>
      <c r="C29" t="s">
        <v>168</v>
      </c>
      <c r="D29">
        <v>8.7060460000000006</v>
      </c>
      <c r="E29">
        <v>8.7060460000000006</v>
      </c>
      <c r="F29">
        <v>14.417256</v>
      </c>
      <c r="G29">
        <v>14.417256</v>
      </c>
      <c r="H29">
        <v>1.6560050337432171</v>
      </c>
      <c r="I29">
        <v>1.6560050337432171</v>
      </c>
      <c r="O29">
        <f>SUM(O26:O27)</f>
        <v>3222.7063920000005</v>
      </c>
    </row>
    <row r="30" spans="1:18" x14ac:dyDescent="0.35">
      <c r="A30" t="s">
        <v>572</v>
      </c>
      <c r="B30" t="s">
        <v>379</v>
      </c>
      <c r="C30" t="s">
        <v>168</v>
      </c>
      <c r="D30">
        <v>36.153049000000003</v>
      </c>
      <c r="E30">
        <v>36.153049000000003</v>
      </c>
      <c r="F30">
        <v>99.753532000000007</v>
      </c>
      <c r="G30">
        <v>87.751580000000004</v>
      </c>
      <c r="H30">
        <v>2.7592010842570982</v>
      </c>
      <c r="I30">
        <v>2.4272248794285649</v>
      </c>
      <c r="M30">
        <f>F202/D202</f>
        <v>1.0732098879859109</v>
      </c>
      <c r="N30">
        <f>G202/E202</f>
        <v>0.93277137502166041</v>
      </c>
    </row>
    <row r="31" spans="1:18" x14ac:dyDescent="0.35">
      <c r="A31" t="s">
        <v>368</v>
      </c>
      <c r="B31" t="s">
        <v>367</v>
      </c>
      <c r="C31" t="s">
        <v>168</v>
      </c>
      <c r="D31">
        <v>13.609594</v>
      </c>
      <c r="E31">
        <v>13.609594</v>
      </c>
      <c r="F31">
        <v>19.396222999999999</v>
      </c>
      <c r="G31">
        <v>19.396222999999999</v>
      </c>
      <c r="H31">
        <v>1.4251874817132679</v>
      </c>
      <c r="I31">
        <v>1.4251874817132679</v>
      </c>
    </row>
    <row r="32" spans="1:18" x14ac:dyDescent="0.35">
      <c r="A32" t="s">
        <v>233</v>
      </c>
      <c r="B32" t="s">
        <v>232</v>
      </c>
      <c r="C32" t="s">
        <v>168</v>
      </c>
      <c r="D32">
        <v>102.835922</v>
      </c>
      <c r="E32">
        <v>102.835922</v>
      </c>
      <c r="F32">
        <v>109.01083800000001</v>
      </c>
      <c r="G32">
        <v>69.635243000000003</v>
      </c>
      <c r="H32">
        <v>1.0600462939399717</v>
      </c>
      <c r="I32">
        <v>0.67714901219050683</v>
      </c>
      <c r="O32">
        <f>1-Template!D68/O19</f>
        <v>0.16657378325618011</v>
      </c>
      <c r="P32">
        <f>1-Template!D68/P19</f>
        <v>3.4463775146954423E-2</v>
      </c>
    </row>
    <row r="33" spans="1:16" x14ac:dyDescent="0.35">
      <c r="A33" t="s">
        <v>477</v>
      </c>
      <c r="B33" t="s">
        <v>476</v>
      </c>
      <c r="C33" t="s">
        <v>168</v>
      </c>
      <c r="D33">
        <v>30.549863999999999</v>
      </c>
      <c r="E33">
        <v>30.549863999999999</v>
      </c>
      <c r="F33">
        <v>107.4</v>
      </c>
      <c r="G33">
        <v>75.180000000000007</v>
      </c>
      <c r="H33">
        <v>3.5155639318067018</v>
      </c>
      <c r="I33">
        <v>2.4608947522646911</v>
      </c>
      <c r="O33">
        <f>1-Template!D68/O20</f>
        <v>0.21863361047947483</v>
      </c>
      <c r="P33">
        <f>1-Template!D68/P20</f>
        <v>9.9542017113791403E-2</v>
      </c>
    </row>
    <row r="34" spans="1:16" x14ac:dyDescent="0.35">
      <c r="A34" t="s">
        <v>464</v>
      </c>
      <c r="B34" t="s">
        <v>463</v>
      </c>
      <c r="C34" t="s">
        <v>168</v>
      </c>
      <c r="D34">
        <v>6.7130859999999997</v>
      </c>
      <c r="E34">
        <v>6.7130859999999997</v>
      </c>
      <c r="F34">
        <v>7.5705229999999997</v>
      </c>
      <c r="G34">
        <v>6.8233090000000001</v>
      </c>
      <c r="H34">
        <v>1.1277262052057728</v>
      </c>
      <c r="I34">
        <v>1.0164191252726391</v>
      </c>
    </row>
    <row r="35" spans="1:16" x14ac:dyDescent="0.35">
      <c r="A35" t="s">
        <v>373</v>
      </c>
      <c r="B35" t="s">
        <v>372</v>
      </c>
      <c r="C35" t="s">
        <v>168</v>
      </c>
      <c r="D35">
        <v>4.914193</v>
      </c>
      <c r="E35">
        <v>4.914193</v>
      </c>
      <c r="F35">
        <v>3.798</v>
      </c>
      <c r="G35">
        <v>3.798</v>
      </c>
      <c r="H35">
        <v>0.77286341826623417</v>
      </c>
      <c r="I35">
        <v>0.77286341826623417</v>
      </c>
    </row>
    <row r="36" spans="1:16" x14ac:dyDescent="0.35">
      <c r="A36" t="s">
        <v>396</v>
      </c>
      <c r="B36" t="s">
        <v>395</v>
      </c>
      <c r="C36" t="s">
        <v>168</v>
      </c>
      <c r="D36">
        <v>35.135997000000003</v>
      </c>
      <c r="E36">
        <v>35.135997000000003</v>
      </c>
      <c r="F36">
        <v>35.879347000000003</v>
      </c>
      <c r="G36">
        <v>28.680274000000001</v>
      </c>
      <c r="H36">
        <v>1.0211563656497351</v>
      </c>
      <c r="I36">
        <v>0.81626469856540562</v>
      </c>
    </row>
    <row r="37" spans="1:16" x14ac:dyDescent="0.35">
      <c r="A37" t="s">
        <v>386</v>
      </c>
      <c r="B37" t="s">
        <v>385</v>
      </c>
      <c r="C37" t="s">
        <v>168</v>
      </c>
      <c r="D37">
        <v>17.364218999999999</v>
      </c>
      <c r="E37">
        <v>17.364218999999999</v>
      </c>
      <c r="F37">
        <v>21.199051000000001</v>
      </c>
      <c r="G37">
        <v>11.687925</v>
      </c>
      <c r="H37">
        <v>1.2208467884446748</v>
      </c>
      <c r="I37">
        <v>0.67310398469404242</v>
      </c>
    </row>
    <row r="38" spans="1:16" x14ac:dyDescent="0.35">
      <c r="A38" t="s">
        <v>402</v>
      </c>
      <c r="B38" t="s">
        <v>401</v>
      </c>
      <c r="C38" t="s">
        <v>168</v>
      </c>
      <c r="D38">
        <v>41.003891000000003</v>
      </c>
      <c r="E38">
        <v>41.003891000000003</v>
      </c>
      <c r="F38">
        <v>94.267246999999998</v>
      </c>
      <c r="G38">
        <v>69.594768999999999</v>
      </c>
      <c r="H38">
        <v>2.2989829672505957</v>
      </c>
      <c r="I38">
        <v>1.6972723149615239</v>
      </c>
    </row>
    <row r="39" spans="1:16" x14ac:dyDescent="0.35">
      <c r="A39" t="s">
        <v>458</v>
      </c>
      <c r="B39" t="s">
        <v>457</v>
      </c>
      <c r="C39" t="s">
        <v>168</v>
      </c>
      <c r="D39">
        <v>0.56340100000000004</v>
      </c>
      <c r="E39">
        <v>0.56340100000000004</v>
      </c>
      <c r="F39">
        <v>1.8240000000000001</v>
      </c>
      <c r="G39">
        <v>0.58199999999999996</v>
      </c>
      <c r="H39">
        <v>3.237480941638371</v>
      </c>
      <c r="I39">
        <v>1.0330120109832959</v>
      </c>
    </row>
    <row r="40" spans="1:16" x14ac:dyDescent="0.35">
      <c r="A40" t="s">
        <v>425</v>
      </c>
      <c r="B40" t="s">
        <v>424</v>
      </c>
      <c r="C40" t="s">
        <v>168</v>
      </c>
      <c r="D40">
        <v>13.257783</v>
      </c>
      <c r="E40">
        <v>13.257783</v>
      </c>
      <c r="F40">
        <v>17.127808999999999</v>
      </c>
      <c r="G40">
        <v>7.0052089999999998</v>
      </c>
      <c r="H40">
        <v>1.2919059694973134</v>
      </c>
      <c r="I40">
        <v>0.52838464771975824</v>
      </c>
    </row>
    <row r="41" spans="1:16" x14ac:dyDescent="0.35">
      <c r="A41" t="s">
        <v>446</v>
      </c>
      <c r="B41" t="s">
        <v>445</v>
      </c>
      <c r="C41" t="s">
        <v>168</v>
      </c>
      <c r="D41">
        <v>10.343738</v>
      </c>
      <c r="E41">
        <v>10.343738</v>
      </c>
      <c r="F41">
        <v>18.07</v>
      </c>
      <c r="G41">
        <v>12.78</v>
      </c>
      <c r="H41">
        <v>1.7469506671572694</v>
      </c>
      <c r="I41">
        <v>1.2355301342706089</v>
      </c>
    </row>
    <row r="42" spans="1:16" x14ac:dyDescent="0.35">
      <c r="A42" t="s">
        <v>314</v>
      </c>
      <c r="B42" t="s">
        <v>313</v>
      </c>
      <c r="C42" t="s">
        <v>168</v>
      </c>
      <c r="D42">
        <v>28.136575000000001</v>
      </c>
      <c r="E42">
        <v>28.136575000000001</v>
      </c>
      <c r="F42">
        <v>41.341141</v>
      </c>
      <c r="G42">
        <v>31.339251999999998</v>
      </c>
      <c r="H42">
        <v>1.4693025359341001</v>
      </c>
      <c r="I42">
        <v>1.1138261142303212</v>
      </c>
    </row>
    <row r="43" spans="1:16" x14ac:dyDescent="0.35">
      <c r="A43" t="s">
        <v>194</v>
      </c>
      <c r="B43" t="s">
        <v>193</v>
      </c>
      <c r="C43" t="s">
        <v>168</v>
      </c>
      <c r="D43">
        <v>246.318806</v>
      </c>
      <c r="E43">
        <v>246.318806</v>
      </c>
      <c r="F43">
        <v>573.41378099999997</v>
      </c>
      <c r="G43">
        <v>505.18163299999998</v>
      </c>
      <c r="H43">
        <v>2.3279334221845813</v>
      </c>
      <c r="I43">
        <v>2.0509259573140346</v>
      </c>
    </row>
    <row r="44" spans="1:16" x14ac:dyDescent="0.35">
      <c r="A44" t="s">
        <v>306</v>
      </c>
      <c r="B44" t="s">
        <v>305</v>
      </c>
      <c r="C44" t="s">
        <v>168</v>
      </c>
      <c r="D44">
        <v>90.744364000000004</v>
      </c>
      <c r="E44">
        <v>90.744364000000004</v>
      </c>
      <c r="F44">
        <v>152.22258099999999</v>
      </c>
      <c r="G44">
        <v>110.968434</v>
      </c>
      <c r="H44">
        <v>1.6774879925325168</v>
      </c>
      <c r="I44">
        <v>1.2228686070244539</v>
      </c>
    </row>
    <row r="45" spans="1:16" x14ac:dyDescent="0.35">
      <c r="A45" t="s">
        <v>442</v>
      </c>
      <c r="B45" t="s">
        <v>441</v>
      </c>
      <c r="C45" t="s">
        <v>168</v>
      </c>
      <c r="D45">
        <v>37.718147000000002</v>
      </c>
      <c r="E45">
        <v>37.718147000000002</v>
      </c>
      <c r="F45">
        <v>42.816071000000001</v>
      </c>
      <c r="G45">
        <v>28.008882</v>
      </c>
      <c r="H45">
        <v>1.1351583894086843</v>
      </c>
      <c r="I45">
        <v>0.74258372236578851</v>
      </c>
    </row>
    <row r="46" spans="1:16" x14ac:dyDescent="0.35">
      <c r="A46" t="s">
        <v>466</v>
      </c>
      <c r="B46" t="s">
        <v>465</v>
      </c>
      <c r="C46" t="s">
        <v>168</v>
      </c>
      <c r="D46">
        <v>1.0335209999999999</v>
      </c>
      <c r="E46">
        <v>1.0335209999999999</v>
      </c>
      <c r="F46">
        <v>0.90051899999999996</v>
      </c>
      <c r="G46">
        <v>0.83462800000000004</v>
      </c>
      <c r="H46">
        <v>0.87131175854191645</v>
      </c>
      <c r="I46">
        <v>0.80755785320278939</v>
      </c>
    </row>
    <row r="47" spans="1:16" x14ac:dyDescent="0.35">
      <c r="A47" t="s">
        <v>205</v>
      </c>
      <c r="B47" t="s">
        <v>204</v>
      </c>
      <c r="C47" t="s">
        <v>168</v>
      </c>
      <c r="D47">
        <v>198.345786</v>
      </c>
      <c r="E47">
        <v>198.345786</v>
      </c>
      <c r="F47">
        <v>252.55031299999999</v>
      </c>
      <c r="G47">
        <v>212.368843</v>
      </c>
      <c r="H47">
        <v>1.2732829776378509</v>
      </c>
      <c r="I47">
        <v>1.0707000500630752</v>
      </c>
    </row>
    <row r="48" spans="1:16" x14ac:dyDescent="0.35">
      <c r="A48" t="s">
        <v>279</v>
      </c>
      <c r="B48" t="s">
        <v>278</v>
      </c>
      <c r="C48" t="s">
        <v>168</v>
      </c>
      <c r="D48">
        <v>36.944476000000002</v>
      </c>
      <c r="E48">
        <v>36.944476000000002</v>
      </c>
      <c r="F48">
        <v>75.556465000000003</v>
      </c>
      <c r="G48">
        <v>34.785280999999998</v>
      </c>
      <c r="H48">
        <v>2.045135651673609</v>
      </c>
      <c r="I48">
        <v>0.94155567397951445</v>
      </c>
    </row>
    <row r="49" spans="1:9" x14ac:dyDescent="0.35">
      <c r="A49" t="s">
        <v>356</v>
      </c>
      <c r="B49" t="s">
        <v>355</v>
      </c>
      <c r="C49" t="s">
        <v>168</v>
      </c>
      <c r="D49">
        <v>44.632810999999997</v>
      </c>
      <c r="E49">
        <v>44.632810999999997</v>
      </c>
      <c r="F49">
        <v>86.616843000000003</v>
      </c>
      <c r="G49">
        <v>29.016760000000001</v>
      </c>
      <c r="H49">
        <v>1.9406539955549744</v>
      </c>
      <c r="I49">
        <v>0.65012172323181716</v>
      </c>
    </row>
    <row r="50" spans="1:9" x14ac:dyDescent="0.35">
      <c r="A50" t="s">
        <v>475</v>
      </c>
      <c r="B50" t="s">
        <v>474</v>
      </c>
      <c r="C50" t="s">
        <v>168</v>
      </c>
      <c r="D50">
        <v>2.710906</v>
      </c>
      <c r="E50">
        <v>2.710906</v>
      </c>
      <c r="F50">
        <v>5.5017760000000004</v>
      </c>
      <c r="G50">
        <v>2.8497659999999998</v>
      </c>
      <c r="H50">
        <v>2.0294971496614047</v>
      </c>
      <c r="I50">
        <v>1.0512227277522717</v>
      </c>
    </row>
    <row r="51" spans="1:9" x14ac:dyDescent="0.35">
      <c r="A51" t="s">
        <v>348</v>
      </c>
      <c r="B51" t="s">
        <v>347</v>
      </c>
      <c r="C51" t="s">
        <v>168</v>
      </c>
      <c r="D51">
        <v>40.475710999999997</v>
      </c>
      <c r="E51">
        <v>40.475710999999997</v>
      </c>
      <c r="F51">
        <v>66.663978</v>
      </c>
      <c r="G51">
        <v>47.516739000000001</v>
      </c>
      <c r="H51">
        <v>1.6470119079563545</v>
      </c>
      <c r="I51">
        <v>1.1739568700843823</v>
      </c>
    </row>
    <row r="52" spans="1:9" x14ac:dyDescent="0.35">
      <c r="A52" t="s">
        <v>513</v>
      </c>
      <c r="B52" t="s">
        <v>512</v>
      </c>
      <c r="C52" t="s">
        <v>168</v>
      </c>
      <c r="D52">
        <v>0.207485</v>
      </c>
      <c r="E52">
        <v>0.207485</v>
      </c>
      <c r="F52">
        <v>0.43018099999999998</v>
      </c>
      <c r="G52">
        <v>0.31403199999999998</v>
      </c>
      <c r="H52">
        <v>2.0733113237101475</v>
      </c>
      <c r="I52">
        <v>1.5135166397570907</v>
      </c>
    </row>
    <row r="53" spans="1:9" x14ac:dyDescent="0.35">
      <c r="A53" t="s">
        <v>394</v>
      </c>
      <c r="B53" t="s">
        <v>393</v>
      </c>
      <c r="C53" t="s">
        <v>168</v>
      </c>
      <c r="D53">
        <v>5.8857910000000002</v>
      </c>
      <c r="E53">
        <v>5.8857910000000002</v>
      </c>
      <c r="F53">
        <v>7.2695350000000003</v>
      </c>
      <c r="G53">
        <v>4.4361490000000003</v>
      </c>
      <c r="H53">
        <v>1.2350990716455954</v>
      </c>
      <c r="I53">
        <v>0.75370481214844365</v>
      </c>
    </row>
    <row r="54" spans="1:9" x14ac:dyDescent="0.35">
      <c r="A54" t="s">
        <v>326</v>
      </c>
      <c r="B54" t="s">
        <v>325</v>
      </c>
      <c r="C54" t="s">
        <v>168</v>
      </c>
      <c r="D54" t="s">
        <v>573</v>
      </c>
      <c r="E54" t="s">
        <v>573</v>
      </c>
      <c r="F54" t="s">
        <v>573</v>
      </c>
      <c r="G54" t="s">
        <v>573</v>
      </c>
      <c r="H54" t="s">
        <v>149</v>
      </c>
      <c r="I54" t="s">
        <v>149</v>
      </c>
    </row>
    <row r="55" spans="1:9" x14ac:dyDescent="0.35">
      <c r="A55" t="s">
        <v>173</v>
      </c>
      <c r="B55" t="s">
        <v>172</v>
      </c>
      <c r="C55" t="s">
        <v>174</v>
      </c>
      <c r="D55">
        <v>573.80110200000001</v>
      </c>
      <c r="E55">
        <v>573.80110200000001</v>
      </c>
      <c r="F55">
        <v>369.79</v>
      </c>
      <c r="G55">
        <v>369.79</v>
      </c>
      <c r="H55">
        <v>0.64445676160447674</v>
      </c>
      <c r="I55">
        <v>0.64445676160447674</v>
      </c>
    </row>
    <row r="56" spans="1:9" x14ac:dyDescent="0.35">
      <c r="A56" t="s">
        <v>574</v>
      </c>
      <c r="B56" t="s">
        <v>268</v>
      </c>
      <c r="C56" t="s">
        <v>174</v>
      </c>
      <c r="D56">
        <v>86.443359999999998</v>
      </c>
      <c r="E56">
        <v>86.443359999999998</v>
      </c>
      <c r="F56">
        <v>57.774830000000001</v>
      </c>
      <c r="G56">
        <v>57.774830000000001</v>
      </c>
      <c r="H56">
        <v>0.66835474696957642</v>
      </c>
      <c r="I56">
        <v>0.66835474696957642</v>
      </c>
    </row>
    <row r="57" spans="1:9" x14ac:dyDescent="0.35">
      <c r="A57" t="s">
        <v>162</v>
      </c>
      <c r="B57" t="s">
        <v>161</v>
      </c>
      <c r="C57" t="s">
        <v>161</v>
      </c>
      <c r="D57">
        <v>1226.1447479999999</v>
      </c>
      <c r="E57">
        <v>1226.1447479999999</v>
      </c>
      <c r="F57">
        <v>1083.6476210000001</v>
      </c>
      <c r="G57">
        <v>694.12682099999995</v>
      </c>
      <c r="H57">
        <v>0.88378441678078301</v>
      </c>
      <c r="I57">
        <v>0.56610512105704502</v>
      </c>
    </row>
    <row r="58" spans="1:9" x14ac:dyDescent="0.35">
      <c r="A58" t="s">
        <v>160</v>
      </c>
      <c r="B58" t="s">
        <v>159</v>
      </c>
      <c r="C58" t="s">
        <v>159</v>
      </c>
      <c r="D58">
        <v>732.33233099999995</v>
      </c>
      <c r="E58">
        <v>732.33233099999995</v>
      </c>
      <c r="F58">
        <v>458.4</v>
      </c>
      <c r="G58">
        <v>421.45</v>
      </c>
      <c r="H58">
        <v>0.62594532645316192</v>
      </c>
      <c r="I58">
        <v>0.57549009126022055</v>
      </c>
    </row>
    <row r="59" spans="1:9" x14ac:dyDescent="0.35">
      <c r="A59" t="s">
        <v>121</v>
      </c>
      <c r="B59" t="s">
        <v>120</v>
      </c>
      <c r="C59" t="s">
        <v>120</v>
      </c>
      <c r="D59">
        <v>11334.073603000001</v>
      </c>
      <c r="E59">
        <v>11334.073603000001</v>
      </c>
      <c r="F59">
        <v>12733.897116</v>
      </c>
      <c r="G59">
        <v>11852.689135000001</v>
      </c>
      <c r="H59">
        <v>1.1235057722432191</v>
      </c>
      <c r="I59">
        <v>1.0457572052349058</v>
      </c>
    </row>
    <row r="60" spans="1:9" x14ac:dyDescent="0.35">
      <c r="A60" t="s">
        <v>132</v>
      </c>
      <c r="B60" t="s">
        <v>130</v>
      </c>
      <c r="C60" t="s">
        <v>130</v>
      </c>
      <c r="D60">
        <v>3390.1849090000001</v>
      </c>
      <c r="E60">
        <v>3390.1849090000001</v>
      </c>
      <c r="F60">
        <v>2245.105536</v>
      </c>
      <c r="G60">
        <v>2245.105536</v>
      </c>
      <c r="H60">
        <v>0.66223689747419612</v>
      </c>
      <c r="I60">
        <v>0.66223689747419612</v>
      </c>
    </row>
    <row r="61" spans="1:9" x14ac:dyDescent="0.35">
      <c r="A61" t="s">
        <v>265</v>
      </c>
      <c r="B61" t="s">
        <v>264</v>
      </c>
      <c r="C61" t="s">
        <v>184</v>
      </c>
      <c r="D61">
        <v>61.928856000000003</v>
      </c>
      <c r="E61">
        <v>61.928856000000003</v>
      </c>
      <c r="F61">
        <v>46.408594000000001</v>
      </c>
      <c r="G61">
        <v>46.408594000000001</v>
      </c>
      <c r="H61">
        <v>0.74938561758673528</v>
      </c>
      <c r="I61">
        <v>0.74938561758673528</v>
      </c>
    </row>
    <row r="62" spans="1:9" x14ac:dyDescent="0.35">
      <c r="A62" t="s">
        <v>575</v>
      </c>
      <c r="B62" t="s">
        <v>184</v>
      </c>
      <c r="C62" t="s">
        <v>184</v>
      </c>
      <c r="D62">
        <v>404.780936</v>
      </c>
      <c r="E62">
        <v>404.780936</v>
      </c>
      <c r="F62">
        <v>264.00278200000002</v>
      </c>
      <c r="G62">
        <v>264.00278200000002</v>
      </c>
      <c r="H62">
        <v>0.65221150138355333</v>
      </c>
      <c r="I62">
        <v>0.65221150138355333</v>
      </c>
    </row>
    <row r="63" spans="1:9" x14ac:dyDescent="0.35">
      <c r="A63" t="s">
        <v>134</v>
      </c>
      <c r="B63" t="s">
        <v>133</v>
      </c>
      <c r="C63" t="s">
        <v>133</v>
      </c>
      <c r="D63">
        <v>2513.4904780000002</v>
      </c>
      <c r="E63">
        <v>2513.4904780000002</v>
      </c>
      <c r="F63">
        <v>4620.1666869999999</v>
      </c>
      <c r="G63">
        <v>3421.0041409999999</v>
      </c>
      <c r="H63">
        <v>1.8381476784731228</v>
      </c>
      <c r="I63">
        <v>1.3610571318822398</v>
      </c>
    </row>
    <row r="64" spans="1:9" x14ac:dyDescent="0.35">
      <c r="A64" t="s">
        <v>140</v>
      </c>
      <c r="B64" t="s">
        <v>139</v>
      </c>
      <c r="C64" t="s">
        <v>139</v>
      </c>
      <c r="D64">
        <v>1294.580359</v>
      </c>
      <c r="E64">
        <v>1294.580359</v>
      </c>
      <c r="F64">
        <v>800.79689399999995</v>
      </c>
      <c r="G64">
        <v>744.47689400000002</v>
      </c>
      <c r="H64">
        <v>0.6185764278229714</v>
      </c>
      <c r="I64">
        <v>0.57507198284320638</v>
      </c>
    </row>
    <row r="65" spans="1:9" x14ac:dyDescent="0.35">
      <c r="A65" t="s">
        <v>576</v>
      </c>
      <c r="B65" t="s">
        <v>157</v>
      </c>
      <c r="C65" t="s">
        <v>157</v>
      </c>
      <c r="D65">
        <v>672.19600600000001</v>
      </c>
      <c r="E65">
        <v>672.19600600000001</v>
      </c>
      <c r="F65">
        <v>436.56</v>
      </c>
      <c r="G65">
        <v>436.56</v>
      </c>
      <c r="H65">
        <v>0.64945342742783274</v>
      </c>
      <c r="I65">
        <v>0.64945342742783274</v>
      </c>
    </row>
    <row r="66" spans="1:9" x14ac:dyDescent="0.35">
      <c r="A66" t="s">
        <v>413</v>
      </c>
      <c r="B66" t="s">
        <v>412</v>
      </c>
      <c r="C66" t="s">
        <v>144</v>
      </c>
      <c r="D66">
        <v>9.009976</v>
      </c>
      <c r="E66">
        <v>9.009976</v>
      </c>
      <c r="F66">
        <v>15.2</v>
      </c>
      <c r="G66">
        <v>10.25</v>
      </c>
      <c r="H66">
        <v>1.6870189221369734</v>
      </c>
      <c r="I66">
        <v>1.1376278915726301</v>
      </c>
    </row>
    <row r="67" spans="1:9" x14ac:dyDescent="0.35">
      <c r="A67" t="s">
        <v>283</v>
      </c>
      <c r="B67" t="s">
        <v>282</v>
      </c>
      <c r="C67" t="s">
        <v>144</v>
      </c>
      <c r="D67">
        <v>27.780512999999999</v>
      </c>
      <c r="E67">
        <v>27.780512999999999</v>
      </c>
      <c r="F67">
        <v>44.463472000000003</v>
      </c>
      <c r="G67">
        <v>32.294522000000001</v>
      </c>
      <c r="H67">
        <v>1.6005273912688367</v>
      </c>
      <c r="I67">
        <v>1.1624883240997026</v>
      </c>
    </row>
    <row r="68" spans="1:9" x14ac:dyDescent="0.35">
      <c r="A68" t="s">
        <v>203</v>
      </c>
      <c r="B68" t="s">
        <v>202</v>
      </c>
      <c r="C68" t="s">
        <v>144</v>
      </c>
      <c r="D68">
        <v>380.43730099999999</v>
      </c>
      <c r="E68">
        <v>380.43730099999999</v>
      </c>
      <c r="F68">
        <v>617.10706400000004</v>
      </c>
      <c r="G68">
        <v>617.10706400000004</v>
      </c>
      <c r="H68">
        <v>1.622099258873672</v>
      </c>
      <c r="I68">
        <v>1.622099258873672</v>
      </c>
    </row>
    <row r="69" spans="1:9" x14ac:dyDescent="0.35">
      <c r="A69" t="s">
        <v>239</v>
      </c>
      <c r="B69" t="s">
        <v>238</v>
      </c>
      <c r="C69" t="s">
        <v>144</v>
      </c>
      <c r="D69">
        <v>89.189757</v>
      </c>
      <c r="E69">
        <v>89.189757</v>
      </c>
      <c r="F69">
        <v>65.568746000000004</v>
      </c>
      <c r="G69">
        <v>65.568746000000004</v>
      </c>
      <c r="H69">
        <v>0.73516004758259412</v>
      </c>
      <c r="I69">
        <v>0.73516004758259412</v>
      </c>
    </row>
    <row r="70" spans="1:9" x14ac:dyDescent="0.35">
      <c r="A70" t="s">
        <v>152</v>
      </c>
      <c r="B70" t="s">
        <v>151</v>
      </c>
      <c r="C70" t="s">
        <v>144</v>
      </c>
      <c r="D70">
        <v>580.30480599999999</v>
      </c>
      <c r="E70">
        <v>580.30480599999999</v>
      </c>
      <c r="F70">
        <v>759.26256100000001</v>
      </c>
      <c r="G70">
        <v>307.199409</v>
      </c>
      <c r="H70">
        <v>1.3083857882093777</v>
      </c>
      <c r="I70">
        <v>0.52937595178213981</v>
      </c>
    </row>
    <row r="71" spans="1:9" x14ac:dyDescent="0.35">
      <c r="A71" t="s">
        <v>231</v>
      </c>
      <c r="B71" t="s">
        <v>230</v>
      </c>
      <c r="C71" t="s">
        <v>144</v>
      </c>
      <c r="D71">
        <v>94.001740999999996</v>
      </c>
      <c r="E71">
        <v>94.001740999999996</v>
      </c>
      <c r="F71">
        <v>116.48622</v>
      </c>
      <c r="G71">
        <v>116.48622</v>
      </c>
      <c r="H71">
        <v>1.2391921549623215</v>
      </c>
      <c r="I71">
        <v>1.2391921549623215</v>
      </c>
    </row>
    <row r="72" spans="1:9" x14ac:dyDescent="0.35">
      <c r="A72" t="s">
        <v>170</v>
      </c>
      <c r="B72" t="s">
        <v>169</v>
      </c>
      <c r="C72" t="s">
        <v>144</v>
      </c>
      <c r="D72">
        <v>571.27359999999999</v>
      </c>
      <c r="E72">
        <v>571.27359999999999</v>
      </c>
      <c r="F72">
        <v>1015.034827</v>
      </c>
      <c r="G72">
        <v>1015.034827</v>
      </c>
      <c r="H72">
        <v>1.7767928134610105</v>
      </c>
      <c r="I72">
        <v>1.7767928134610105</v>
      </c>
    </row>
    <row r="73" spans="1:9" x14ac:dyDescent="0.35">
      <c r="A73" t="s">
        <v>577</v>
      </c>
      <c r="B73" t="s">
        <v>200</v>
      </c>
      <c r="C73" t="s">
        <v>144</v>
      </c>
      <c r="D73">
        <v>234.344222</v>
      </c>
      <c r="E73">
        <v>234.344222</v>
      </c>
      <c r="F73">
        <v>217.61872099999999</v>
      </c>
      <c r="G73">
        <v>217.61872099999999</v>
      </c>
      <c r="H73">
        <v>0.9286284899313626</v>
      </c>
      <c r="I73">
        <v>0.9286284899313626</v>
      </c>
    </row>
    <row r="74" spans="1:9" x14ac:dyDescent="0.35">
      <c r="A74" t="s">
        <v>252</v>
      </c>
      <c r="B74" t="s">
        <v>251</v>
      </c>
      <c r="C74" t="s">
        <v>144</v>
      </c>
      <c r="D74">
        <v>29.721395999999999</v>
      </c>
      <c r="E74" t="s">
        <v>676</v>
      </c>
      <c r="F74">
        <v>44.984735000000001</v>
      </c>
      <c r="G74" t="s">
        <v>578</v>
      </c>
      <c r="H74">
        <v>1.5135471765861874</v>
      </c>
      <c r="I74" t="s">
        <v>149</v>
      </c>
    </row>
    <row r="75" spans="1:9" x14ac:dyDescent="0.35">
      <c r="A75" t="s">
        <v>287</v>
      </c>
      <c r="B75" t="s">
        <v>286</v>
      </c>
      <c r="C75" t="s">
        <v>144</v>
      </c>
      <c r="D75">
        <v>23.459765000000001</v>
      </c>
      <c r="E75">
        <v>23.459765000000001</v>
      </c>
      <c r="F75">
        <v>31.178598000000001</v>
      </c>
      <c r="G75">
        <v>26.911322999999999</v>
      </c>
      <c r="H75">
        <v>1.3290243103458197</v>
      </c>
      <c r="I75">
        <v>1.1471267082172392</v>
      </c>
    </row>
    <row r="76" spans="1:9" x14ac:dyDescent="0.35">
      <c r="A76" t="s">
        <v>219</v>
      </c>
      <c r="B76" t="s">
        <v>218</v>
      </c>
      <c r="C76" t="s">
        <v>144</v>
      </c>
      <c r="D76">
        <v>142.30391700000001</v>
      </c>
      <c r="E76">
        <v>142.30391700000001</v>
      </c>
      <c r="F76">
        <v>138.99513200000001</v>
      </c>
      <c r="G76">
        <v>138.99513200000001</v>
      </c>
      <c r="H76">
        <v>0.97674846153391548</v>
      </c>
      <c r="I76">
        <v>0.97674846153391548</v>
      </c>
    </row>
    <row r="77" spans="1:9" x14ac:dyDescent="0.35">
      <c r="A77" t="s">
        <v>221</v>
      </c>
      <c r="B77" t="s">
        <v>220</v>
      </c>
      <c r="C77" t="s">
        <v>144</v>
      </c>
      <c r="D77">
        <v>112.091148</v>
      </c>
      <c r="E77">
        <v>112.091148</v>
      </c>
      <c r="F77">
        <v>124.327664</v>
      </c>
      <c r="G77">
        <v>124.327664</v>
      </c>
      <c r="H77">
        <v>1.1091657657034613</v>
      </c>
      <c r="I77">
        <v>1.1091657657034613</v>
      </c>
    </row>
    <row r="78" spans="1:9" x14ac:dyDescent="0.35">
      <c r="A78" t="s">
        <v>579</v>
      </c>
      <c r="B78" t="s">
        <v>141</v>
      </c>
      <c r="C78" t="s">
        <v>144</v>
      </c>
      <c r="D78">
        <v>1022.49299</v>
      </c>
      <c r="E78">
        <v>1022.49299</v>
      </c>
      <c r="F78">
        <v>1183.071813</v>
      </c>
      <c r="G78">
        <v>1084.482495</v>
      </c>
      <c r="H78">
        <v>1.1570463803375317</v>
      </c>
      <c r="I78">
        <v>1.0606258483982369</v>
      </c>
    </row>
    <row r="79" spans="1:9" x14ac:dyDescent="0.35">
      <c r="A79" t="s">
        <v>460</v>
      </c>
      <c r="B79" t="s">
        <v>459</v>
      </c>
      <c r="C79" t="s">
        <v>149</v>
      </c>
      <c r="D79">
        <v>47.620029000000002</v>
      </c>
      <c r="E79" t="s">
        <v>676</v>
      </c>
      <c r="F79">
        <v>85.855367000000001</v>
      </c>
      <c r="G79" t="s">
        <v>578</v>
      </c>
      <c r="H79">
        <v>1.8029255505073296</v>
      </c>
      <c r="I79" t="s">
        <v>149</v>
      </c>
    </row>
    <row r="80" spans="1:9" x14ac:dyDescent="0.35">
      <c r="A80" t="s">
        <v>473</v>
      </c>
      <c r="B80" t="s">
        <v>472</v>
      </c>
      <c r="C80" t="s">
        <v>149</v>
      </c>
      <c r="D80">
        <v>135.23150200000001</v>
      </c>
      <c r="E80">
        <v>135.23150200000001</v>
      </c>
      <c r="F80">
        <v>135.833</v>
      </c>
      <c r="G80">
        <v>120</v>
      </c>
      <c r="H80">
        <v>1.0044479133271773</v>
      </c>
      <c r="I80">
        <v>0.88736720531285673</v>
      </c>
    </row>
    <row r="81" spans="1:9" x14ac:dyDescent="0.35">
      <c r="A81" t="s">
        <v>212</v>
      </c>
      <c r="B81" t="s">
        <v>211</v>
      </c>
      <c r="C81" t="s">
        <v>149</v>
      </c>
      <c r="D81">
        <v>7.9865000000000005E-2</v>
      </c>
      <c r="E81">
        <v>7.9865000000000005E-2</v>
      </c>
      <c r="F81">
        <v>8.5277000000000006E-2</v>
      </c>
      <c r="G81">
        <v>7.3757000000000003E-2</v>
      </c>
      <c r="H81">
        <v>1.0677643523445814</v>
      </c>
      <c r="I81">
        <v>0.92352094158893128</v>
      </c>
    </row>
    <row r="82" spans="1:9" x14ac:dyDescent="0.35">
      <c r="A82" t="s">
        <v>336</v>
      </c>
      <c r="B82" t="s">
        <v>335</v>
      </c>
      <c r="C82" t="s">
        <v>149</v>
      </c>
      <c r="D82">
        <v>0.13394300000000001</v>
      </c>
      <c r="E82">
        <v>0.13394300000000001</v>
      </c>
      <c r="F82">
        <v>9.1736999999999999E-2</v>
      </c>
      <c r="G82">
        <v>9.1736999999999999E-2</v>
      </c>
      <c r="H82">
        <v>0.68489581389098342</v>
      </c>
      <c r="I82">
        <v>0.68489581389098342</v>
      </c>
    </row>
    <row r="83" spans="1:9" x14ac:dyDescent="0.35">
      <c r="A83" t="s">
        <v>517</v>
      </c>
      <c r="B83" t="s">
        <v>516</v>
      </c>
      <c r="C83" t="s">
        <v>149</v>
      </c>
      <c r="D83">
        <v>35.505901999999999</v>
      </c>
      <c r="E83">
        <v>35.505901999999999</v>
      </c>
      <c r="F83">
        <v>47.209161000000002</v>
      </c>
      <c r="G83">
        <v>41.009977999999997</v>
      </c>
      <c r="H83">
        <v>1.329614468039708</v>
      </c>
      <c r="I83">
        <v>1.1550186219744536</v>
      </c>
    </row>
    <row r="84" spans="1:9" x14ac:dyDescent="0.35">
      <c r="A84" t="s">
        <v>411</v>
      </c>
      <c r="B84" t="s">
        <v>410</v>
      </c>
      <c r="C84" t="s">
        <v>149</v>
      </c>
      <c r="D84">
        <v>58.351480000000002</v>
      </c>
      <c r="E84">
        <v>58.351480000000002</v>
      </c>
      <c r="F84">
        <v>205.76587699999999</v>
      </c>
      <c r="G84">
        <v>116.726777</v>
      </c>
      <c r="H84">
        <v>3.5263180471172277</v>
      </c>
      <c r="I84">
        <v>2.0004081644544405</v>
      </c>
    </row>
    <row r="85" spans="1:9" x14ac:dyDescent="0.35">
      <c r="A85" t="s">
        <v>384</v>
      </c>
      <c r="B85" t="s">
        <v>383</v>
      </c>
      <c r="C85" t="s">
        <v>149</v>
      </c>
      <c r="D85">
        <v>8.4080000000000005E-3</v>
      </c>
      <c r="E85">
        <v>8.4080000000000005E-3</v>
      </c>
      <c r="F85">
        <v>0</v>
      </c>
      <c r="G85">
        <v>0</v>
      </c>
      <c r="H85">
        <v>0</v>
      </c>
      <c r="I85">
        <v>0</v>
      </c>
    </row>
    <row r="86" spans="1:9" x14ac:dyDescent="0.35">
      <c r="A86" t="s">
        <v>444</v>
      </c>
      <c r="B86" t="s">
        <v>443</v>
      </c>
      <c r="C86" t="s">
        <v>149</v>
      </c>
      <c r="D86">
        <v>0.18908</v>
      </c>
      <c r="E86">
        <v>0.18908</v>
      </c>
      <c r="F86">
        <v>0.22811899999999999</v>
      </c>
      <c r="G86">
        <v>0.22811899999999999</v>
      </c>
      <c r="H86">
        <v>1.206468161624709</v>
      </c>
      <c r="I86">
        <v>1.206468161624709</v>
      </c>
    </row>
    <row r="87" spans="1:9" x14ac:dyDescent="0.35">
      <c r="A87" t="s">
        <v>580</v>
      </c>
      <c r="B87" t="s">
        <v>581</v>
      </c>
      <c r="C87" t="s">
        <v>570</v>
      </c>
      <c r="D87">
        <v>8.1779740000000007</v>
      </c>
      <c r="E87">
        <v>8.1779740000000007</v>
      </c>
      <c r="F87">
        <v>4.8339639999999999</v>
      </c>
      <c r="G87">
        <v>4.8339639999999999</v>
      </c>
      <c r="H87">
        <v>0.59109554518026097</v>
      </c>
      <c r="I87">
        <v>0.59109554518026097</v>
      </c>
    </row>
    <row r="88" spans="1:9" x14ac:dyDescent="0.35">
      <c r="A88" t="s">
        <v>582</v>
      </c>
      <c r="B88" t="s">
        <v>583</v>
      </c>
      <c r="C88" t="s">
        <v>570</v>
      </c>
      <c r="D88">
        <v>114.75496200000001</v>
      </c>
      <c r="E88">
        <v>114.75496200000001</v>
      </c>
      <c r="F88">
        <v>85.504005000000006</v>
      </c>
      <c r="G88">
        <v>85.504005000000006</v>
      </c>
      <c r="H88">
        <v>0.74510072165768315</v>
      </c>
      <c r="I88">
        <v>0.74510072165768315</v>
      </c>
    </row>
    <row r="89" spans="1:9" x14ac:dyDescent="0.35">
      <c r="A89" t="s">
        <v>584</v>
      </c>
      <c r="B89" t="s">
        <v>585</v>
      </c>
      <c r="C89" t="s">
        <v>570</v>
      </c>
      <c r="D89">
        <v>63.795411999999999</v>
      </c>
      <c r="E89">
        <v>63.795411999999999</v>
      </c>
      <c r="F89">
        <v>50.880524000000001</v>
      </c>
      <c r="G89">
        <v>50.880524000000001</v>
      </c>
      <c r="H89">
        <v>0.7975577303270649</v>
      </c>
      <c r="I89">
        <v>0.7975577303270649</v>
      </c>
    </row>
    <row r="90" spans="1:9" x14ac:dyDescent="0.35">
      <c r="A90" t="s">
        <v>586</v>
      </c>
      <c r="B90" t="s">
        <v>587</v>
      </c>
      <c r="C90" t="s">
        <v>570</v>
      </c>
      <c r="D90">
        <v>0.43236799999999997</v>
      </c>
      <c r="E90">
        <v>0.43236799999999997</v>
      </c>
      <c r="F90">
        <v>0.64352699999999996</v>
      </c>
      <c r="G90">
        <v>0.21462200000000001</v>
      </c>
      <c r="H90">
        <v>1.4883779558154164</v>
      </c>
      <c r="I90">
        <v>0.49638733671317031</v>
      </c>
    </row>
    <row r="91" spans="1:9" x14ac:dyDescent="0.35">
      <c r="A91" t="s">
        <v>588</v>
      </c>
      <c r="B91" t="s">
        <v>589</v>
      </c>
      <c r="C91" t="s">
        <v>570</v>
      </c>
      <c r="D91">
        <v>732.52112</v>
      </c>
      <c r="E91">
        <v>732.52112</v>
      </c>
      <c r="F91">
        <v>486.62023499999998</v>
      </c>
      <c r="G91">
        <v>486.62023499999998</v>
      </c>
      <c r="H91">
        <v>0.66430881201077174</v>
      </c>
      <c r="I91">
        <v>0.66430881201077174</v>
      </c>
    </row>
    <row r="92" spans="1:9" x14ac:dyDescent="0.35">
      <c r="A92" t="s">
        <v>590</v>
      </c>
      <c r="B92" t="s">
        <v>591</v>
      </c>
      <c r="C92" t="s">
        <v>570</v>
      </c>
      <c r="D92">
        <v>9.2560950000000002</v>
      </c>
      <c r="E92">
        <v>9.2560950000000002</v>
      </c>
      <c r="F92">
        <v>7.8259990000000004</v>
      </c>
      <c r="G92">
        <v>7.8259990000000004</v>
      </c>
      <c r="H92">
        <v>0.84549683208739757</v>
      </c>
      <c r="I92">
        <v>0.84549683208739757</v>
      </c>
    </row>
    <row r="93" spans="1:9" x14ac:dyDescent="0.35">
      <c r="A93" t="s">
        <v>592</v>
      </c>
      <c r="B93" t="s">
        <v>593</v>
      </c>
      <c r="C93" t="s">
        <v>570</v>
      </c>
      <c r="D93">
        <v>193.13839400000001</v>
      </c>
      <c r="E93">
        <v>193.13839400000001</v>
      </c>
      <c r="F93">
        <v>124.32952899999999</v>
      </c>
      <c r="G93">
        <v>124.32952899999999</v>
      </c>
      <c r="H93">
        <v>0.64373285096281785</v>
      </c>
      <c r="I93">
        <v>0.64373285096281785</v>
      </c>
    </row>
    <row r="94" spans="1:9" x14ac:dyDescent="0.35">
      <c r="A94" t="s">
        <v>594</v>
      </c>
      <c r="B94" t="s">
        <v>595</v>
      </c>
      <c r="C94" t="s">
        <v>570</v>
      </c>
      <c r="D94">
        <v>0.56257800000000002</v>
      </c>
      <c r="E94">
        <v>0.56257800000000002</v>
      </c>
      <c r="F94">
        <v>0.76004400000000005</v>
      </c>
      <c r="G94">
        <v>0.76004400000000005</v>
      </c>
      <c r="H94">
        <v>1.3510019943901113</v>
      </c>
      <c r="I94">
        <v>1.3510019943901113</v>
      </c>
    </row>
    <row r="95" spans="1:9" x14ac:dyDescent="0.35">
      <c r="A95" t="s">
        <v>596</v>
      </c>
      <c r="B95" t="s">
        <v>597</v>
      </c>
      <c r="C95" t="s">
        <v>570</v>
      </c>
      <c r="D95">
        <v>15.729518000000001</v>
      </c>
      <c r="E95">
        <v>15.729518000000001</v>
      </c>
      <c r="F95">
        <v>19.201944999999998</v>
      </c>
      <c r="G95">
        <v>13.665034</v>
      </c>
      <c r="H95">
        <v>1.2207586399023795</v>
      </c>
      <c r="I95">
        <v>0.86875096872008406</v>
      </c>
    </row>
    <row r="96" spans="1:9" x14ac:dyDescent="0.35">
      <c r="A96" t="s">
        <v>598</v>
      </c>
      <c r="B96" t="s">
        <v>599</v>
      </c>
      <c r="C96" t="s">
        <v>570</v>
      </c>
      <c r="D96">
        <v>421.42474600000003</v>
      </c>
      <c r="E96">
        <v>421.42474600000003</v>
      </c>
      <c r="F96">
        <v>274.93950699999999</v>
      </c>
      <c r="G96">
        <v>274.93950699999999</v>
      </c>
      <c r="H96">
        <v>0.6524047522354085</v>
      </c>
      <c r="I96">
        <v>0.6524047522354085</v>
      </c>
    </row>
    <row r="97" spans="1:9" x14ac:dyDescent="0.35">
      <c r="A97" t="s">
        <v>600</v>
      </c>
      <c r="B97" t="s">
        <v>601</v>
      </c>
      <c r="C97" t="s">
        <v>570</v>
      </c>
      <c r="D97">
        <v>1.878001</v>
      </c>
      <c r="E97">
        <v>1.878001</v>
      </c>
      <c r="F97">
        <v>2.690833</v>
      </c>
      <c r="G97">
        <v>1.3732489999999999</v>
      </c>
      <c r="H97">
        <v>1.4328176609064638</v>
      </c>
      <c r="I97">
        <v>0.73122911010164526</v>
      </c>
    </row>
    <row r="98" spans="1:9" x14ac:dyDescent="0.35">
      <c r="A98" t="s">
        <v>602</v>
      </c>
      <c r="B98" t="s">
        <v>603</v>
      </c>
      <c r="C98" t="s">
        <v>570</v>
      </c>
      <c r="D98">
        <v>54.249724999999998</v>
      </c>
      <c r="E98">
        <v>54.249724999999998</v>
      </c>
      <c r="F98">
        <v>26.573293</v>
      </c>
      <c r="G98">
        <v>26.573293</v>
      </c>
      <c r="H98">
        <v>0.48983276873753739</v>
      </c>
      <c r="I98">
        <v>0.48983276873753739</v>
      </c>
    </row>
    <row r="99" spans="1:9" x14ac:dyDescent="0.35">
      <c r="A99" t="s">
        <v>604</v>
      </c>
      <c r="B99" t="s">
        <v>605</v>
      </c>
      <c r="C99" t="s">
        <v>570</v>
      </c>
      <c r="D99">
        <v>0.316021</v>
      </c>
      <c r="E99">
        <v>0.316021</v>
      </c>
      <c r="F99">
        <v>0</v>
      </c>
      <c r="G99">
        <v>0</v>
      </c>
      <c r="H99">
        <v>0</v>
      </c>
      <c r="I99">
        <v>0</v>
      </c>
    </row>
    <row r="100" spans="1:9" x14ac:dyDescent="0.35">
      <c r="A100" t="s">
        <v>606</v>
      </c>
      <c r="B100" t="s">
        <v>607</v>
      </c>
      <c r="C100" t="s">
        <v>570</v>
      </c>
      <c r="D100">
        <v>17.089592</v>
      </c>
      <c r="E100">
        <v>17.089592</v>
      </c>
      <c r="F100">
        <v>15.054783</v>
      </c>
      <c r="G100">
        <v>15.054783</v>
      </c>
      <c r="H100">
        <v>0.88093285082522743</v>
      </c>
      <c r="I100">
        <v>0.88093285082522743</v>
      </c>
    </row>
    <row r="101" spans="1:9" x14ac:dyDescent="0.35">
      <c r="A101" t="s">
        <v>608</v>
      </c>
      <c r="B101" t="s">
        <v>609</v>
      </c>
      <c r="C101" t="s">
        <v>570</v>
      </c>
      <c r="D101">
        <v>95.35557</v>
      </c>
      <c r="E101">
        <v>95.35557</v>
      </c>
      <c r="F101">
        <v>59.298456000000002</v>
      </c>
      <c r="G101">
        <v>59.298456000000002</v>
      </c>
      <c r="H101">
        <v>0.62186672472305504</v>
      </c>
      <c r="I101">
        <v>0.62186672472305504</v>
      </c>
    </row>
    <row r="102" spans="1:9" x14ac:dyDescent="0.35">
      <c r="A102" t="s">
        <v>610</v>
      </c>
      <c r="B102" t="s">
        <v>611</v>
      </c>
      <c r="C102" t="s">
        <v>570</v>
      </c>
      <c r="D102">
        <v>51.619028</v>
      </c>
      <c r="E102">
        <v>51.619028</v>
      </c>
      <c r="F102">
        <v>37.816034999999999</v>
      </c>
      <c r="G102">
        <v>37.816034999999999</v>
      </c>
      <c r="H102">
        <v>0.73259874246372869</v>
      </c>
      <c r="I102">
        <v>0.73259874246372869</v>
      </c>
    </row>
    <row r="103" spans="1:9" x14ac:dyDescent="0.35">
      <c r="A103" t="s">
        <v>612</v>
      </c>
      <c r="B103" t="s">
        <v>613</v>
      </c>
      <c r="C103" t="s">
        <v>570</v>
      </c>
      <c r="D103">
        <v>13.219842</v>
      </c>
      <c r="E103">
        <v>13.219842</v>
      </c>
      <c r="F103">
        <v>12.657301</v>
      </c>
      <c r="G103">
        <v>12.657301</v>
      </c>
      <c r="H103">
        <v>0.95744722213775324</v>
      </c>
      <c r="I103">
        <v>0.95744722213775324</v>
      </c>
    </row>
    <row r="104" spans="1:9" x14ac:dyDescent="0.35">
      <c r="A104" t="s">
        <v>614</v>
      </c>
      <c r="B104" t="s">
        <v>615</v>
      </c>
      <c r="C104" t="s">
        <v>570</v>
      </c>
      <c r="D104">
        <v>42.205032000000003</v>
      </c>
      <c r="E104">
        <v>42.205032000000003</v>
      </c>
      <c r="F104">
        <v>30.241668000000001</v>
      </c>
      <c r="G104">
        <v>30.241668000000001</v>
      </c>
      <c r="H104">
        <v>0.71654176212921716</v>
      </c>
      <c r="I104">
        <v>0.71654176212921716</v>
      </c>
    </row>
    <row r="105" spans="1:9" x14ac:dyDescent="0.35">
      <c r="A105" t="s">
        <v>616</v>
      </c>
      <c r="B105" t="s">
        <v>617</v>
      </c>
      <c r="C105" t="s">
        <v>570</v>
      </c>
      <c r="D105">
        <v>1.3768130000000001</v>
      </c>
      <c r="E105">
        <v>1.3768130000000001</v>
      </c>
      <c r="F105">
        <v>1.280705</v>
      </c>
      <c r="G105">
        <v>0.59701800000000005</v>
      </c>
      <c r="H105">
        <v>0.9301953133795221</v>
      </c>
      <c r="I105">
        <v>0.43362315724793421</v>
      </c>
    </row>
    <row r="106" spans="1:9" x14ac:dyDescent="0.35">
      <c r="A106" t="s">
        <v>618</v>
      </c>
      <c r="B106" t="s">
        <v>619</v>
      </c>
      <c r="C106" t="s">
        <v>570</v>
      </c>
      <c r="D106">
        <v>35.627456000000002</v>
      </c>
      <c r="E106">
        <v>35.627456000000002</v>
      </c>
      <c r="F106">
        <v>49.178457999999999</v>
      </c>
      <c r="G106">
        <v>49.178457999999999</v>
      </c>
      <c r="H106">
        <v>1.3803527818545336</v>
      </c>
      <c r="I106">
        <v>1.3803527818545336</v>
      </c>
    </row>
    <row r="107" spans="1:9" x14ac:dyDescent="0.35">
      <c r="A107" t="s">
        <v>620</v>
      </c>
      <c r="B107" t="s">
        <v>621</v>
      </c>
      <c r="C107" t="s">
        <v>570</v>
      </c>
      <c r="D107">
        <v>40.461291000000003</v>
      </c>
      <c r="E107">
        <v>40.461291000000003</v>
      </c>
      <c r="F107">
        <v>36.247076</v>
      </c>
      <c r="G107">
        <v>36.247076</v>
      </c>
      <c r="H107">
        <v>0.89584576033424135</v>
      </c>
      <c r="I107">
        <v>0.89584576033424135</v>
      </c>
    </row>
    <row r="108" spans="1:9" x14ac:dyDescent="0.35">
      <c r="A108" t="s">
        <v>622</v>
      </c>
      <c r="B108" t="s">
        <v>623</v>
      </c>
      <c r="C108" t="s">
        <v>570</v>
      </c>
      <c r="D108">
        <v>408.24107600000002</v>
      </c>
      <c r="E108">
        <v>408.24107600000002</v>
      </c>
      <c r="F108">
        <v>326.57402100000002</v>
      </c>
      <c r="G108">
        <v>326.57402100000002</v>
      </c>
      <c r="H108">
        <v>0.7999538512876152</v>
      </c>
      <c r="I108">
        <v>0.7999538512876152</v>
      </c>
    </row>
    <row r="109" spans="1:9" x14ac:dyDescent="0.35">
      <c r="A109" t="s">
        <v>624</v>
      </c>
      <c r="B109" t="s">
        <v>625</v>
      </c>
      <c r="C109" t="s">
        <v>570</v>
      </c>
      <c r="D109">
        <v>0.18864700000000001</v>
      </c>
      <c r="E109">
        <v>0.18864700000000001</v>
      </c>
      <c r="F109">
        <v>0.145151</v>
      </c>
      <c r="G109">
        <v>0.145151</v>
      </c>
      <c r="H109">
        <v>0.76943179589391819</v>
      </c>
      <c r="I109">
        <v>0.76943179589391819</v>
      </c>
    </row>
    <row r="110" spans="1:9" x14ac:dyDescent="0.35">
      <c r="A110" t="s">
        <v>626</v>
      </c>
      <c r="B110" t="s">
        <v>627</v>
      </c>
      <c r="C110" t="s">
        <v>570</v>
      </c>
      <c r="D110">
        <v>284.29456800000003</v>
      </c>
      <c r="E110">
        <v>284.29456800000003</v>
      </c>
      <c r="F110">
        <v>260.85178100000002</v>
      </c>
      <c r="G110">
        <v>260.85178100000002</v>
      </c>
      <c r="H110">
        <v>0.91754050327124081</v>
      </c>
      <c r="I110">
        <v>0.91754050327124081</v>
      </c>
    </row>
    <row r="111" spans="1:9" x14ac:dyDescent="0.35">
      <c r="A111" t="s">
        <v>628</v>
      </c>
      <c r="B111" t="s">
        <v>629</v>
      </c>
      <c r="C111" t="s">
        <v>570</v>
      </c>
      <c r="D111">
        <v>4.4405169999999998</v>
      </c>
      <c r="E111">
        <v>4.4405169999999998</v>
      </c>
      <c r="F111">
        <v>2.178925</v>
      </c>
      <c r="G111">
        <v>2.178925</v>
      </c>
      <c r="H111">
        <v>0.49069173702071178</v>
      </c>
      <c r="I111">
        <v>0.49069173702071178</v>
      </c>
    </row>
    <row r="112" spans="1:9" x14ac:dyDescent="0.35">
      <c r="A112" t="s">
        <v>630</v>
      </c>
      <c r="B112" t="s">
        <v>631</v>
      </c>
      <c r="C112" t="s">
        <v>570</v>
      </c>
      <c r="D112">
        <v>15.722407</v>
      </c>
      <c r="E112">
        <v>15.722407</v>
      </c>
      <c r="F112">
        <v>10.790168</v>
      </c>
      <c r="G112">
        <v>10.790168</v>
      </c>
      <c r="H112">
        <v>0.68629237240837226</v>
      </c>
      <c r="I112">
        <v>0.68629237240837226</v>
      </c>
    </row>
    <row r="113" spans="1:9" x14ac:dyDescent="0.35">
      <c r="A113" t="s">
        <v>632</v>
      </c>
      <c r="B113" t="s">
        <v>633</v>
      </c>
      <c r="C113" t="s">
        <v>570</v>
      </c>
      <c r="D113">
        <v>24.797536000000001</v>
      </c>
      <c r="E113">
        <v>24.797536000000001</v>
      </c>
      <c r="F113">
        <v>24.063821999999998</v>
      </c>
      <c r="G113">
        <v>24.063821999999998</v>
      </c>
      <c r="H113">
        <v>0.97041181833549905</v>
      </c>
      <c r="I113">
        <v>0.97041181833549905</v>
      </c>
    </row>
    <row r="114" spans="1:9" x14ac:dyDescent="0.35">
      <c r="A114" t="s">
        <v>634</v>
      </c>
      <c r="B114" t="s">
        <v>635</v>
      </c>
      <c r="C114" t="s">
        <v>570</v>
      </c>
      <c r="D114">
        <v>27.872907000000001</v>
      </c>
      <c r="E114">
        <v>27.872907000000001</v>
      </c>
      <c r="F114">
        <v>19.720758</v>
      </c>
      <c r="G114">
        <v>19.720758</v>
      </c>
      <c r="H114">
        <v>0.70752426361556042</v>
      </c>
      <c r="I114">
        <v>0.70752426361556042</v>
      </c>
    </row>
    <row r="115" spans="1:9" x14ac:dyDescent="0.35">
      <c r="A115" t="s">
        <v>636</v>
      </c>
      <c r="B115" t="s">
        <v>637</v>
      </c>
      <c r="C115" t="s">
        <v>570</v>
      </c>
      <c r="D115">
        <v>0.23255500000000001</v>
      </c>
      <c r="E115">
        <v>0.23255500000000001</v>
      </c>
      <c r="F115">
        <v>0.309278</v>
      </c>
      <c r="G115">
        <v>9.8669999999999994E-2</v>
      </c>
      <c r="H115">
        <v>1.3299133538302765</v>
      </c>
      <c r="I115">
        <v>0.42428672787082622</v>
      </c>
    </row>
    <row r="116" spans="1:9" x14ac:dyDescent="0.35">
      <c r="A116" t="s">
        <v>638</v>
      </c>
      <c r="B116" t="s">
        <v>639</v>
      </c>
      <c r="C116" t="s">
        <v>570</v>
      </c>
      <c r="D116">
        <v>2.9241630000000001</v>
      </c>
      <c r="E116">
        <v>2.9241630000000001</v>
      </c>
      <c r="F116">
        <v>1.569113</v>
      </c>
      <c r="G116">
        <v>1.569113</v>
      </c>
      <c r="H116">
        <v>0.53660243974087629</v>
      </c>
      <c r="I116">
        <v>0.53660243974087629</v>
      </c>
    </row>
    <row r="117" spans="1:9" x14ac:dyDescent="0.35">
      <c r="A117" t="s">
        <v>640</v>
      </c>
      <c r="B117" t="s">
        <v>641</v>
      </c>
      <c r="C117" t="s">
        <v>570</v>
      </c>
      <c r="D117">
        <v>1.602282</v>
      </c>
      <c r="E117">
        <v>1.602282</v>
      </c>
      <c r="F117">
        <v>3.9209520000000002</v>
      </c>
      <c r="G117">
        <v>3.9209520000000002</v>
      </c>
      <c r="H117">
        <v>2.4471048167551031</v>
      </c>
      <c r="I117">
        <v>2.4471048167551031</v>
      </c>
    </row>
    <row r="118" spans="1:9" x14ac:dyDescent="0.35">
      <c r="A118" t="s">
        <v>642</v>
      </c>
      <c r="B118" t="s">
        <v>643</v>
      </c>
      <c r="C118" t="s">
        <v>570</v>
      </c>
      <c r="D118">
        <v>96.797506999999996</v>
      </c>
      <c r="E118">
        <v>96.797506999999996</v>
      </c>
      <c r="F118">
        <v>55.027166000000001</v>
      </c>
      <c r="G118">
        <v>55.027166000000001</v>
      </c>
      <c r="H118">
        <v>0.56847709931207224</v>
      </c>
      <c r="I118">
        <v>0.56847709931207224</v>
      </c>
    </row>
    <row r="119" spans="1:9" x14ac:dyDescent="0.35">
      <c r="A119" t="s">
        <v>644</v>
      </c>
      <c r="B119" t="s">
        <v>645</v>
      </c>
      <c r="C119" t="s">
        <v>570</v>
      </c>
      <c r="D119">
        <v>41.665832999999999</v>
      </c>
      <c r="E119">
        <v>41.665832999999999</v>
      </c>
      <c r="F119">
        <v>27.643753</v>
      </c>
      <c r="G119">
        <v>27.643753</v>
      </c>
      <c r="H119">
        <v>0.66346334657463824</v>
      </c>
      <c r="I119">
        <v>0.66346334657463824</v>
      </c>
    </row>
    <row r="120" spans="1:9" x14ac:dyDescent="0.35">
      <c r="A120" t="s">
        <v>646</v>
      </c>
      <c r="B120" t="s">
        <v>647</v>
      </c>
      <c r="C120" t="s">
        <v>570</v>
      </c>
      <c r="D120">
        <v>377.083507</v>
      </c>
      <c r="E120">
        <v>377.083507</v>
      </c>
      <c r="F120">
        <v>323.48051600000002</v>
      </c>
      <c r="G120">
        <v>323.48051600000002</v>
      </c>
      <c r="H120">
        <v>0.85784848712569128</v>
      </c>
      <c r="I120">
        <v>0.85784848712569128</v>
      </c>
    </row>
    <row r="121" spans="1:9" x14ac:dyDescent="0.35">
      <c r="A121" t="s">
        <v>648</v>
      </c>
      <c r="B121" t="s">
        <v>649</v>
      </c>
      <c r="C121" t="s">
        <v>570</v>
      </c>
      <c r="D121">
        <v>71.932581999999996</v>
      </c>
      <c r="E121">
        <v>71.932581999999996</v>
      </c>
      <c r="F121">
        <v>72.893950000000004</v>
      </c>
      <c r="G121">
        <v>72.893950000000004</v>
      </c>
      <c r="H121">
        <v>1.0133648476569352</v>
      </c>
      <c r="I121">
        <v>1.0133648476569352</v>
      </c>
    </row>
    <row r="122" spans="1:9" x14ac:dyDescent="0.35">
      <c r="A122" t="s">
        <v>650</v>
      </c>
      <c r="B122" t="s">
        <v>651</v>
      </c>
      <c r="C122" t="s">
        <v>570</v>
      </c>
      <c r="D122">
        <v>0.234517</v>
      </c>
      <c r="E122">
        <v>0.234517</v>
      </c>
      <c r="F122">
        <v>0.25659199999999999</v>
      </c>
      <c r="G122">
        <v>0.141126</v>
      </c>
      <c r="H122">
        <v>1.0941296366574704</v>
      </c>
      <c r="I122">
        <v>0.60177300579488902</v>
      </c>
    </row>
    <row r="123" spans="1:9" x14ac:dyDescent="0.35">
      <c r="A123" t="s">
        <v>652</v>
      </c>
      <c r="B123" t="s">
        <v>653</v>
      </c>
      <c r="C123" t="s">
        <v>570</v>
      </c>
      <c r="D123">
        <v>121.313975</v>
      </c>
      <c r="E123">
        <v>121.313975</v>
      </c>
      <c r="F123">
        <v>78.750822999999997</v>
      </c>
      <c r="G123">
        <v>78.750822999999997</v>
      </c>
      <c r="H123">
        <v>0.64914881405872649</v>
      </c>
      <c r="I123">
        <v>0.64914881405872649</v>
      </c>
    </row>
    <row r="124" spans="1:9" x14ac:dyDescent="0.35">
      <c r="A124" t="s">
        <v>654</v>
      </c>
      <c r="B124" t="s">
        <v>655</v>
      </c>
      <c r="C124" t="s">
        <v>570</v>
      </c>
      <c r="D124">
        <v>105.01623600000001</v>
      </c>
      <c r="E124">
        <v>105.01623600000001</v>
      </c>
      <c r="F124">
        <v>102.35033799999999</v>
      </c>
      <c r="G124">
        <v>102.35033799999999</v>
      </c>
      <c r="H124">
        <v>0.97461442057397663</v>
      </c>
      <c r="I124">
        <v>0.97461442057397663</v>
      </c>
    </row>
    <row r="125" spans="1:9" x14ac:dyDescent="0.35">
      <c r="A125" t="s">
        <v>656</v>
      </c>
      <c r="B125" t="s">
        <v>657</v>
      </c>
      <c r="C125" t="s">
        <v>570</v>
      </c>
      <c r="D125">
        <v>0.33449400000000001</v>
      </c>
      <c r="E125">
        <v>0.33449400000000001</v>
      </c>
      <c r="F125">
        <v>0.47688900000000001</v>
      </c>
      <c r="G125">
        <v>0.47688900000000001</v>
      </c>
      <c r="H125">
        <v>1.4257027031875011</v>
      </c>
      <c r="I125">
        <v>1.4257027031875011</v>
      </c>
    </row>
    <row r="126" spans="1:9" x14ac:dyDescent="0.35">
      <c r="A126" t="s">
        <v>658</v>
      </c>
      <c r="B126" t="s">
        <v>659</v>
      </c>
      <c r="C126" t="s">
        <v>570</v>
      </c>
      <c r="D126">
        <v>54.140261000000002</v>
      </c>
      <c r="E126">
        <v>54.140261000000002</v>
      </c>
      <c r="F126">
        <v>51.914084000000003</v>
      </c>
      <c r="G126">
        <v>51.914084000000003</v>
      </c>
      <c r="H126">
        <v>0.95888130277022487</v>
      </c>
      <c r="I126">
        <v>0.95888130277022487</v>
      </c>
    </row>
    <row r="127" spans="1:9" x14ac:dyDescent="0.35">
      <c r="A127" t="s">
        <v>660</v>
      </c>
      <c r="B127" t="s">
        <v>661</v>
      </c>
      <c r="C127" t="s">
        <v>570</v>
      </c>
      <c r="D127">
        <v>70.451789000000005</v>
      </c>
      <c r="E127">
        <v>70.451789000000005</v>
      </c>
      <c r="F127">
        <v>58.141886999999997</v>
      </c>
      <c r="G127">
        <v>58.141886999999997</v>
      </c>
      <c r="H127">
        <v>0.82527197428584809</v>
      </c>
      <c r="I127">
        <v>0.82527197428584809</v>
      </c>
    </row>
    <row r="128" spans="1:9" x14ac:dyDescent="0.35">
      <c r="A128" t="s">
        <v>662</v>
      </c>
      <c r="B128" t="s">
        <v>361</v>
      </c>
      <c r="C128" t="s">
        <v>178</v>
      </c>
      <c r="D128">
        <v>6.299868</v>
      </c>
      <c r="E128">
        <v>6.299868</v>
      </c>
      <c r="F128">
        <v>9.483352</v>
      </c>
      <c r="G128">
        <v>9.3043519999999997</v>
      </c>
      <c r="H128">
        <v>1.5053255084074777</v>
      </c>
      <c r="I128">
        <v>1.4769122146686247</v>
      </c>
    </row>
    <row r="129" spans="1:9" x14ac:dyDescent="0.35">
      <c r="A129" t="s">
        <v>663</v>
      </c>
      <c r="B129" t="s">
        <v>280</v>
      </c>
      <c r="C129" t="s">
        <v>178</v>
      </c>
      <c r="D129">
        <v>39.195552999999997</v>
      </c>
      <c r="E129">
        <v>39.195552999999997</v>
      </c>
      <c r="F129">
        <v>48.070419999999999</v>
      </c>
      <c r="G129">
        <v>37.732695</v>
      </c>
      <c r="H129">
        <v>1.226425354937587</v>
      </c>
      <c r="I129">
        <v>0.96267795992060634</v>
      </c>
    </row>
    <row r="130" spans="1:9" x14ac:dyDescent="0.35">
      <c r="A130" t="s">
        <v>320</v>
      </c>
      <c r="B130" t="s">
        <v>319</v>
      </c>
      <c r="C130" t="s">
        <v>178</v>
      </c>
      <c r="D130">
        <v>9.7271879999999999</v>
      </c>
      <c r="E130">
        <v>9.7271879999999999</v>
      </c>
      <c r="F130">
        <v>21.734575</v>
      </c>
      <c r="G130">
        <v>19.235098000000001</v>
      </c>
      <c r="H130">
        <v>2.2344150231289865</v>
      </c>
      <c r="I130">
        <v>1.9774572055150985</v>
      </c>
    </row>
    <row r="131" spans="1:9" x14ac:dyDescent="0.35">
      <c r="A131" t="s">
        <v>407</v>
      </c>
      <c r="B131" t="s">
        <v>406</v>
      </c>
      <c r="C131" t="s">
        <v>178</v>
      </c>
      <c r="D131">
        <v>2.1862409999999999</v>
      </c>
      <c r="E131">
        <v>2.1862409999999999</v>
      </c>
      <c r="F131">
        <v>3.448696</v>
      </c>
      <c r="G131">
        <v>0</v>
      </c>
      <c r="H131">
        <v>1.5774546356051324</v>
      </c>
      <c r="I131">
        <v>0</v>
      </c>
    </row>
    <row r="132" spans="1:9" x14ac:dyDescent="0.35">
      <c r="A132" t="s">
        <v>267</v>
      </c>
      <c r="B132" t="s">
        <v>266</v>
      </c>
      <c r="C132" t="s">
        <v>178</v>
      </c>
      <c r="D132">
        <v>64.351395999999994</v>
      </c>
      <c r="E132">
        <v>64.351395999999994</v>
      </c>
      <c r="F132">
        <v>67.913183000000004</v>
      </c>
      <c r="G132">
        <v>47.322136999999998</v>
      </c>
      <c r="H132">
        <v>1.055349024596141</v>
      </c>
      <c r="I132">
        <v>0.73537079133450345</v>
      </c>
    </row>
    <row r="133" spans="1:9" x14ac:dyDescent="0.35">
      <c r="A133" t="s">
        <v>176</v>
      </c>
      <c r="B133" t="s">
        <v>175</v>
      </c>
      <c r="C133" t="s">
        <v>178</v>
      </c>
      <c r="D133">
        <v>722.22941900000001</v>
      </c>
      <c r="E133">
        <v>722.22941900000001</v>
      </c>
      <c r="F133">
        <v>881.98</v>
      </c>
      <c r="G133">
        <v>743.24</v>
      </c>
      <c r="H133">
        <v>1.2211909080374916</v>
      </c>
      <c r="I133">
        <v>1.029091283804378</v>
      </c>
    </row>
    <row r="134" spans="1:9" x14ac:dyDescent="0.35">
      <c r="A134" t="s">
        <v>390</v>
      </c>
      <c r="B134" t="s">
        <v>389</v>
      </c>
      <c r="C134" t="s">
        <v>178</v>
      </c>
      <c r="D134">
        <v>4.716215</v>
      </c>
      <c r="E134">
        <v>4.716215</v>
      </c>
      <c r="F134">
        <v>54.447015</v>
      </c>
      <c r="G134">
        <v>46.713912999999998</v>
      </c>
      <c r="H134">
        <v>11.544642260795998</v>
      </c>
      <c r="I134">
        <v>9.9049583193302251</v>
      </c>
    </row>
    <row r="135" spans="1:9" x14ac:dyDescent="0.35">
      <c r="A135" t="s">
        <v>354</v>
      </c>
      <c r="B135" t="s">
        <v>353</v>
      </c>
      <c r="C135" t="s">
        <v>178</v>
      </c>
      <c r="D135">
        <v>7.1600489999999999</v>
      </c>
      <c r="E135">
        <v>7.1600489999999999</v>
      </c>
      <c r="F135">
        <v>6.2815110000000001</v>
      </c>
      <c r="G135">
        <v>6.0274229999999998</v>
      </c>
      <c r="H135">
        <v>0.87730000171786537</v>
      </c>
      <c r="I135">
        <v>0.8418130937372077</v>
      </c>
    </row>
    <row r="136" spans="1:9" x14ac:dyDescent="0.35">
      <c r="A136" t="s">
        <v>208</v>
      </c>
      <c r="B136" t="s">
        <v>207</v>
      </c>
      <c r="C136" t="s">
        <v>178</v>
      </c>
      <c r="D136">
        <v>351.909243</v>
      </c>
      <c r="E136">
        <v>351.909243</v>
      </c>
      <c r="F136">
        <v>339.751014</v>
      </c>
      <c r="G136">
        <v>339.751014</v>
      </c>
      <c r="H136">
        <v>0.96545066876802665</v>
      </c>
      <c r="I136">
        <v>0.96545066876802665</v>
      </c>
    </row>
    <row r="137" spans="1:9" x14ac:dyDescent="0.35">
      <c r="A137" t="s">
        <v>248</v>
      </c>
      <c r="B137" t="s">
        <v>247</v>
      </c>
      <c r="C137" t="s">
        <v>178</v>
      </c>
      <c r="D137">
        <v>97.027083000000005</v>
      </c>
      <c r="E137">
        <v>97.027083000000005</v>
      </c>
      <c r="F137">
        <v>116.2</v>
      </c>
      <c r="G137">
        <v>86.4</v>
      </c>
      <c r="H137">
        <v>1.1976037659505852</v>
      </c>
      <c r="I137">
        <v>0.89047302390818039</v>
      </c>
    </row>
    <row r="138" spans="1:9" x14ac:dyDescent="0.35">
      <c r="A138" t="s">
        <v>664</v>
      </c>
      <c r="B138" t="s">
        <v>262</v>
      </c>
      <c r="C138" t="s">
        <v>178</v>
      </c>
      <c r="D138">
        <v>63.326802999999998</v>
      </c>
      <c r="E138">
        <v>63.326802999999998</v>
      </c>
      <c r="F138">
        <v>107.067472</v>
      </c>
      <c r="G138">
        <v>92.534621999999999</v>
      </c>
      <c r="H138">
        <v>1.6907133619235444</v>
      </c>
      <c r="I138">
        <v>1.4612236464866228</v>
      </c>
    </row>
    <row r="139" spans="1:9" x14ac:dyDescent="0.35">
      <c r="A139" t="s">
        <v>308</v>
      </c>
      <c r="B139" t="s">
        <v>307</v>
      </c>
      <c r="C139" t="s">
        <v>178</v>
      </c>
      <c r="D139">
        <v>37.648004</v>
      </c>
      <c r="E139">
        <v>37.648004</v>
      </c>
      <c r="F139">
        <v>67.065117000000001</v>
      </c>
      <c r="G139">
        <v>58.035035999999998</v>
      </c>
      <c r="H139">
        <v>1.7813724467305092</v>
      </c>
      <c r="I139">
        <v>1.5415169420402739</v>
      </c>
    </row>
    <row r="140" spans="1:9" x14ac:dyDescent="0.35">
      <c r="A140" t="s">
        <v>415</v>
      </c>
      <c r="B140" t="s">
        <v>414</v>
      </c>
      <c r="C140" t="s">
        <v>178</v>
      </c>
      <c r="D140">
        <v>2.6615470000000001</v>
      </c>
      <c r="E140">
        <v>2.6615470000000001</v>
      </c>
      <c r="F140">
        <v>4.7031340000000004</v>
      </c>
      <c r="G140">
        <v>4.7031340000000004</v>
      </c>
      <c r="H140">
        <v>1.7670677992911641</v>
      </c>
      <c r="I140">
        <v>1.7670677992911641</v>
      </c>
    </row>
    <row r="141" spans="1:9" x14ac:dyDescent="0.35">
      <c r="A141" t="s">
        <v>346</v>
      </c>
      <c r="B141" t="s">
        <v>345</v>
      </c>
      <c r="C141" t="s">
        <v>178</v>
      </c>
      <c r="D141">
        <v>44.618858000000003</v>
      </c>
      <c r="E141">
        <v>44.618858000000003</v>
      </c>
      <c r="F141">
        <v>45.697840999999997</v>
      </c>
      <c r="G141">
        <v>35.512799999999999</v>
      </c>
      <c r="H141">
        <v>1.0241822190966876</v>
      </c>
      <c r="I141">
        <v>0.79591458840116425</v>
      </c>
    </row>
    <row r="142" spans="1:9" x14ac:dyDescent="0.35">
      <c r="A142" t="s">
        <v>366</v>
      </c>
      <c r="B142" t="s">
        <v>365</v>
      </c>
      <c r="C142" t="s">
        <v>178</v>
      </c>
      <c r="D142">
        <v>42.346800999999999</v>
      </c>
      <c r="E142">
        <v>42.346800999999999</v>
      </c>
      <c r="F142">
        <v>39.849988000000003</v>
      </c>
      <c r="G142">
        <v>33.549987999999999</v>
      </c>
      <c r="H142">
        <v>0.94103892286928603</v>
      </c>
      <c r="I142">
        <v>0.792267354504535</v>
      </c>
    </row>
    <row r="143" spans="1:9" x14ac:dyDescent="0.35">
      <c r="A143" t="s">
        <v>227</v>
      </c>
      <c r="B143" t="s">
        <v>226</v>
      </c>
      <c r="C143" t="s">
        <v>178</v>
      </c>
      <c r="D143">
        <v>112.02496499999999</v>
      </c>
      <c r="E143">
        <v>112.02496499999999</v>
      </c>
      <c r="F143">
        <v>95</v>
      </c>
      <c r="G143">
        <v>95</v>
      </c>
      <c r="H143">
        <v>0.84802525936964146</v>
      </c>
      <c r="I143">
        <v>0.84802525936964146</v>
      </c>
    </row>
    <row r="144" spans="1:9" x14ac:dyDescent="0.35">
      <c r="A144" t="s">
        <v>665</v>
      </c>
      <c r="B144" t="s">
        <v>290</v>
      </c>
      <c r="C144" t="s">
        <v>178</v>
      </c>
      <c r="D144">
        <v>93.822840999999997</v>
      </c>
      <c r="E144">
        <v>93.822840999999997</v>
      </c>
      <c r="F144">
        <v>150.23404300000001</v>
      </c>
      <c r="G144">
        <v>150.23404300000001</v>
      </c>
      <c r="H144">
        <v>1.6012523325743251</v>
      </c>
      <c r="I144">
        <v>1.6012523325743251</v>
      </c>
    </row>
    <row r="145" spans="1:9" x14ac:dyDescent="0.35">
      <c r="A145" t="s">
        <v>225</v>
      </c>
      <c r="B145" t="s">
        <v>224</v>
      </c>
      <c r="C145" t="s">
        <v>178</v>
      </c>
      <c r="D145">
        <v>195.13079300000001</v>
      </c>
      <c r="E145">
        <v>195.13079300000001</v>
      </c>
      <c r="F145">
        <v>150.04027400000001</v>
      </c>
      <c r="G145">
        <v>150.04027400000001</v>
      </c>
      <c r="H145">
        <v>0.76892156124225863</v>
      </c>
      <c r="I145">
        <v>0.76892156124225863</v>
      </c>
    </row>
    <row r="146" spans="1:9" x14ac:dyDescent="0.35">
      <c r="A146" t="s">
        <v>666</v>
      </c>
      <c r="B146" t="s">
        <v>351</v>
      </c>
      <c r="C146" t="s">
        <v>178</v>
      </c>
      <c r="D146">
        <v>15.77303</v>
      </c>
      <c r="E146">
        <v>15.77303</v>
      </c>
      <c r="F146">
        <v>12.777699999999999</v>
      </c>
      <c r="G146">
        <v>12.777699999999999</v>
      </c>
      <c r="H146">
        <v>0.81009799639004043</v>
      </c>
      <c r="I146">
        <v>0.81009799639004043</v>
      </c>
    </row>
    <row r="147" spans="1:9" x14ac:dyDescent="0.35">
      <c r="A147" t="s">
        <v>468</v>
      </c>
      <c r="B147" t="s">
        <v>467</v>
      </c>
      <c r="C147" t="s">
        <v>178</v>
      </c>
      <c r="D147">
        <v>0.55445999999999995</v>
      </c>
      <c r="E147">
        <v>0.55445999999999995</v>
      </c>
      <c r="F147">
        <v>1.0567740000000001</v>
      </c>
      <c r="G147">
        <v>1.0567740000000001</v>
      </c>
      <c r="H147">
        <v>1.9059517368250194</v>
      </c>
      <c r="I147">
        <v>1.9059517368250194</v>
      </c>
    </row>
    <row r="148" spans="1:9" x14ac:dyDescent="0.35">
      <c r="A148" t="s">
        <v>667</v>
      </c>
      <c r="B148" t="s">
        <v>228</v>
      </c>
      <c r="C148" t="s">
        <v>178</v>
      </c>
      <c r="D148">
        <v>89.925931000000006</v>
      </c>
      <c r="E148">
        <v>89.925931000000006</v>
      </c>
      <c r="F148">
        <v>340</v>
      </c>
      <c r="G148">
        <v>272</v>
      </c>
      <c r="H148">
        <v>3.780889407750474</v>
      </c>
      <c r="I148">
        <v>3.0247115262003792</v>
      </c>
    </row>
    <row r="149" spans="1:9" x14ac:dyDescent="0.35">
      <c r="A149" t="s">
        <v>334</v>
      </c>
      <c r="B149" t="s">
        <v>333</v>
      </c>
      <c r="C149" t="s">
        <v>178</v>
      </c>
      <c r="D149">
        <v>22.227692000000001</v>
      </c>
      <c r="E149">
        <v>22.227692000000001</v>
      </c>
      <c r="F149">
        <v>28.720306000000001</v>
      </c>
      <c r="G149">
        <v>24.125057000000002</v>
      </c>
      <c r="H149">
        <v>1.2920957335561425</v>
      </c>
      <c r="I149">
        <v>1.0853604143876026</v>
      </c>
    </row>
    <row r="150" spans="1:9" x14ac:dyDescent="0.35">
      <c r="A150" t="s">
        <v>254</v>
      </c>
      <c r="B150" t="s">
        <v>253</v>
      </c>
      <c r="C150" t="s">
        <v>156</v>
      </c>
      <c r="D150">
        <v>61.532012000000002</v>
      </c>
      <c r="E150">
        <v>61.532012000000002</v>
      </c>
      <c r="F150">
        <v>63.042796000000003</v>
      </c>
      <c r="G150">
        <v>63.042796000000003</v>
      </c>
      <c r="H150">
        <v>1.0245528132575934</v>
      </c>
      <c r="I150">
        <v>1.0245528132575934</v>
      </c>
    </row>
    <row r="151" spans="1:9" x14ac:dyDescent="0.35">
      <c r="A151" t="s">
        <v>450</v>
      </c>
      <c r="B151" t="s">
        <v>449</v>
      </c>
      <c r="C151" t="s">
        <v>156</v>
      </c>
      <c r="D151">
        <v>2.598306</v>
      </c>
      <c r="E151">
        <v>2.598306</v>
      </c>
      <c r="F151">
        <v>2.1069</v>
      </c>
      <c r="G151">
        <v>1.6387</v>
      </c>
      <c r="H151">
        <v>0.81087446975067601</v>
      </c>
      <c r="I151">
        <v>0.63068014313941467</v>
      </c>
    </row>
    <row r="152" spans="1:9" x14ac:dyDescent="0.35">
      <c r="A152" t="s">
        <v>509</v>
      </c>
      <c r="B152" t="s">
        <v>508</v>
      </c>
      <c r="C152" t="s">
        <v>156</v>
      </c>
      <c r="D152">
        <v>1.6820999999999999E-2</v>
      </c>
      <c r="E152">
        <v>1.6820999999999999E-2</v>
      </c>
      <c r="F152">
        <v>7.6184000000000002E-2</v>
      </c>
      <c r="G152">
        <v>7.6184000000000002E-2</v>
      </c>
      <c r="H152">
        <v>4.5291005291005293</v>
      </c>
      <c r="I152">
        <v>4.5291005291005293</v>
      </c>
    </row>
    <row r="153" spans="1:9" x14ac:dyDescent="0.35">
      <c r="A153" t="s">
        <v>519</v>
      </c>
      <c r="B153" t="s">
        <v>518</v>
      </c>
      <c r="C153" t="s">
        <v>156</v>
      </c>
      <c r="D153">
        <v>7.6355000000000006E-2</v>
      </c>
      <c r="E153">
        <v>7.6355000000000006E-2</v>
      </c>
      <c r="F153">
        <v>6.8737999999999994E-2</v>
      </c>
      <c r="G153">
        <v>2.9951999999999999E-2</v>
      </c>
      <c r="H153">
        <v>0.90024228930652861</v>
      </c>
      <c r="I153">
        <v>0.39227293562962473</v>
      </c>
    </row>
    <row r="154" spans="1:9" x14ac:dyDescent="0.35">
      <c r="A154" t="s">
        <v>273</v>
      </c>
      <c r="B154" t="s">
        <v>272</v>
      </c>
      <c r="C154" t="s">
        <v>156</v>
      </c>
      <c r="D154">
        <v>89.782843</v>
      </c>
      <c r="E154">
        <v>89.782843</v>
      </c>
      <c r="F154">
        <v>60</v>
      </c>
      <c r="G154">
        <v>60</v>
      </c>
      <c r="H154">
        <v>0.66827912767253317</v>
      </c>
      <c r="I154">
        <v>0.66827912767253317</v>
      </c>
    </row>
    <row r="155" spans="1:9" x14ac:dyDescent="0.35">
      <c r="A155" t="s">
        <v>668</v>
      </c>
      <c r="B155" t="s">
        <v>209</v>
      </c>
      <c r="C155" t="s">
        <v>156</v>
      </c>
      <c r="D155">
        <v>240.45711900000001</v>
      </c>
      <c r="E155">
        <v>240.45711900000001</v>
      </c>
      <c r="F155">
        <v>347.52785399999999</v>
      </c>
      <c r="G155">
        <v>-91.517600000000002</v>
      </c>
      <c r="H155">
        <v>1.4452799544687216</v>
      </c>
      <c r="I155">
        <v>0</v>
      </c>
    </row>
    <row r="156" spans="1:9" x14ac:dyDescent="0.35">
      <c r="A156" t="s">
        <v>338</v>
      </c>
      <c r="B156" t="s">
        <v>337</v>
      </c>
      <c r="C156" t="s">
        <v>156</v>
      </c>
      <c r="D156">
        <v>16.524457999999999</v>
      </c>
      <c r="E156">
        <v>16.524457999999999</v>
      </c>
      <c r="F156">
        <v>26.962</v>
      </c>
      <c r="G156">
        <v>19.856286000000001</v>
      </c>
      <c r="H156">
        <v>1.6316420181527287</v>
      </c>
      <c r="I156">
        <v>1.201630092799413</v>
      </c>
    </row>
    <row r="157" spans="1:9" x14ac:dyDescent="0.35">
      <c r="A157" t="s">
        <v>505</v>
      </c>
      <c r="B157" t="s">
        <v>504</v>
      </c>
      <c r="C157" t="s">
        <v>156</v>
      </c>
      <c r="D157">
        <v>0.801678</v>
      </c>
      <c r="E157">
        <v>0.801678</v>
      </c>
      <c r="F157">
        <v>0.59352499999999997</v>
      </c>
      <c r="G157">
        <v>0.45442700000000003</v>
      </c>
      <c r="H157">
        <v>0.74035335882985431</v>
      </c>
      <c r="I157">
        <v>0.56684479304658486</v>
      </c>
    </row>
    <row r="158" spans="1:9" x14ac:dyDescent="0.35">
      <c r="A158" t="s">
        <v>440</v>
      </c>
      <c r="B158" t="s">
        <v>439</v>
      </c>
      <c r="C158" t="s">
        <v>156</v>
      </c>
      <c r="D158">
        <v>3.1539079999999999</v>
      </c>
      <c r="E158">
        <v>3.1539079999999999</v>
      </c>
      <c r="F158">
        <v>4.0722160000000001</v>
      </c>
      <c r="G158">
        <v>4.0722160000000001</v>
      </c>
      <c r="H158">
        <v>1.2911651195913134</v>
      </c>
      <c r="I158">
        <v>1.2911651195913134</v>
      </c>
    </row>
    <row r="159" spans="1:9" x14ac:dyDescent="0.35">
      <c r="A159" t="s">
        <v>364</v>
      </c>
      <c r="B159" t="s">
        <v>363</v>
      </c>
      <c r="C159" t="s">
        <v>156</v>
      </c>
      <c r="D159">
        <v>12.810632999999999</v>
      </c>
      <c r="E159">
        <v>12.810632999999999</v>
      </c>
      <c r="F159">
        <v>17.019881999999999</v>
      </c>
      <c r="G159">
        <v>17.019881999999999</v>
      </c>
      <c r="H159">
        <v>1.3285746301529362</v>
      </c>
      <c r="I159">
        <v>1.3285746301529362</v>
      </c>
    </row>
    <row r="160" spans="1:9" x14ac:dyDescent="0.35">
      <c r="A160" t="s">
        <v>489</v>
      </c>
      <c r="B160" t="s">
        <v>488</v>
      </c>
      <c r="C160" t="s">
        <v>156</v>
      </c>
      <c r="D160">
        <v>0.58961600000000003</v>
      </c>
      <c r="E160">
        <v>0.58961600000000003</v>
      </c>
      <c r="F160">
        <v>0.67191000000000001</v>
      </c>
      <c r="G160">
        <v>0.22062699999999999</v>
      </c>
      <c r="H160">
        <v>1.1395721961412173</v>
      </c>
      <c r="I160">
        <v>0.37418760684920349</v>
      </c>
    </row>
    <row r="161" spans="1:9" x14ac:dyDescent="0.35">
      <c r="A161" t="s">
        <v>216</v>
      </c>
      <c r="B161" t="s">
        <v>215</v>
      </c>
      <c r="C161" t="s">
        <v>156</v>
      </c>
      <c r="D161">
        <v>211.09023300000001</v>
      </c>
      <c r="E161">
        <v>211.09023300000001</v>
      </c>
      <c r="F161">
        <v>352.04500400000001</v>
      </c>
      <c r="G161">
        <v>352.04500400000001</v>
      </c>
      <c r="H161">
        <v>1.6677465318824105</v>
      </c>
      <c r="I161">
        <v>1.6677465318824105</v>
      </c>
    </row>
    <row r="162" spans="1:9" x14ac:dyDescent="0.35">
      <c r="A162" t="s">
        <v>187</v>
      </c>
      <c r="B162" t="s">
        <v>186</v>
      </c>
      <c r="C162" t="s">
        <v>156</v>
      </c>
      <c r="D162">
        <v>352.37768599999998</v>
      </c>
      <c r="E162">
        <v>352.37768599999998</v>
      </c>
      <c r="F162">
        <v>310.12024300000002</v>
      </c>
      <c r="G162">
        <v>273.63550900000001</v>
      </c>
      <c r="H162">
        <v>0.88007911772256775</v>
      </c>
      <c r="I162">
        <v>0.77654039932596652</v>
      </c>
    </row>
    <row r="163" spans="1:9" x14ac:dyDescent="0.35">
      <c r="A163" t="s">
        <v>669</v>
      </c>
      <c r="B163" t="s">
        <v>288</v>
      </c>
      <c r="C163" t="s">
        <v>156</v>
      </c>
      <c r="D163">
        <v>38.954054999999997</v>
      </c>
      <c r="E163">
        <v>38.954054999999997</v>
      </c>
      <c r="F163">
        <v>51.171999999999997</v>
      </c>
      <c r="G163">
        <v>44.823428</v>
      </c>
      <c r="H163">
        <v>1.3136501450234128</v>
      </c>
      <c r="I163">
        <v>1.1506742494459179</v>
      </c>
    </row>
    <row r="164" spans="1:9" x14ac:dyDescent="0.35">
      <c r="A164" t="s">
        <v>670</v>
      </c>
      <c r="B164" t="s">
        <v>329</v>
      </c>
      <c r="C164" t="s">
        <v>156</v>
      </c>
      <c r="D164">
        <v>15.932861000000001</v>
      </c>
      <c r="E164">
        <v>15.932861000000001</v>
      </c>
      <c r="F164">
        <v>23.415234999999999</v>
      </c>
      <c r="G164">
        <v>23.415234999999999</v>
      </c>
      <c r="H164">
        <v>1.4696189843117315</v>
      </c>
      <c r="I164">
        <v>1.4696189843117315</v>
      </c>
    </row>
    <row r="165" spans="1:9" x14ac:dyDescent="0.35">
      <c r="A165" t="s">
        <v>196</v>
      </c>
      <c r="B165" t="s">
        <v>195</v>
      </c>
      <c r="C165" t="s">
        <v>156</v>
      </c>
      <c r="D165">
        <v>546.66432799999995</v>
      </c>
      <c r="E165">
        <v>546.66432799999995</v>
      </c>
      <c r="F165">
        <v>1356.0228999999999</v>
      </c>
      <c r="G165">
        <v>794.97289999999998</v>
      </c>
      <c r="H165">
        <v>2.4805403069943868</v>
      </c>
      <c r="I165">
        <v>1.4542249407574295</v>
      </c>
    </row>
    <row r="166" spans="1:9" x14ac:dyDescent="0.35">
      <c r="A166" t="s">
        <v>342</v>
      </c>
      <c r="B166" t="s">
        <v>341</v>
      </c>
      <c r="C166" t="s">
        <v>156</v>
      </c>
      <c r="D166">
        <v>19.981359999999999</v>
      </c>
      <c r="E166">
        <v>19.981359999999999</v>
      </c>
      <c r="F166">
        <v>25.432466999999999</v>
      </c>
      <c r="G166">
        <v>20.405373999999998</v>
      </c>
      <c r="H166">
        <v>1.2728096085551734</v>
      </c>
      <c r="I166">
        <v>1.021220477485016</v>
      </c>
    </row>
    <row r="167" spans="1:9" x14ac:dyDescent="0.35">
      <c r="A167" t="s">
        <v>507</v>
      </c>
      <c r="B167" t="s">
        <v>506</v>
      </c>
      <c r="C167" t="s">
        <v>156</v>
      </c>
      <c r="D167">
        <v>0.163933</v>
      </c>
      <c r="E167">
        <v>0.163933</v>
      </c>
      <c r="F167">
        <v>9.2400999999999997E-2</v>
      </c>
      <c r="G167">
        <v>8.3417000000000005E-2</v>
      </c>
      <c r="H167">
        <v>0.56365100376373278</v>
      </c>
      <c r="I167">
        <v>0.50884812697870474</v>
      </c>
    </row>
    <row r="168" spans="1:9" x14ac:dyDescent="0.35">
      <c r="A168" t="s">
        <v>462</v>
      </c>
      <c r="B168" t="s">
        <v>461</v>
      </c>
      <c r="C168" t="s">
        <v>156</v>
      </c>
      <c r="D168">
        <v>6.1097539999999997</v>
      </c>
      <c r="E168">
        <v>6.1097539999999997</v>
      </c>
      <c r="F168">
        <v>-3.725924</v>
      </c>
      <c r="G168">
        <v>0</v>
      </c>
      <c r="H168">
        <v>0</v>
      </c>
      <c r="I168">
        <v>0</v>
      </c>
    </row>
    <row r="169" spans="1:9" x14ac:dyDescent="0.35">
      <c r="A169" t="s">
        <v>671</v>
      </c>
      <c r="B169" t="s">
        <v>294</v>
      </c>
      <c r="C169" t="s">
        <v>156</v>
      </c>
      <c r="D169">
        <v>35.556901000000003</v>
      </c>
      <c r="E169">
        <v>35.556901000000003</v>
      </c>
      <c r="F169">
        <v>30.682449999999999</v>
      </c>
      <c r="G169">
        <v>30.682449999999999</v>
      </c>
      <c r="H169">
        <v>0.86291125314886119</v>
      </c>
      <c r="I169">
        <v>0.86291125314886119</v>
      </c>
    </row>
    <row r="170" spans="1:9" x14ac:dyDescent="0.35">
      <c r="A170" t="s">
        <v>497</v>
      </c>
      <c r="B170" t="s">
        <v>496</v>
      </c>
      <c r="C170" t="s">
        <v>156</v>
      </c>
      <c r="D170">
        <v>0.287632</v>
      </c>
      <c r="E170">
        <v>0.287632</v>
      </c>
      <c r="F170">
        <v>0</v>
      </c>
      <c r="G170">
        <v>0</v>
      </c>
      <c r="H170">
        <v>0</v>
      </c>
      <c r="I170">
        <v>0</v>
      </c>
    </row>
    <row r="171" spans="1:9" x14ac:dyDescent="0.35">
      <c r="A171" t="s">
        <v>523</v>
      </c>
      <c r="B171" t="s">
        <v>522</v>
      </c>
      <c r="C171" t="s">
        <v>156</v>
      </c>
      <c r="D171">
        <v>1.261E-2</v>
      </c>
      <c r="E171">
        <v>1.261E-2</v>
      </c>
      <c r="F171">
        <v>2.9329999999999998E-3</v>
      </c>
      <c r="G171">
        <v>2.349E-3</v>
      </c>
      <c r="H171">
        <v>0.23259318001586043</v>
      </c>
      <c r="I171">
        <v>0.18628072957969866</v>
      </c>
    </row>
    <row r="172" spans="1:9" x14ac:dyDescent="0.35">
      <c r="A172" t="s">
        <v>304</v>
      </c>
      <c r="B172" t="s">
        <v>303</v>
      </c>
      <c r="C172" t="s">
        <v>156</v>
      </c>
      <c r="D172">
        <v>48.112637999999997</v>
      </c>
      <c r="E172">
        <v>48.112637999999997</v>
      </c>
      <c r="F172">
        <v>81.014724000000001</v>
      </c>
      <c r="G172">
        <v>53.838247000000003</v>
      </c>
      <c r="H172">
        <v>1.6838553728856025</v>
      </c>
      <c r="I172">
        <v>1.1190042624559478</v>
      </c>
    </row>
    <row r="173" spans="1:9" x14ac:dyDescent="0.35">
      <c r="A173" t="s">
        <v>430</v>
      </c>
      <c r="B173" t="s">
        <v>429</v>
      </c>
      <c r="C173" t="s">
        <v>156</v>
      </c>
      <c r="D173">
        <v>1.847221</v>
      </c>
      <c r="E173">
        <v>1.847221</v>
      </c>
      <c r="F173">
        <v>3.3462519999999998</v>
      </c>
      <c r="G173">
        <v>0</v>
      </c>
      <c r="H173">
        <v>1.811506040695726</v>
      </c>
      <c r="I173">
        <v>0</v>
      </c>
    </row>
    <row r="174" spans="1:9" x14ac:dyDescent="0.35">
      <c r="A174" t="s">
        <v>192</v>
      </c>
      <c r="B174" t="s">
        <v>191</v>
      </c>
      <c r="C174" t="s">
        <v>156</v>
      </c>
      <c r="D174">
        <v>335.31854299999998</v>
      </c>
      <c r="E174">
        <v>335.31854299999998</v>
      </c>
      <c r="F174">
        <v>334.60364399999997</v>
      </c>
      <c r="G174">
        <v>334.60364399999997</v>
      </c>
      <c r="H174">
        <v>0.99786800039865375</v>
      </c>
      <c r="I174">
        <v>0.99786800039865375</v>
      </c>
    </row>
    <row r="175" spans="1:9" x14ac:dyDescent="0.35">
      <c r="A175" t="s">
        <v>501</v>
      </c>
      <c r="B175" t="s">
        <v>500</v>
      </c>
      <c r="C175" t="s">
        <v>156</v>
      </c>
      <c r="D175">
        <v>0.18285399999999999</v>
      </c>
      <c r="E175">
        <v>0.18285399999999999</v>
      </c>
      <c r="F175">
        <v>0.112958</v>
      </c>
      <c r="G175">
        <v>0.112958</v>
      </c>
      <c r="H175">
        <v>0.61774968007262632</v>
      </c>
      <c r="I175">
        <v>0.61774968007262632</v>
      </c>
    </row>
    <row r="176" spans="1:9" x14ac:dyDescent="0.35">
      <c r="A176" t="s">
        <v>672</v>
      </c>
      <c r="B176" t="s">
        <v>179</v>
      </c>
      <c r="C176" t="s">
        <v>156</v>
      </c>
      <c r="D176">
        <v>410.36290500000001</v>
      </c>
      <c r="E176">
        <v>410.36290500000001</v>
      </c>
      <c r="F176">
        <v>813.94059000000004</v>
      </c>
      <c r="G176">
        <v>646.91858999999999</v>
      </c>
      <c r="H176">
        <v>1.9834653183381672</v>
      </c>
      <c r="I176">
        <v>1.5764548454982792</v>
      </c>
    </row>
    <row r="177" spans="1:9" x14ac:dyDescent="0.35">
      <c r="A177" t="s">
        <v>312</v>
      </c>
      <c r="B177" t="s">
        <v>311</v>
      </c>
      <c r="C177" t="s">
        <v>156</v>
      </c>
      <c r="D177">
        <v>50.920371000000003</v>
      </c>
      <c r="E177">
        <v>50.920371000000003</v>
      </c>
      <c r="F177">
        <v>63.274113</v>
      </c>
      <c r="G177">
        <v>63.274113</v>
      </c>
      <c r="H177">
        <v>1.2426090336223197</v>
      </c>
      <c r="I177">
        <v>1.2426090336223197</v>
      </c>
    </row>
    <row r="178" spans="1:9" x14ac:dyDescent="0.35">
      <c r="A178" t="s">
        <v>521</v>
      </c>
      <c r="B178" t="s">
        <v>520</v>
      </c>
      <c r="C178" t="s">
        <v>156</v>
      </c>
      <c r="D178">
        <v>6.0076999999999998E-2</v>
      </c>
      <c r="E178">
        <v>6.0076999999999998E-2</v>
      </c>
      <c r="F178">
        <v>7.1494000000000002E-2</v>
      </c>
      <c r="G178">
        <v>7.1494000000000002E-2</v>
      </c>
      <c r="H178">
        <v>1.1900394493733044</v>
      </c>
      <c r="I178">
        <v>1.1900394493733044</v>
      </c>
    </row>
    <row r="179" spans="1:9" x14ac:dyDescent="0.35">
      <c r="A179" t="s">
        <v>190</v>
      </c>
      <c r="B179" t="s">
        <v>189</v>
      </c>
      <c r="C179" t="s">
        <v>156</v>
      </c>
      <c r="D179">
        <v>427.73449599999998</v>
      </c>
      <c r="E179">
        <v>427.73449599999998</v>
      </c>
      <c r="F179">
        <v>393.48805299999998</v>
      </c>
      <c r="G179">
        <v>337.27547399999997</v>
      </c>
      <c r="H179">
        <v>0.91993527919712137</v>
      </c>
      <c r="I179">
        <v>0.78851595359753257</v>
      </c>
    </row>
    <row r="180" spans="1:9" x14ac:dyDescent="0.35">
      <c r="A180" t="s">
        <v>344</v>
      </c>
      <c r="B180" t="s">
        <v>343</v>
      </c>
      <c r="C180" t="s">
        <v>156</v>
      </c>
      <c r="D180">
        <v>14.361135000000001</v>
      </c>
      <c r="E180">
        <v>14.361135000000001</v>
      </c>
      <c r="F180">
        <v>19.010128000000002</v>
      </c>
      <c r="G180">
        <v>5.9350329999999998</v>
      </c>
      <c r="H180">
        <v>1.323720444101389</v>
      </c>
      <c r="I180">
        <v>0.41327046922126975</v>
      </c>
    </row>
    <row r="181" spans="1:9" x14ac:dyDescent="0.35">
      <c r="A181" t="s">
        <v>241</v>
      </c>
      <c r="B181" t="s">
        <v>240</v>
      </c>
      <c r="C181" t="s">
        <v>156</v>
      </c>
      <c r="D181">
        <v>88.953502999999998</v>
      </c>
      <c r="E181">
        <v>88.953502999999998</v>
      </c>
      <c r="F181">
        <v>61.332566999999997</v>
      </c>
      <c r="G181">
        <v>57.762107</v>
      </c>
      <c r="H181">
        <v>0.6894901823034445</v>
      </c>
      <c r="I181">
        <v>0.64935168432883417</v>
      </c>
    </row>
    <row r="182" spans="1:9" x14ac:dyDescent="0.35">
      <c r="A182" t="s">
        <v>258</v>
      </c>
      <c r="B182" t="s">
        <v>257</v>
      </c>
      <c r="C182" t="s">
        <v>156</v>
      </c>
      <c r="D182">
        <v>38.603389999999997</v>
      </c>
      <c r="E182">
        <v>38.603389999999997</v>
      </c>
      <c r="F182">
        <v>33.805999999999997</v>
      </c>
      <c r="G182">
        <v>25.724</v>
      </c>
      <c r="H182">
        <v>0.87572619917577188</v>
      </c>
      <c r="I182">
        <v>0.66636634761869362</v>
      </c>
    </row>
    <row r="183" spans="1:9" x14ac:dyDescent="0.35">
      <c r="A183" t="s">
        <v>324</v>
      </c>
      <c r="B183" t="s">
        <v>323</v>
      </c>
      <c r="C183" t="s">
        <v>156</v>
      </c>
      <c r="D183">
        <v>14.091191999999999</v>
      </c>
      <c r="E183">
        <v>14.091191999999999</v>
      </c>
      <c r="F183">
        <v>12.349427</v>
      </c>
      <c r="G183">
        <v>9.8882949999999994</v>
      </c>
      <c r="H183">
        <v>0.87639335267023544</v>
      </c>
      <c r="I183">
        <v>0.70173587869642251</v>
      </c>
    </row>
    <row r="184" spans="1:9" x14ac:dyDescent="0.35">
      <c r="A184" t="s">
        <v>318</v>
      </c>
      <c r="B184" t="s">
        <v>317</v>
      </c>
      <c r="C184" t="s">
        <v>156</v>
      </c>
      <c r="D184">
        <v>33.554322999999997</v>
      </c>
      <c r="E184">
        <v>33.554322999999997</v>
      </c>
      <c r="F184">
        <v>54.091949</v>
      </c>
      <c r="G184">
        <v>46.735444000000001</v>
      </c>
      <c r="H184">
        <v>1.6120709394136787</v>
      </c>
      <c r="I184">
        <v>1.3928292935607733</v>
      </c>
    </row>
    <row r="185" spans="1:9" x14ac:dyDescent="0.35">
      <c r="A185" t="s">
        <v>223</v>
      </c>
      <c r="B185" t="s">
        <v>222</v>
      </c>
      <c r="C185" t="s">
        <v>156</v>
      </c>
      <c r="D185">
        <v>235.24805900000001</v>
      </c>
      <c r="E185">
        <v>235.24805900000001</v>
      </c>
      <c r="F185">
        <v>391.720755</v>
      </c>
      <c r="G185">
        <v>325.267605</v>
      </c>
      <c r="H185">
        <v>1.6651391584914201</v>
      </c>
      <c r="I185">
        <v>1.382657975511713</v>
      </c>
    </row>
    <row r="186" spans="1:9" x14ac:dyDescent="0.35">
      <c r="A186" t="s">
        <v>491</v>
      </c>
      <c r="B186" t="s">
        <v>490</v>
      </c>
      <c r="C186" t="s">
        <v>156</v>
      </c>
      <c r="D186">
        <v>0.64458099999999996</v>
      </c>
      <c r="E186">
        <v>0.64458099999999996</v>
      </c>
      <c r="F186">
        <v>0.79038200000000003</v>
      </c>
      <c r="G186">
        <v>0.29055399999999998</v>
      </c>
      <c r="H186">
        <v>1.2261950010937339</v>
      </c>
      <c r="I186">
        <v>0.45076413980554808</v>
      </c>
    </row>
    <row r="187" spans="1:9" x14ac:dyDescent="0.35">
      <c r="A187" t="s">
        <v>154</v>
      </c>
      <c r="B187" t="s">
        <v>153</v>
      </c>
      <c r="C187" t="s">
        <v>156</v>
      </c>
      <c r="D187">
        <v>1072.167649</v>
      </c>
      <c r="E187">
        <v>1072.167649</v>
      </c>
      <c r="F187">
        <v>1152.2242839999999</v>
      </c>
      <c r="G187">
        <v>824.53191200000003</v>
      </c>
      <c r="H187">
        <v>1.0746680195720024</v>
      </c>
      <c r="I187">
        <v>0.7690326347460984</v>
      </c>
    </row>
    <row r="188" spans="1:9" x14ac:dyDescent="0.35">
      <c r="A188" t="s">
        <v>360</v>
      </c>
      <c r="B188" t="s">
        <v>359</v>
      </c>
      <c r="C188" t="s">
        <v>199</v>
      </c>
      <c r="D188">
        <v>9.4607939999999999</v>
      </c>
      <c r="E188">
        <v>9.4607939999999999</v>
      </c>
      <c r="F188">
        <v>6.0579999999999998</v>
      </c>
      <c r="G188">
        <v>6.0579999999999998</v>
      </c>
      <c r="H188">
        <v>0.64032680555141563</v>
      </c>
      <c r="I188">
        <v>0.64032680555141563</v>
      </c>
    </row>
    <row r="189" spans="1:9" x14ac:dyDescent="0.35">
      <c r="A189" t="s">
        <v>293</v>
      </c>
      <c r="B189" t="s">
        <v>292</v>
      </c>
      <c r="C189" t="s">
        <v>199</v>
      </c>
      <c r="D189">
        <v>30.709114</v>
      </c>
      <c r="E189">
        <v>30.709114</v>
      </c>
      <c r="F189">
        <v>22.741050999999999</v>
      </c>
      <c r="G189">
        <v>21.515485999999999</v>
      </c>
      <c r="H189">
        <v>0.74053100327153687</v>
      </c>
      <c r="I189">
        <v>0.70062216708694358</v>
      </c>
    </row>
    <row r="190" spans="1:9" x14ac:dyDescent="0.35">
      <c r="A190" t="s">
        <v>237</v>
      </c>
      <c r="B190" t="s">
        <v>236</v>
      </c>
      <c r="C190" t="s">
        <v>199</v>
      </c>
      <c r="D190">
        <v>110.805316</v>
      </c>
      <c r="E190">
        <v>110.805316</v>
      </c>
      <c r="F190">
        <v>100.65350599999999</v>
      </c>
      <c r="G190">
        <v>95.383859000000001</v>
      </c>
      <c r="H190">
        <v>0.90838156176550222</v>
      </c>
      <c r="I190">
        <v>0.86082385253068538</v>
      </c>
    </row>
    <row r="191" spans="1:9" x14ac:dyDescent="0.35">
      <c r="A191" t="s">
        <v>423</v>
      </c>
      <c r="B191" t="s">
        <v>422</v>
      </c>
      <c r="C191" t="s">
        <v>199</v>
      </c>
      <c r="D191">
        <v>4.8214370000000004</v>
      </c>
      <c r="E191">
        <v>4.8214370000000004</v>
      </c>
      <c r="F191">
        <v>3.4989499999999998</v>
      </c>
      <c r="G191">
        <v>3.4989499999999998</v>
      </c>
      <c r="H191">
        <v>0.72570687950501056</v>
      </c>
      <c r="I191">
        <v>0.72570687950501056</v>
      </c>
    </row>
    <row r="192" spans="1:9" x14ac:dyDescent="0.35">
      <c r="A192" t="s">
        <v>481</v>
      </c>
      <c r="B192" t="s">
        <v>480</v>
      </c>
      <c r="C192" t="s">
        <v>199</v>
      </c>
      <c r="D192">
        <v>0.48787900000000001</v>
      </c>
      <c r="E192">
        <v>0.48787900000000001</v>
      </c>
      <c r="F192">
        <v>0.34082000000000001</v>
      </c>
      <c r="G192">
        <v>0.34082000000000001</v>
      </c>
      <c r="H192">
        <v>0.69857485155130683</v>
      </c>
      <c r="I192">
        <v>0.69857485155130683</v>
      </c>
    </row>
    <row r="193" spans="1:9" x14ac:dyDescent="0.35">
      <c r="A193" t="s">
        <v>388</v>
      </c>
      <c r="B193" t="s">
        <v>387</v>
      </c>
      <c r="C193" t="s">
        <v>199</v>
      </c>
      <c r="D193">
        <v>9.4711619999999996</v>
      </c>
      <c r="E193">
        <v>9.4711619999999996</v>
      </c>
      <c r="F193">
        <v>11.445733000000001</v>
      </c>
      <c r="G193">
        <v>11.445733000000001</v>
      </c>
      <c r="H193">
        <v>1.2084824438648607</v>
      </c>
      <c r="I193">
        <v>1.2084824438648607</v>
      </c>
    </row>
    <row r="194" spans="1:9" x14ac:dyDescent="0.35">
      <c r="A194" t="s">
        <v>250</v>
      </c>
      <c r="B194" t="s">
        <v>249</v>
      </c>
      <c r="C194" t="s">
        <v>199</v>
      </c>
      <c r="D194">
        <v>94.189798999999994</v>
      </c>
      <c r="E194">
        <v>94.189798999999994</v>
      </c>
      <c r="F194">
        <v>68.350787999999994</v>
      </c>
      <c r="G194">
        <v>68.350787999999994</v>
      </c>
      <c r="H194">
        <v>0.72567081282337165</v>
      </c>
      <c r="I194">
        <v>0.72567081282337165</v>
      </c>
    </row>
    <row r="195" spans="1:9" x14ac:dyDescent="0.35">
      <c r="A195" t="s">
        <v>382</v>
      </c>
      <c r="B195" t="s">
        <v>381</v>
      </c>
      <c r="C195" t="s">
        <v>199</v>
      </c>
      <c r="D195">
        <v>9.3054430000000004</v>
      </c>
      <c r="E195">
        <v>9.3054430000000004</v>
      </c>
      <c r="F195">
        <v>13.444000000000001</v>
      </c>
      <c r="G195">
        <v>5.3620000000000001</v>
      </c>
      <c r="H195">
        <v>1.4447458331645253</v>
      </c>
      <c r="I195">
        <v>0.57622189507796673</v>
      </c>
    </row>
    <row r="196" spans="1:9" x14ac:dyDescent="0.35">
      <c r="A196" t="s">
        <v>198</v>
      </c>
      <c r="B196" t="s">
        <v>197</v>
      </c>
      <c r="C196" t="s">
        <v>199</v>
      </c>
      <c r="D196">
        <v>268.37194199999999</v>
      </c>
      <c r="E196">
        <v>268.37194199999999</v>
      </c>
      <c r="F196">
        <v>295.21763199999998</v>
      </c>
      <c r="G196">
        <v>295.21763199999998</v>
      </c>
      <c r="H196">
        <v>1.1000316568115753</v>
      </c>
      <c r="I196">
        <v>1.1000316568115753</v>
      </c>
    </row>
    <row r="197" spans="1:9" x14ac:dyDescent="0.35">
      <c r="A197" t="s">
        <v>673</v>
      </c>
      <c r="B197" t="s">
        <v>136</v>
      </c>
      <c r="C197" t="s">
        <v>136</v>
      </c>
      <c r="D197">
        <v>2481.7780330000001</v>
      </c>
      <c r="E197">
        <v>2481.7780330000001</v>
      </c>
      <c r="F197">
        <v>2674.6053670000001</v>
      </c>
      <c r="G197">
        <v>2674.6053670000001</v>
      </c>
      <c r="H197">
        <v>1.0776972523070116</v>
      </c>
      <c r="I197">
        <v>1.0776972523070116</v>
      </c>
    </row>
    <row r="198" spans="1:9" x14ac:dyDescent="0.35">
      <c r="A198" t="s">
        <v>674</v>
      </c>
      <c r="B198" t="s">
        <v>125</v>
      </c>
      <c r="C198" t="s">
        <v>125</v>
      </c>
      <c r="D198">
        <v>5925.4422709999999</v>
      </c>
      <c r="E198">
        <v>5925.4422709999999</v>
      </c>
      <c r="F198">
        <v>4331.867843</v>
      </c>
      <c r="G198">
        <v>4192.8651300000001</v>
      </c>
      <c r="H198">
        <v>0.73106236545427317</v>
      </c>
      <c r="I198">
        <v>0.70760374301856066</v>
      </c>
    </row>
    <row r="200" spans="1:9" x14ac:dyDescent="0.35">
      <c r="A200" t="s">
        <v>675</v>
      </c>
    </row>
    <row r="202" spans="1:9" x14ac:dyDescent="0.35">
      <c r="D202">
        <f>SUM(D2:D198)</f>
        <v>48072.920882999999</v>
      </c>
      <c r="E202">
        <f>SUM(E2:E198)</f>
        <v>47995.579457999993</v>
      </c>
      <c r="F202">
        <f>SUM(F2:F198)</f>
        <v>51592.334035999986</v>
      </c>
      <c r="G202">
        <f>SUM(G2:G198)</f>
        <v>44768.90264600001</v>
      </c>
    </row>
  </sheetData>
  <sheetProtection algorithmName="SHA-512" hashValue="LBFy54rKujQEkYpOHgCqcx9CueBP3r5l2UN2ePr/Ln6SUbtHaj9Qu0+YhZyM4kV+cwzVS6qF/xN0ghTGW/ceoQ==" saltValue="ISXy/3vSt2LnjKHb4R5yPA==" spinCount="100000" sheet="1" objects="1" scenarios="1"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Template</vt:lpstr>
      <vt:lpstr>Analysis</vt:lpstr>
      <vt:lpstr>Figures</vt:lpstr>
      <vt:lpstr>Data_country level</vt:lpstr>
      <vt:lpstr>Data_world regions</vt:lpstr>
      <vt:lpstr>Model_world regions</vt:lpstr>
      <vt:lpstr>Targets</vt:lpstr>
    </vt:vector>
  </TitlesOfParts>
  <Manager/>
  <Company>Institut für Weltwirtschaft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Bednarz, Lena-Katharina</dc:creator>
  <cp:keywords/>
  <dc:description/>
  <cp:lastModifiedBy>Bednarz, Lena-Katharina</cp:lastModifiedBy>
  <cp:revision/>
  <dcterms:created xsi:type="dcterms:W3CDTF">2023-03-13T08:57:14Z</dcterms:created>
  <dcterms:modified xsi:type="dcterms:W3CDTF">2024-07-30T09:49:22Z</dcterms:modified>
  <cp:category/>
  <cp:contentStatus/>
</cp:coreProperties>
</file>