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Override PartName="/xl/comments29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comments27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comments25.xml" ContentType="application/vnd.openxmlformats-officedocument.spreadsheetml.comments+xml"/>
  <Override PartName="/xl/comments36.xml" ContentType="application/vnd.openxmlformats-officedocument.spreadsheetml.comment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omments14.xml" ContentType="application/vnd.openxmlformats-officedocument.spreadsheetml.comments+xml"/>
  <Override PartName="/xl/comments23.xml" ContentType="application/vnd.openxmlformats-officedocument.spreadsheetml.comments+xml"/>
  <Override PartName="/xl/comments34.xml" ContentType="application/vnd.openxmlformats-officedocument.spreadsheetml.comments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comments32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comments10.xml" ContentType="application/vnd.openxmlformats-officedocument.spreadsheetml.comments+xml"/>
  <Override PartName="/xl/comments3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xl/comments28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comments26.xml" ContentType="application/vnd.openxmlformats-officedocument.spreadsheetml.comments+xml"/>
  <Override PartName="/xl/comments35.xml" ContentType="application/vnd.openxmlformats-officedocument.spreadsheetml.comments+xml"/>
  <Default Extension="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24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comments31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20" windowWidth="21075" windowHeight="9195" tabRatio="705" firstSheet="48" activeTab="51"/>
  </bookViews>
  <sheets>
    <sheet name="Balance Mzo 15" sheetId="1" r:id="rId1"/>
    <sheet name="Balance Mzo 31" sheetId="4" r:id="rId2"/>
    <sheet name="Balance Abr 15" sheetId="6" r:id="rId3"/>
    <sheet name="Balance Abr 30" sheetId="8" r:id="rId4"/>
    <sheet name="Balance May 15" sheetId="9" r:id="rId5"/>
    <sheet name="Balance May 30" sheetId="10" r:id="rId6"/>
    <sheet name="Balance Jun 16" sheetId="11" r:id="rId7"/>
    <sheet name="Balance Jun 30" sheetId="12" r:id="rId8"/>
    <sheet name="Balance Jul 15" sheetId="13" r:id="rId9"/>
    <sheet name="Balance Jul 31" sheetId="14" r:id="rId10"/>
    <sheet name="Balance Ago 15" sheetId="15" r:id="rId11"/>
    <sheet name="Balance Ago 30" sheetId="16" r:id="rId12"/>
    <sheet name="Balance Sep 15" sheetId="17" r:id="rId13"/>
    <sheet name="Balance Sep 30" sheetId="18" r:id="rId14"/>
    <sheet name="Balance Oct 15" sheetId="19" r:id="rId15"/>
    <sheet name="Balance Oct 31" sheetId="20" r:id="rId16"/>
    <sheet name="Balance Nov 15" sheetId="21" r:id="rId17"/>
    <sheet name="Balance Dic 28" sheetId="22" r:id="rId18"/>
    <sheet name="Balance Dic 31" sheetId="23" r:id="rId19"/>
    <sheet name="Balance  Ene 15" sheetId="24" r:id="rId20"/>
    <sheet name="Balance  Ene 31" sheetId="25" r:id="rId21"/>
    <sheet name="Balance  Feb 15" sheetId="26" r:id="rId22"/>
    <sheet name="Balance  Feb 28" sheetId="27" r:id="rId23"/>
    <sheet name="Balance  Marzo 15" sheetId="28" r:id="rId24"/>
    <sheet name="Balance  Marzo 30 2017" sheetId="29" r:id="rId25"/>
    <sheet name="Balance  Abril 15 2017" sheetId="30" r:id="rId26"/>
    <sheet name="Balance  Abril 30 2017" sheetId="31" r:id="rId27"/>
    <sheet name="Balance Mayo 15 2017" sheetId="32" r:id="rId28"/>
    <sheet name="Balance Mayo 30 2017" sheetId="33" r:id="rId29"/>
    <sheet name="Balance Junio 15 2017" sheetId="34" r:id="rId30"/>
    <sheet name="Balance Junio 30 2017" sheetId="35" r:id="rId31"/>
    <sheet name="Balance Julio 31 2017" sheetId="36" r:id="rId32"/>
    <sheet name="Balance Agosto 15 2017" sheetId="37" r:id="rId33"/>
    <sheet name="Balance Agosto 30 2017" sheetId="38" r:id="rId34"/>
    <sheet name="Balance Sept 15 2017" sheetId="39" r:id="rId35"/>
    <sheet name="Balance Oct 30 2017" sheetId="40" r:id="rId36"/>
    <sheet name="Balance Dic 30 2017" sheetId="41" r:id="rId37"/>
    <sheet name="Balance Ene 15 2018" sheetId="42" r:id="rId38"/>
    <sheet name="Balance Feb 15 2018" sheetId="43" r:id="rId39"/>
    <sheet name="Balance Mar 15 2018" sheetId="44" r:id="rId40"/>
    <sheet name="Balance Mar 31 2018" sheetId="45" r:id="rId41"/>
    <sheet name="Balance Abr 15 2018" sheetId="46" r:id="rId42"/>
    <sheet name="Balance Abr 30 2018" sheetId="47" r:id="rId43"/>
    <sheet name="Balance May 30 2018" sheetId="48" r:id="rId44"/>
    <sheet name="Balance Jun 15 2018" sheetId="49" r:id="rId45"/>
    <sheet name="Balance Jun 30 2018" sheetId="50" r:id="rId46"/>
    <sheet name="Balance Jul 15 2018" sheetId="51" r:id="rId47"/>
    <sheet name="Balance Jul 31 2018" sheetId="52" r:id="rId48"/>
    <sheet name="Balance Ago 15 2018" sheetId="53" r:id="rId49"/>
    <sheet name="Balance Ago 30 2018" sheetId="54" r:id="rId50"/>
    <sheet name="Balance Sept 15 2018" sheetId="55" r:id="rId51"/>
    <sheet name="Balance Sept 30 2018" sheetId="57" r:id="rId52"/>
    <sheet name="Hoja1" sheetId="56" r:id="rId53"/>
  </sheets>
  <calcPr calcId="125725"/>
</workbook>
</file>

<file path=xl/calcChain.xml><?xml version="1.0" encoding="utf-8"?>
<calcChain xmlns="http://schemas.openxmlformats.org/spreadsheetml/2006/main">
  <c r="R19" i="56"/>
  <c r="D32" i="57"/>
  <c r="H32"/>
  <c r="U45"/>
  <c r="U38"/>
  <c r="W38" s="1"/>
  <c r="X38" s="1"/>
  <c r="N56" s="1"/>
  <c r="O38"/>
  <c r="B88"/>
  <c r="S83"/>
  <c r="S64"/>
  <c r="W63" s="1"/>
  <c r="X63" s="1"/>
  <c r="X65" s="1"/>
  <c r="AA63" s="1"/>
  <c r="V63"/>
  <c r="L63"/>
  <c r="H63"/>
  <c r="AB58"/>
  <c r="AB59" s="1"/>
  <c r="P55"/>
  <c r="O55"/>
  <c r="L55"/>
  <c r="K55"/>
  <c r="H55"/>
  <c r="G55"/>
  <c r="D55"/>
  <c r="C55"/>
  <c r="Z48"/>
  <c r="S45"/>
  <c r="X44"/>
  <c r="W44"/>
  <c r="U44"/>
  <c r="W43"/>
  <c r="X43" s="1"/>
  <c r="U43"/>
  <c r="U42"/>
  <c r="W42" s="1"/>
  <c r="X42" s="1"/>
  <c r="W37"/>
  <c r="X37" s="1"/>
  <c r="X45" s="1"/>
  <c r="U37"/>
  <c r="X32"/>
  <c r="W32"/>
  <c r="X33" s="1"/>
  <c r="T32"/>
  <c r="S32"/>
  <c r="T33" s="1"/>
  <c r="P32"/>
  <c r="O32"/>
  <c r="L32"/>
  <c r="K32"/>
  <c r="G32"/>
  <c r="C32"/>
  <c r="I27"/>
  <c r="O19" i="56"/>
  <c r="D27"/>
  <c r="L18"/>
  <c r="K18"/>
  <c r="H18"/>
  <c r="H19" s="1"/>
  <c r="G18"/>
  <c r="C18"/>
  <c r="B18"/>
  <c r="C19" s="1"/>
  <c r="S32" i="55"/>
  <c r="T33" s="1"/>
  <c r="B88"/>
  <c r="S83"/>
  <c r="S64"/>
  <c r="W63" s="1"/>
  <c r="X63" s="1"/>
  <c r="X65" s="1"/>
  <c r="AA63" s="1"/>
  <c r="V63"/>
  <c r="L63"/>
  <c r="H63"/>
  <c r="AB58"/>
  <c r="AB59" s="1"/>
  <c r="N56"/>
  <c r="P55"/>
  <c r="O55"/>
  <c r="L55"/>
  <c r="K55"/>
  <c r="H55"/>
  <c r="G55"/>
  <c r="D55"/>
  <c r="C55"/>
  <c r="Z48"/>
  <c r="S45"/>
  <c r="U44"/>
  <c r="W44" s="1"/>
  <c r="X44" s="1"/>
  <c r="W43"/>
  <c r="X43" s="1"/>
  <c r="U43"/>
  <c r="X42"/>
  <c r="W42"/>
  <c r="U42"/>
  <c r="W37"/>
  <c r="X37" s="1"/>
  <c r="X45" s="1"/>
  <c r="R56" s="1"/>
  <c r="U37"/>
  <c r="X32"/>
  <c r="W32"/>
  <c r="X33" s="1"/>
  <c r="T32"/>
  <c r="P32"/>
  <c r="O32"/>
  <c r="L32"/>
  <c r="K32"/>
  <c r="H32"/>
  <c r="G32"/>
  <c r="D32"/>
  <c r="C32"/>
  <c r="I27"/>
  <c r="O55" i="54"/>
  <c r="I27"/>
  <c r="B88"/>
  <c r="S83"/>
  <c r="S64"/>
  <c r="W63" s="1"/>
  <c r="X63" s="1"/>
  <c r="V63"/>
  <c r="L63"/>
  <c r="H63"/>
  <c r="AB59"/>
  <c r="AB58"/>
  <c r="N56"/>
  <c r="L56"/>
  <c r="L57" s="1"/>
  <c r="P55"/>
  <c r="L55"/>
  <c r="K55"/>
  <c r="H55"/>
  <c r="G55"/>
  <c r="D55"/>
  <c r="C55"/>
  <c r="D56" s="1"/>
  <c r="Z48"/>
  <c r="S45"/>
  <c r="W44"/>
  <c r="X44" s="1"/>
  <c r="U44"/>
  <c r="X43"/>
  <c r="W43"/>
  <c r="U43"/>
  <c r="X42"/>
  <c r="W42"/>
  <c r="U42"/>
  <c r="X37"/>
  <c r="X45" s="1"/>
  <c r="R56" s="1"/>
  <c r="W37"/>
  <c r="U37"/>
  <c r="X32"/>
  <c r="W32"/>
  <c r="X33" s="1"/>
  <c r="T32"/>
  <c r="S32"/>
  <c r="T33" s="1"/>
  <c r="P32"/>
  <c r="P33" s="1"/>
  <c r="O32"/>
  <c r="L32"/>
  <c r="K32"/>
  <c r="H32"/>
  <c r="G32"/>
  <c r="D32"/>
  <c r="C32"/>
  <c r="B88" i="53"/>
  <c r="S83"/>
  <c r="S64"/>
  <c r="W63"/>
  <c r="X63" s="1"/>
  <c r="X65" s="1"/>
  <c r="AA63" s="1"/>
  <c r="V63"/>
  <c r="L63"/>
  <c r="H63"/>
  <c r="AB58"/>
  <c r="AB59" s="1"/>
  <c r="P55"/>
  <c r="O55"/>
  <c r="L55"/>
  <c r="K55"/>
  <c r="H55"/>
  <c r="G55"/>
  <c r="H56" s="1"/>
  <c r="F74" s="1"/>
  <c r="D55"/>
  <c r="C55"/>
  <c r="D56" s="1"/>
  <c r="Z48"/>
  <c r="S45"/>
  <c r="X44"/>
  <c r="W44"/>
  <c r="U44"/>
  <c r="U43"/>
  <c r="W43" s="1"/>
  <c r="X43" s="1"/>
  <c r="X42"/>
  <c r="W42"/>
  <c r="U42"/>
  <c r="N56"/>
  <c r="W37"/>
  <c r="X37" s="1"/>
  <c r="X45" s="1"/>
  <c r="R56" s="1"/>
  <c r="U37"/>
  <c r="X32"/>
  <c r="W32"/>
  <c r="X33" s="1"/>
  <c r="T32"/>
  <c r="S32"/>
  <c r="T33" s="1"/>
  <c r="P32"/>
  <c r="P33" s="1"/>
  <c r="O32"/>
  <c r="L32"/>
  <c r="K32"/>
  <c r="L33" s="1"/>
  <c r="H32"/>
  <c r="G32"/>
  <c r="D32"/>
  <c r="C32"/>
  <c r="L63" i="52"/>
  <c r="L33" i="57" l="1"/>
  <c r="D56"/>
  <c r="P33"/>
  <c r="H33"/>
  <c r="D33"/>
  <c r="A35" s="1"/>
  <c r="W45"/>
  <c r="P56"/>
  <c r="H56"/>
  <c r="F74" s="1"/>
  <c r="L56"/>
  <c r="L57" s="1"/>
  <c r="R56"/>
  <c r="X66"/>
  <c r="AA64" s="1"/>
  <c r="P56" i="55"/>
  <c r="P57" s="1"/>
  <c r="L19" i="56"/>
  <c r="L33" i="55"/>
  <c r="D33"/>
  <c r="A35" s="1"/>
  <c r="L56"/>
  <c r="L57" s="1"/>
  <c r="H56"/>
  <c r="F74" s="1"/>
  <c r="D56"/>
  <c r="P33"/>
  <c r="H33"/>
  <c r="X66"/>
  <c r="AA64" s="1"/>
  <c r="H56" i="54"/>
  <c r="F74" s="1"/>
  <c r="P56"/>
  <c r="P57" s="1"/>
  <c r="H33"/>
  <c r="L33"/>
  <c r="D33"/>
  <c r="A35" s="1"/>
  <c r="X65"/>
  <c r="AA63" s="1"/>
  <c r="X66"/>
  <c r="AA64" s="1"/>
  <c r="L56" i="53"/>
  <c r="L57" s="1"/>
  <c r="P56"/>
  <c r="P57" s="1"/>
  <c r="H33"/>
  <c r="D33"/>
  <c r="A35" s="1"/>
  <c r="X66"/>
  <c r="AA64" s="1"/>
  <c r="W32" i="52"/>
  <c r="X33" s="1"/>
  <c r="W32" i="51"/>
  <c r="K32"/>
  <c r="B88" i="52"/>
  <c r="S83"/>
  <c r="S64"/>
  <c r="W63" s="1"/>
  <c r="X63" s="1"/>
  <c r="X65" s="1"/>
  <c r="AA63" s="1"/>
  <c r="V63"/>
  <c r="H63"/>
  <c r="AB59"/>
  <c r="AB58"/>
  <c r="P56"/>
  <c r="P57" s="1"/>
  <c r="P55"/>
  <c r="O55"/>
  <c r="L55"/>
  <c r="K55"/>
  <c r="H55"/>
  <c r="G55"/>
  <c r="D55"/>
  <c r="C55"/>
  <c r="D56" s="1"/>
  <c r="Z48"/>
  <c r="S45"/>
  <c r="U44"/>
  <c r="W44" s="1"/>
  <c r="X44" s="1"/>
  <c r="U43"/>
  <c r="W43" s="1"/>
  <c r="X43" s="1"/>
  <c r="W42"/>
  <c r="X42" s="1"/>
  <c r="U42"/>
  <c r="W38"/>
  <c r="X38" s="1"/>
  <c r="N56" s="1"/>
  <c r="U38"/>
  <c r="U37"/>
  <c r="W37" s="1"/>
  <c r="X37" s="1"/>
  <c r="X45" s="1"/>
  <c r="R56" s="1"/>
  <c r="X32"/>
  <c r="T32"/>
  <c r="S32"/>
  <c r="T33" s="1"/>
  <c r="P32"/>
  <c r="P33" s="1"/>
  <c r="O32"/>
  <c r="L32"/>
  <c r="K32"/>
  <c r="L33" s="1"/>
  <c r="H32"/>
  <c r="G32"/>
  <c r="D32"/>
  <c r="C32"/>
  <c r="B88" i="51"/>
  <c r="S83"/>
  <c r="S64"/>
  <c r="W63" s="1"/>
  <c r="X63" s="1"/>
  <c r="X65" s="1"/>
  <c r="AA63" s="1"/>
  <c r="V63"/>
  <c r="L63"/>
  <c r="H63"/>
  <c r="AB58"/>
  <c r="AB59" s="1"/>
  <c r="P55"/>
  <c r="O55"/>
  <c r="L55"/>
  <c r="K55"/>
  <c r="H55"/>
  <c r="G55"/>
  <c r="D55"/>
  <c r="C55"/>
  <c r="D56" s="1"/>
  <c r="Z48"/>
  <c r="S45"/>
  <c r="U44"/>
  <c r="W44" s="1"/>
  <c r="X44" s="1"/>
  <c r="W43"/>
  <c r="X43" s="1"/>
  <c r="U43"/>
  <c r="X42"/>
  <c r="W42"/>
  <c r="U42"/>
  <c r="W38"/>
  <c r="X38" s="1"/>
  <c r="N56" s="1"/>
  <c r="U38"/>
  <c r="U37"/>
  <c r="W37" s="1"/>
  <c r="X37" s="1"/>
  <c r="X32"/>
  <c r="X33"/>
  <c r="T32"/>
  <c r="S32"/>
  <c r="T33" s="1"/>
  <c r="P32"/>
  <c r="P33" s="1"/>
  <c r="O32"/>
  <c r="L32"/>
  <c r="H32"/>
  <c r="G32"/>
  <c r="D32"/>
  <c r="C32"/>
  <c r="L63" i="50"/>
  <c r="L55"/>
  <c r="W38"/>
  <c r="X38" s="1"/>
  <c r="N56" s="1"/>
  <c r="U38"/>
  <c r="S83"/>
  <c r="B88"/>
  <c r="S64"/>
  <c r="V63"/>
  <c r="H63"/>
  <c r="AB58"/>
  <c r="AB59" s="1"/>
  <c r="P55"/>
  <c r="O55"/>
  <c r="K55"/>
  <c r="H55"/>
  <c r="G55"/>
  <c r="D55"/>
  <c r="C55"/>
  <c r="D56" s="1"/>
  <c r="Z48"/>
  <c r="S45"/>
  <c r="U44"/>
  <c r="W44" s="1"/>
  <c r="X44" s="1"/>
  <c r="W43"/>
  <c r="X43" s="1"/>
  <c r="U43"/>
  <c r="W42"/>
  <c r="X42" s="1"/>
  <c r="U42"/>
  <c r="U37"/>
  <c r="W37" s="1"/>
  <c r="X37" s="1"/>
  <c r="X32"/>
  <c r="X33" s="1"/>
  <c r="W32"/>
  <c r="T32"/>
  <c r="S32"/>
  <c r="T33" s="1"/>
  <c r="P32"/>
  <c r="P33" s="1"/>
  <c r="O32"/>
  <c r="L32"/>
  <c r="L33" s="1"/>
  <c r="K32"/>
  <c r="H32"/>
  <c r="G32"/>
  <c r="D32"/>
  <c r="C32"/>
  <c r="B87" i="49"/>
  <c r="S63"/>
  <c r="W62"/>
  <c r="X62" s="1"/>
  <c r="X64" s="1"/>
  <c r="AA62" s="1"/>
  <c r="V62"/>
  <c r="X65" s="1"/>
  <c r="AA63" s="1"/>
  <c r="L62"/>
  <c r="H62"/>
  <c r="AB57"/>
  <c r="AB58" s="1"/>
  <c r="P55"/>
  <c r="N55"/>
  <c r="P54"/>
  <c r="O54"/>
  <c r="L54"/>
  <c r="K54"/>
  <c r="H54"/>
  <c r="G54"/>
  <c r="D54"/>
  <c r="C54"/>
  <c r="D55" s="1"/>
  <c r="Z47"/>
  <c r="S44"/>
  <c r="U43"/>
  <c r="W43" s="1"/>
  <c r="X43" s="1"/>
  <c r="W42"/>
  <c r="X42" s="1"/>
  <c r="U42"/>
  <c r="W41"/>
  <c r="X41" s="1"/>
  <c r="U41"/>
  <c r="W40"/>
  <c r="X40" s="1"/>
  <c r="U40"/>
  <c r="X39"/>
  <c r="W39"/>
  <c r="U39"/>
  <c r="X38"/>
  <c r="W38"/>
  <c r="U38"/>
  <c r="U36"/>
  <c r="W36" s="1"/>
  <c r="X36" s="1"/>
  <c r="X31"/>
  <c r="W31"/>
  <c r="X32" s="1"/>
  <c r="T31"/>
  <c r="S31"/>
  <c r="T32" s="1"/>
  <c r="P31"/>
  <c r="P32" s="1"/>
  <c r="O31"/>
  <c r="L31"/>
  <c r="K31"/>
  <c r="L32" s="1"/>
  <c r="H31"/>
  <c r="G31"/>
  <c r="D31"/>
  <c r="C31"/>
  <c r="S63" i="48"/>
  <c r="B87"/>
  <c r="G54"/>
  <c r="H54"/>
  <c r="H55"/>
  <c r="F73"/>
  <c r="V62"/>
  <c r="W62"/>
  <c r="X62"/>
  <c r="X65"/>
  <c r="X64"/>
  <c r="AA63"/>
  <c r="AA62"/>
  <c r="L62"/>
  <c r="H62"/>
  <c r="AB57"/>
  <c r="AB58"/>
  <c r="O54"/>
  <c r="P54"/>
  <c r="P55"/>
  <c r="U36"/>
  <c r="W36"/>
  <c r="X36"/>
  <c r="R55"/>
  <c r="P56"/>
  <c r="K54"/>
  <c r="L54"/>
  <c r="L55"/>
  <c r="N55"/>
  <c r="L56"/>
  <c r="C54"/>
  <c r="D54"/>
  <c r="D55"/>
  <c r="Z47"/>
  <c r="U38"/>
  <c r="W38"/>
  <c r="X38"/>
  <c r="U39"/>
  <c r="W39"/>
  <c r="X39"/>
  <c r="U40"/>
  <c r="W40"/>
  <c r="X40"/>
  <c r="U41"/>
  <c r="W41"/>
  <c r="X41"/>
  <c r="U42"/>
  <c r="W42"/>
  <c r="X42"/>
  <c r="U43"/>
  <c r="W43"/>
  <c r="X43"/>
  <c r="X44"/>
  <c r="S44"/>
  <c r="C31"/>
  <c r="D31"/>
  <c r="D32"/>
  <c r="A34"/>
  <c r="W31"/>
  <c r="X31"/>
  <c r="X32"/>
  <c r="S31"/>
  <c r="T31"/>
  <c r="T32"/>
  <c r="O31"/>
  <c r="P31"/>
  <c r="P32"/>
  <c r="K31"/>
  <c r="L31"/>
  <c r="L32"/>
  <c r="G31"/>
  <c r="H31"/>
  <c r="H32"/>
  <c r="O31" i="46"/>
  <c r="P31"/>
  <c r="P32"/>
  <c r="B87" i="47"/>
  <c r="G54"/>
  <c r="H54"/>
  <c r="H55"/>
  <c r="F73"/>
  <c r="V62"/>
  <c r="S63"/>
  <c r="W62"/>
  <c r="X62"/>
  <c r="X65"/>
  <c r="X64"/>
  <c r="AA63"/>
  <c r="AA62"/>
  <c r="L62"/>
  <c r="H62"/>
  <c r="AB57"/>
  <c r="AB58"/>
  <c r="O54"/>
  <c r="P54"/>
  <c r="P55"/>
  <c r="U36"/>
  <c r="W36"/>
  <c r="X36"/>
  <c r="R55"/>
  <c r="P56"/>
  <c r="K54"/>
  <c r="L54"/>
  <c r="L55"/>
  <c r="N55"/>
  <c r="L56"/>
  <c r="C54"/>
  <c r="D54"/>
  <c r="D55"/>
  <c r="Z47"/>
  <c r="U38"/>
  <c r="W38"/>
  <c r="X38"/>
  <c r="U39"/>
  <c r="W39"/>
  <c r="X39"/>
  <c r="U40"/>
  <c r="W40"/>
  <c r="X40"/>
  <c r="U41"/>
  <c r="W41"/>
  <c r="X41"/>
  <c r="U42"/>
  <c r="W42"/>
  <c r="X42"/>
  <c r="U43"/>
  <c r="W43"/>
  <c r="X43"/>
  <c r="X44"/>
  <c r="S44"/>
  <c r="C31"/>
  <c r="D31"/>
  <c r="D32"/>
  <c r="A34"/>
  <c r="W31"/>
  <c r="X31"/>
  <c r="X32"/>
  <c r="S31"/>
  <c r="T31"/>
  <c r="T32"/>
  <c r="O31"/>
  <c r="P31"/>
  <c r="P32"/>
  <c r="K31"/>
  <c r="L31"/>
  <c r="L32"/>
  <c r="G31"/>
  <c r="H31"/>
  <c r="H32"/>
  <c r="B87" i="46"/>
  <c r="S63"/>
  <c r="V62"/>
  <c r="L62"/>
  <c r="H62"/>
  <c r="AB58"/>
  <c r="AB57"/>
  <c r="R55"/>
  <c r="N55"/>
  <c r="P54"/>
  <c r="O54"/>
  <c r="L54"/>
  <c r="K54"/>
  <c r="H54"/>
  <c r="G54"/>
  <c r="D54"/>
  <c r="C54"/>
  <c r="D55"/>
  <c r="Z47"/>
  <c r="S44"/>
  <c r="X43"/>
  <c r="W43"/>
  <c r="U43"/>
  <c r="X42"/>
  <c r="W42"/>
  <c r="U42"/>
  <c r="X41"/>
  <c r="W41"/>
  <c r="U41"/>
  <c r="X40"/>
  <c r="W40"/>
  <c r="U40"/>
  <c r="U39"/>
  <c r="W39"/>
  <c r="X39"/>
  <c r="X44"/>
  <c r="X38"/>
  <c r="W38"/>
  <c r="U38"/>
  <c r="X36"/>
  <c r="W36"/>
  <c r="U36"/>
  <c r="L32"/>
  <c r="X31"/>
  <c r="W31"/>
  <c r="X32"/>
  <c r="T31"/>
  <c r="S31"/>
  <c r="T32"/>
  <c r="L31"/>
  <c r="K31"/>
  <c r="H31"/>
  <c r="G31"/>
  <c r="D31"/>
  <c r="C31"/>
  <c r="P31" i="45"/>
  <c r="D31"/>
  <c r="C31"/>
  <c r="O31"/>
  <c r="S63"/>
  <c r="W62"/>
  <c r="X62"/>
  <c r="V62"/>
  <c r="B87"/>
  <c r="L62"/>
  <c r="H62"/>
  <c r="AB58"/>
  <c r="AB57"/>
  <c r="N55"/>
  <c r="P54"/>
  <c r="O54"/>
  <c r="P55"/>
  <c r="L54"/>
  <c r="K54"/>
  <c r="H54"/>
  <c r="H55"/>
  <c r="F73"/>
  <c r="G54"/>
  <c r="D54"/>
  <c r="C54"/>
  <c r="D55"/>
  <c r="Z47"/>
  <c r="S44"/>
  <c r="X43"/>
  <c r="W43"/>
  <c r="U43"/>
  <c r="U42"/>
  <c r="W42"/>
  <c r="X42"/>
  <c r="U41"/>
  <c r="W41"/>
  <c r="X41"/>
  <c r="U40"/>
  <c r="W40"/>
  <c r="X40"/>
  <c r="W39"/>
  <c r="X39"/>
  <c r="U39"/>
  <c r="W38"/>
  <c r="X38"/>
  <c r="U38"/>
  <c r="W36"/>
  <c r="X36"/>
  <c r="U36"/>
  <c r="X31"/>
  <c r="W31"/>
  <c r="X32"/>
  <c r="T31"/>
  <c r="S31"/>
  <c r="T32"/>
  <c r="L31"/>
  <c r="K31"/>
  <c r="L32"/>
  <c r="H31"/>
  <c r="G31"/>
  <c r="H32"/>
  <c r="S31" i="44"/>
  <c r="T32"/>
  <c r="K31"/>
  <c r="L32"/>
  <c r="H31"/>
  <c r="B87"/>
  <c r="W62"/>
  <c r="X62"/>
  <c r="X64"/>
  <c r="AA62"/>
  <c r="V62"/>
  <c r="P62"/>
  <c r="L62"/>
  <c r="H62"/>
  <c r="AB58"/>
  <c r="AB57"/>
  <c r="R55"/>
  <c r="N55"/>
  <c r="P54"/>
  <c r="O54"/>
  <c r="P55"/>
  <c r="P56"/>
  <c r="L54"/>
  <c r="K54"/>
  <c r="H54"/>
  <c r="G54"/>
  <c r="D54"/>
  <c r="C54"/>
  <c r="D55"/>
  <c r="Z47"/>
  <c r="S44"/>
  <c r="X43"/>
  <c r="W43"/>
  <c r="U43"/>
  <c r="X42"/>
  <c r="W42"/>
  <c r="U42"/>
  <c r="X41"/>
  <c r="W41"/>
  <c r="U41"/>
  <c r="X40"/>
  <c r="W40"/>
  <c r="U40"/>
  <c r="U39"/>
  <c r="W39"/>
  <c r="X39"/>
  <c r="X44"/>
  <c r="X38"/>
  <c r="W38"/>
  <c r="U38"/>
  <c r="X36"/>
  <c r="W36"/>
  <c r="U36"/>
  <c r="X32"/>
  <c r="X31"/>
  <c r="W31"/>
  <c r="T31"/>
  <c r="P31"/>
  <c r="O31"/>
  <c r="L31"/>
  <c r="D31"/>
  <c r="C31"/>
  <c r="G31"/>
  <c r="G2" i="43"/>
  <c r="S63"/>
  <c r="V62"/>
  <c r="P55"/>
  <c r="T31" i="42"/>
  <c r="S31"/>
  <c r="P55" i="46"/>
  <c r="P56"/>
  <c r="H32"/>
  <c r="L55"/>
  <c r="L56"/>
  <c r="H55"/>
  <c r="F73"/>
  <c r="D32"/>
  <c r="A34"/>
  <c r="X65"/>
  <c r="AA63"/>
  <c r="W62"/>
  <c r="X62"/>
  <c r="X64"/>
  <c r="AA62"/>
  <c r="D32" i="45"/>
  <c r="A34"/>
  <c r="P32"/>
  <c r="L55"/>
  <c r="L56"/>
  <c r="P56"/>
  <c r="X64"/>
  <c r="AA62"/>
  <c r="X65"/>
  <c r="AA63"/>
  <c r="X44"/>
  <c r="R55"/>
  <c r="H55" i="44"/>
  <c r="F73"/>
  <c r="L55"/>
  <c r="L56"/>
  <c r="D32"/>
  <c r="A34"/>
  <c r="P32"/>
  <c r="H32"/>
  <c r="X65"/>
  <c r="AA63"/>
  <c r="B87" i="43"/>
  <c r="W62"/>
  <c r="X62"/>
  <c r="X64"/>
  <c r="AA62"/>
  <c r="P62"/>
  <c r="L62"/>
  <c r="H62"/>
  <c r="AB58"/>
  <c r="AB57"/>
  <c r="R55"/>
  <c r="N55"/>
  <c r="P54"/>
  <c r="O54"/>
  <c r="L54"/>
  <c r="K54"/>
  <c r="H54"/>
  <c r="G54"/>
  <c r="D54"/>
  <c r="C54"/>
  <c r="D55"/>
  <c r="Z47"/>
  <c r="S44"/>
  <c r="X43"/>
  <c r="W43"/>
  <c r="U43"/>
  <c r="U42"/>
  <c r="W42"/>
  <c r="X42"/>
  <c r="W41"/>
  <c r="X41"/>
  <c r="U41"/>
  <c r="X40"/>
  <c r="W40"/>
  <c r="U40"/>
  <c r="W39"/>
  <c r="X39"/>
  <c r="U39"/>
  <c r="X38"/>
  <c r="W38"/>
  <c r="U38"/>
  <c r="X36"/>
  <c r="W36"/>
  <c r="U36"/>
  <c r="X31"/>
  <c r="W31"/>
  <c r="X32"/>
  <c r="T31"/>
  <c r="S31"/>
  <c r="T32"/>
  <c r="P31"/>
  <c r="P32"/>
  <c r="O31"/>
  <c r="L31"/>
  <c r="K31"/>
  <c r="L32"/>
  <c r="H31"/>
  <c r="G31"/>
  <c r="D31"/>
  <c r="C31"/>
  <c r="L55"/>
  <c r="L56"/>
  <c r="P56"/>
  <c r="H55"/>
  <c r="F73"/>
  <c r="H32"/>
  <c r="D32"/>
  <c r="A34"/>
  <c r="X65"/>
  <c r="AA63"/>
  <c r="X44"/>
  <c r="X32" i="42"/>
  <c r="X31"/>
  <c r="W31"/>
  <c r="B87"/>
  <c r="S63"/>
  <c r="W62"/>
  <c r="X62"/>
  <c r="X64"/>
  <c r="AA62"/>
  <c r="V62"/>
  <c r="X65"/>
  <c r="AA63"/>
  <c r="P62"/>
  <c r="L62"/>
  <c r="H62"/>
  <c r="AB58"/>
  <c r="AB57"/>
  <c r="P54"/>
  <c r="O54"/>
  <c r="P55"/>
  <c r="L54"/>
  <c r="L55"/>
  <c r="K54"/>
  <c r="H54"/>
  <c r="G54"/>
  <c r="H55"/>
  <c r="F73"/>
  <c r="D54"/>
  <c r="C54"/>
  <c r="D55"/>
  <c r="Z47"/>
  <c r="S44"/>
  <c r="W43"/>
  <c r="X43"/>
  <c r="U43"/>
  <c r="U42"/>
  <c r="W42"/>
  <c r="X42"/>
  <c r="X41"/>
  <c r="W41"/>
  <c r="U41"/>
  <c r="X40"/>
  <c r="W40"/>
  <c r="U40"/>
  <c r="U39"/>
  <c r="W39"/>
  <c r="X39"/>
  <c r="U38"/>
  <c r="W38"/>
  <c r="X38"/>
  <c r="N55"/>
  <c r="W36"/>
  <c r="X36"/>
  <c r="U36"/>
  <c r="T32"/>
  <c r="P31"/>
  <c r="O31"/>
  <c r="L31"/>
  <c r="K31"/>
  <c r="L32"/>
  <c r="H31"/>
  <c r="G31"/>
  <c r="D31"/>
  <c r="C31"/>
  <c r="G54" i="41"/>
  <c r="S63"/>
  <c r="W62"/>
  <c r="X62"/>
  <c r="V62"/>
  <c r="N55"/>
  <c r="W43"/>
  <c r="X43"/>
  <c r="U43"/>
  <c r="X42"/>
  <c r="W42"/>
  <c r="U42"/>
  <c r="U41"/>
  <c r="W41"/>
  <c r="X41"/>
  <c r="U40"/>
  <c r="W40"/>
  <c r="X40"/>
  <c r="W39"/>
  <c r="X39"/>
  <c r="U39"/>
  <c r="W38"/>
  <c r="X38"/>
  <c r="U38"/>
  <c r="X37"/>
  <c r="W37"/>
  <c r="U37"/>
  <c r="U36"/>
  <c r="W36"/>
  <c r="X36"/>
  <c r="R55"/>
  <c r="B87"/>
  <c r="P62"/>
  <c r="L62"/>
  <c r="H62"/>
  <c r="AB58"/>
  <c r="AB57"/>
  <c r="P54"/>
  <c r="O54"/>
  <c r="P55"/>
  <c r="L54"/>
  <c r="K54"/>
  <c r="H54"/>
  <c r="D54"/>
  <c r="D55"/>
  <c r="C54"/>
  <c r="Z47"/>
  <c r="S44"/>
  <c r="T31"/>
  <c r="S31"/>
  <c r="T32"/>
  <c r="P31"/>
  <c r="O31"/>
  <c r="L31"/>
  <c r="K31"/>
  <c r="L32"/>
  <c r="H31"/>
  <c r="G31"/>
  <c r="D31"/>
  <c r="C31"/>
  <c r="B87" i="40"/>
  <c r="S63"/>
  <c r="W62"/>
  <c r="X62"/>
  <c r="X64"/>
  <c r="AA62"/>
  <c r="V62"/>
  <c r="P62"/>
  <c r="L62"/>
  <c r="H62"/>
  <c r="AB58"/>
  <c r="AB57"/>
  <c r="P55"/>
  <c r="P54"/>
  <c r="O54"/>
  <c r="L54"/>
  <c r="K54"/>
  <c r="H54"/>
  <c r="D54"/>
  <c r="C54"/>
  <c r="D55"/>
  <c r="Z47"/>
  <c r="S44"/>
  <c r="W43"/>
  <c r="X43"/>
  <c r="U43"/>
  <c r="W42"/>
  <c r="X42"/>
  <c r="U42"/>
  <c r="U41"/>
  <c r="W41"/>
  <c r="X41"/>
  <c r="X40"/>
  <c r="W40"/>
  <c r="U40"/>
  <c r="X39"/>
  <c r="W39"/>
  <c r="U39"/>
  <c r="U38"/>
  <c r="W38"/>
  <c r="X38"/>
  <c r="G38"/>
  <c r="G54"/>
  <c r="H55"/>
  <c r="F73"/>
  <c r="Z37"/>
  <c r="X37"/>
  <c r="W37"/>
  <c r="U37"/>
  <c r="U36"/>
  <c r="W36"/>
  <c r="X36"/>
  <c r="P32"/>
  <c r="T31"/>
  <c r="S31"/>
  <c r="T32"/>
  <c r="P31"/>
  <c r="O31"/>
  <c r="L31"/>
  <c r="K31"/>
  <c r="L32"/>
  <c r="H31"/>
  <c r="G31"/>
  <c r="D31"/>
  <c r="C31"/>
  <c r="D32"/>
  <c r="A34"/>
  <c r="G38" i="39"/>
  <c r="G54"/>
  <c r="B87"/>
  <c r="S63"/>
  <c r="W62"/>
  <c r="X62"/>
  <c r="X64"/>
  <c r="AA62"/>
  <c r="V62"/>
  <c r="P62"/>
  <c r="L62"/>
  <c r="H62"/>
  <c r="AB58"/>
  <c r="AB57"/>
  <c r="P55"/>
  <c r="P54"/>
  <c r="O54"/>
  <c r="L54"/>
  <c r="H54"/>
  <c r="D54"/>
  <c r="C54"/>
  <c r="D55"/>
  <c r="Z47"/>
  <c r="S44"/>
  <c r="W43"/>
  <c r="X43"/>
  <c r="U43"/>
  <c r="X42"/>
  <c r="W42"/>
  <c r="U42"/>
  <c r="X41"/>
  <c r="W41"/>
  <c r="U41"/>
  <c r="X40"/>
  <c r="W40"/>
  <c r="U40"/>
  <c r="X39"/>
  <c r="W39"/>
  <c r="U39"/>
  <c r="U38"/>
  <c r="W38"/>
  <c r="X38"/>
  <c r="K54"/>
  <c r="L55"/>
  <c r="Z37"/>
  <c r="X37"/>
  <c r="W37"/>
  <c r="U37"/>
  <c r="U36"/>
  <c r="W36"/>
  <c r="X36"/>
  <c r="T31"/>
  <c r="S31"/>
  <c r="T32"/>
  <c r="P31"/>
  <c r="O31"/>
  <c r="L31"/>
  <c r="K31"/>
  <c r="L32"/>
  <c r="H31"/>
  <c r="G31"/>
  <c r="D31"/>
  <c r="C31"/>
  <c r="K38" i="38"/>
  <c r="B87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U42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2"/>
  <c r="H31"/>
  <c r="B87" i="37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B87" i="36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47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S63" i="35"/>
  <c r="O47"/>
  <c r="B87"/>
  <c r="G54"/>
  <c r="H54"/>
  <c r="H55"/>
  <c r="F73"/>
  <c r="V62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B87" i="34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B87" i="33"/>
  <c r="G54"/>
  <c r="H54"/>
  <c r="H55"/>
  <c r="F73"/>
  <c r="V62"/>
  <c r="S63"/>
  <c r="W62"/>
  <c r="X62"/>
  <c r="X65"/>
  <c r="X64"/>
  <c r="AA63"/>
  <c r="AA62"/>
  <c r="P62"/>
  <c r="L62"/>
  <c r="H62"/>
  <c r="AB57"/>
  <c r="AB58"/>
  <c r="U36"/>
  <c r="U41"/>
  <c r="U43"/>
  <c r="V52"/>
  <c r="V54"/>
  <c r="V56"/>
  <c r="U42"/>
  <c r="U52"/>
  <c r="U54"/>
  <c r="U56"/>
  <c r="O54"/>
  <c r="P54"/>
  <c r="P55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X44"/>
  <c r="P56"/>
  <c r="K54"/>
  <c r="L54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V52" i="32"/>
  <c r="O54"/>
  <c r="P54"/>
  <c r="P55"/>
  <c r="P54" i="31"/>
  <c r="O54"/>
  <c r="P55"/>
  <c r="P56"/>
  <c r="P56" i="32"/>
  <c r="X44"/>
  <c r="K54"/>
  <c r="L54"/>
  <c r="B87"/>
  <c r="G54"/>
  <c r="H54"/>
  <c r="H55"/>
  <c r="F73"/>
  <c r="V62"/>
  <c r="P58"/>
  <c r="S63"/>
  <c r="W62"/>
  <c r="X62"/>
  <c r="X65"/>
  <c r="X64"/>
  <c r="AA63"/>
  <c r="AA62"/>
  <c r="P62"/>
  <c r="L62"/>
  <c r="H62"/>
  <c r="AB57"/>
  <c r="AB58"/>
  <c r="U36"/>
  <c r="U41"/>
  <c r="U43"/>
  <c r="V54"/>
  <c r="V56"/>
  <c r="U42"/>
  <c r="U52"/>
  <c r="U54"/>
  <c r="U56"/>
  <c r="W36"/>
  <c r="X36"/>
  <c r="U37"/>
  <c r="W37"/>
  <c r="X37"/>
  <c r="U38"/>
  <c r="W38"/>
  <c r="X38"/>
  <c r="U39"/>
  <c r="W39"/>
  <c r="X39"/>
  <c r="U40"/>
  <c r="W40"/>
  <c r="X40"/>
  <c r="W41"/>
  <c r="X41"/>
  <c r="W42"/>
  <c r="X42"/>
  <c r="W43"/>
  <c r="X43"/>
  <c r="L55"/>
  <c r="C54"/>
  <c r="D54"/>
  <c r="D55"/>
  <c r="Z47"/>
  <c r="S44"/>
  <c r="Z37"/>
  <c r="C31"/>
  <c r="D31"/>
  <c r="D32"/>
  <c r="A34"/>
  <c r="S31"/>
  <c r="T31"/>
  <c r="T32"/>
  <c r="O31"/>
  <c r="P31"/>
  <c r="P32"/>
  <c r="K31"/>
  <c r="L31"/>
  <c r="L32"/>
  <c r="G31"/>
  <c r="H31"/>
  <c r="H32"/>
  <c r="S63" i="31"/>
  <c r="V56"/>
  <c r="V54"/>
  <c r="V52"/>
  <c r="U56"/>
  <c r="U54"/>
  <c r="U52"/>
  <c r="W62"/>
  <c r="X62"/>
  <c r="X64"/>
  <c r="AA62"/>
  <c r="B87"/>
  <c r="V62"/>
  <c r="L62"/>
  <c r="H62"/>
  <c r="AB58"/>
  <c r="P58"/>
  <c r="P62"/>
  <c r="AB57"/>
  <c r="L54"/>
  <c r="K54"/>
  <c r="L55"/>
  <c r="H54"/>
  <c r="G54"/>
  <c r="D54"/>
  <c r="C54"/>
  <c r="D55"/>
  <c r="Z47"/>
  <c r="S44"/>
  <c r="X43"/>
  <c r="W43"/>
  <c r="U43"/>
  <c r="W42"/>
  <c r="X42"/>
  <c r="U42"/>
  <c r="W41"/>
  <c r="X41"/>
  <c r="U41"/>
  <c r="X40"/>
  <c r="W40"/>
  <c r="U40"/>
  <c r="U39"/>
  <c r="W39"/>
  <c r="X39"/>
  <c r="X38"/>
  <c r="W38"/>
  <c r="U38"/>
  <c r="Z37"/>
  <c r="W37"/>
  <c r="X37"/>
  <c r="U37"/>
  <c r="W36"/>
  <c r="X36"/>
  <c r="U36"/>
  <c r="T31"/>
  <c r="S31"/>
  <c r="T32"/>
  <c r="P31"/>
  <c r="O31"/>
  <c r="P32"/>
  <c r="L31"/>
  <c r="K31"/>
  <c r="H31"/>
  <c r="G31"/>
  <c r="D31"/>
  <c r="C31"/>
  <c r="H55"/>
  <c r="F73"/>
  <c r="L32"/>
  <c r="H32"/>
  <c r="D32"/>
  <c r="A34"/>
  <c r="X65"/>
  <c r="AA63"/>
  <c r="X44"/>
  <c r="D28" i="30"/>
  <c r="H28"/>
  <c r="P51"/>
  <c r="B84"/>
  <c r="S60"/>
  <c r="W59"/>
  <c r="X59"/>
  <c r="X61"/>
  <c r="AA59"/>
  <c r="V59"/>
  <c r="L59"/>
  <c r="H59"/>
  <c r="AB55"/>
  <c r="S55"/>
  <c r="P55"/>
  <c r="P59"/>
  <c r="AB54"/>
  <c r="O51"/>
  <c r="L51"/>
  <c r="K51"/>
  <c r="L52"/>
  <c r="H51"/>
  <c r="G51"/>
  <c r="D51"/>
  <c r="C51"/>
  <c r="D52"/>
  <c r="Z44"/>
  <c r="S41"/>
  <c r="U40"/>
  <c r="W40"/>
  <c r="X40"/>
  <c r="U39"/>
  <c r="W39"/>
  <c r="X39"/>
  <c r="U38"/>
  <c r="W38"/>
  <c r="X38"/>
  <c r="X37"/>
  <c r="W37"/>
  <c r="U37"/>
  <c r="X36"/>
  <c r="W36"/>
  <c r="U36"/>
  <c r="X35"/>
  <c r="W35"/>
  <c r="U35"/>
  <c r="Z34"/>
  <c r="W34"/>
  <c r="X34"/>
  <c r="U34"/>
  <c r="X33"/>
  <c r="W33"/>
  <c r="U33"/>
  <c r="T28"/>
  <c r="S28"/>
  <c r="T29"/>
  <c r="P28"/>
  <c r="O28"/>
  <c r="P29"/>
  <c r="L28"/>
  <c r="K28"/>
  <c r="L29"/>
  <c r="G28"/>
  <c r="C28"/>
  <c r="X41"/>
  <c r="H52"/>
  <c r="F70"/>
  <c r="H29"/>
  <c r="P52"/>
  <c r="P53"/>
  <c r="D29"/>
  <c r="A31"/>
  <c r="X62"/>
  <c r="AA60"/>
  <c r="S55" i="29"/>
  <c r="P51" i="28"/>
  <c r="O51"/>
  <c r="P52"/>
  <c r="P51" i="29"/>
  <c r="O51"/>
  <c r="U40"/>
  <c r="W40"/>
  <c r="X40"/>
  <c r="S41"/>
  <c r="G28" i="28"/>
  <c r="H28"/>
  <c r="H28" i="29"/>
  <c r="G28"/>
  <c r="B84"/>
  <c r="L59"/>
  <c r="H59"/>
  <c r="V59"/>
  <c r="AB55"/>
  <c r="P55"/>
  <c r="S60"/>
  <c r="W59"/>
  <c r="X59"/>
  <c r="X61"/>
  <c r="AA59"/>
  <c r="AB54"/>
  <c r="L51"/>
  <c r="K51"/>
  <c r="H51"/>
  <c r="G51"/>
  <c r="D51"/>
  <c r="C51"/>
  <c r="Z44"/>
  <c r="U39"/>
  <c r="W39"/>
  <c r="X39"/>
  <c r="W38"/>
  <c r="X38"/>
  <c r="U38"/>
  <c r="U37"/>
  <c r="W37"/>
  <c r="X37"/>
  <c r="W36"/>
  <c r="X36"/>
  <c r="U36"/>
  <c r="W35"/>
  <c r="X35"/>
  <c r="U35"/>
  <c r="Z34"/>
  <c r="U34"/>
  <c r="W34"/>
  <c r="X34"/>
  <c r="U33"/>
  <c r="W33"/>
  <c r="X33"/>
  <c r="T28"/>
  <c r="S28"/>
  <c r="P28"/>
  <c r="O28"/>
  <c r="L28"/>
  <c r="K28"/>
  <c r="D28"/>
  <c r="C28"/>
  <c r="X40" i="28"/>
  <c r="B84"/>
  <c r="L59"/>
  <c r="H59"/>
  <c r="V58"/>
  <c r="P55"/>
  <c r="S58"/>
  <c r="W58"/>
  <c r="X58"/>
  <c r="X60"/>
  <c r="AA59"/>
  <c r="AB54"/>
  <c r="AB55"/>
  <c r="L52"/>
  <c r="L51"/>
  <c r="K51"/>
  <c r="H51"/>
  <c r="G51"/>
  <c r="H52"/>
  <c r="F70"/>
  <c r="D51"/>
  <c r="C51"/>
  <c r="D52"/>
  <c r="Z44"/>
  <c r="S40"/>
  <c r="W39"/>
  <c r="X39"/>
  <c r="U39"/>
  <c r="X38"/>
  <c r="W38"/>
  <c r="U38"/>
  <c r="U37"/>
  <c r="W37"/>
  <c r="X37"/>
  <c r="X36"/>
  <c r="W36"/>
  <c r="U36"/>
  <c r="U35"/>
  <c r="W35"/>
  <c r="X35"/>
  <c r="Z34"/>
  <c r="W34"/>
  <c r="X34"/>
  <c r="U34"/>
  <c r="X33"/>
  <c r="W33"/>
  <c r="U33"/>
  <c r="D29"/>
  <c r="A31"/>
  <c r="T28"/>
  <c r="T29"/>
  <c r="S28"/>
  <c r="P28"/>
  <c r="O28"/>
  <c r="P29"/>
  <c r="L28"/>
  <c r="K28"/>
  <c r="L29"/>
  <c r="D28"/>
  <c r="C28"/>
  <c r="Z34" i="27"/>
  <c r="W39"/>
  <c r="X39"/>
  <c r="X40"/>
  <c r="U39"/>
  <c r="S40"/>
  <c r="H28"/>
  <c r="C28"/>
  <c r="S58"/>
  <c r="B84"/>
  <c r="L59"/>
  <c r="H59"/>
  <c r="V58"/>
  <c r="W58"/>
  <c r="X58"/>
  <c r="X60"/>
  <c r="AA59"/>
  <c r="AB55"/>
  <c r="P55"/>
  <c r="AB54"/>
  <c r="P51"/>
  <c r="O51"/>
  <c r="L51"/>
  <c r="K51"/>
  <c r="H51"/>
  <c r="G51"/>
  <c r="D51"/>
  <c r="C51"/>
  <c r="D52"/>
  <c r="Z44"/>
  <c r="W38"/>
  <c r="X38"/>
  <c r="U38"/>
  <c r="W37"/>
  <c r="X37"/>
  <c r="U37"/>
  <c r="U36"/>
  <c r="W36"/>
  <c r="X36"/>
  <c r="X35"/>
  <c r="W35"/>
  <c r="U35"/>
  <c r="X34"/>
  <c r="W34"/>
  <c r="U34"/>
  <c r="U33"/>
  <c r="W33"/>
  <c r="X33"/>
  <c r="T28"/>
  <c r="S28"/>
  <c r="T29"/>
  <c r="P28"/>
  <c r="O28"/>
  <c r="P29"/>
  <c r="L28"/>
  <c r="K28"/>
  <c r="G28"/>
  <c r="D28"/>
  <c r="X41" i="29"/>
  <c r="P59"/>
  <c r="L29"/>
  <c r="P52"/>
  <c r="T29"/>
  <c r="P29"/>
  <c r="D52"/>
  <c r="D29"/>
  <c r="A31"/>
  <c r="L52"/>
  <c r="H52"/>
  <c r="F70"/>
  <c r="H29"/>
  <c r="X62"/>
  <c r="AA60"/>
  <c r="H29" i="28"/>
  <c r="P53"/>
  <c r="X61"/>
  <c r="AA60"/>
  <c r="P52" i="27"/>
  <c r="P53"/>
  <c r="L52"/>
  <c r="L29"/>
  <c r="H29"/>
  <c r="X61"/>
  <c r="AA60"/>
  <c r="H52"/>
  <c r="F70"/>
  <c r="D29"/>
  <c r="A31"/>
  <c r="P53" i="29"/>
  <c r="Z44" i="26"/>
  <c r="P53"/>
  <c r="B84"/>
  <c r="L59"/>
  <c r="H59"/>
  <c r="V58"/>
  <c r="X61"/>
  <c r="AA60"/>
  <c r="S58"/>
  <c r="W58"/>
  <c r="X58"/>
  <c r="X60"/>
  <c r="AA59"/>
  <c r="AB55"/>
  <c r="P55"/>
  <c r="AB54"/>
  <c r="P51"/>
  <c r="O51"/>
  <c r="P52"/>
  <c r="L51"/>
  <c r="K51"/>
  <c r="L52"/>
  <c r="H51"/>
  <c r="G51"/>
  <c r="D51"/>
  <c r="C51"/>
  <c r="D52"/>
  <c r="S39"/>
  <c r="X38"/>
  <c r="W38"/>
  <c r="U38"/>
  <c r="W37"/>
  <c r="X37"/>
  <c r="U37"/>
  <c r="X36"/>
  <c r="W36"/>
  <c r="U36"/>
  <c r="X35"/>
  <c r="W35"/>
  <c r="U35"/>
  <c r="X34"/>
  <c r="X39"/>
  <c r="W34"/>
  <c r="U34"/>
  <c r="X33"/>
  <c r="W33"/>
  <c r="U33"/>
  <c r="P29"/>
  <c r="T28"/>
  <c r="S28"/>
  <c r="T29"/>
  <c r="P28"/>
  <c r="O28"/>
  <c r="L28"/>
  <c r="K28"/>
  <c r="L29"/>
  <c r="H28"/>
  <c r="H29"/>
  <c r="G28"/>
  <c r="D28"/>
  <c r="C28"/>
  <c r="D28" i="25"/>
  <c r="H52" i="26"/>
  <c r="F70"/>
  <c r="D29"/>
  <c r="A31"/>
  <c r="H28" i="25"/>
  <c r="P55"/>
  <c r="B84"/>
  <c r="L59"/>
  <c r="H59"/>
  <c r="V58"/>
  <c r="S58"/>
  <c r="W58"/>
  <c r="X58"/>
  <c r="X60"/>
  <c r="AA59"/>
  <c r="AB55"/>
  <c r="AB54"/>
  <c r="P51"/>
  <c r="O51"/>
  <c r="L51"/>
  <c r="K51"/>
  <c r="H51"/>
  <c r="G51"/>
  <c r="D51"/>
  <c r="C51"/>
  <c r="D52"/>
  <c r="S39"/>
  <c r="X38"/>
  <c r="W38"/>
  <c r="U38"/>
  <c r="U37"/>
  <c r="W37"/>
  <c r="X37"/>
  <c r="X36"/>
  <c r="W36"/>
  <c r="U36"/>
  <c r="X35"/>
  <c r="W35"/>
  <c r="U35"/>
  <c r="W34"/>
  <c r="X34"/>
  <c r="X39"/>
  <c r="U34"/>
  <c r="X33"/>
  <c r="W33"/>
  <c r="U33"/>
  <c r="T28"/>
  <c r="S28"/>
  <c r="T29"/>
  <c r="P28"/>
  <c r="O28"/>
  <c r="P29"/>
  <c r="L28"/>
  <c r="K28"/>
  <c r="L29"/>
  <c r="G28"/>
  <c r="C28"/>
  <c r="D28" i="24"/>
  <c r="H52" i="25"/>
  <c r="L52"/>
  <c r="P52"/>
  <c r="H29"/>
  <c r="X61"/>
  <c r="AA60"/>
  <c r="L51" i="24"/>
  <c r="K51"/>
  <c r="G28"/>
  <c r="C12"/>
  <c r="C28"/>
  <c r="B84"/>
  <c r="L59"/>
  <c r="H59"/>
  <c r="V58"/>
  <c r="S58"/>
  <c r="W58"/>
  <c r="X58"/>
  <c r="X60"/>
  <c r="AA59"/>
  <c r="AB55"/>
  <c r="AB54"/>
  <c r="P51"/>
  <c r="O51"/>
  <c r="P52"/>
  <c r="H51"/>
  <c r="G51"/>
  <c r="D51"/>
  <c r="C51"/>
  <c r="S39"/>
  <c r="X38"/>
  <c r="W38"/>
  <c r="U38"/>
  <c r="U37"/>
  <c r="W37"/>
  <c r="X37"/>
  <c r="X36"/>
  <c r="W36"/>
  <c r="U36"/>
  <c r="X35"/>
  <c r="W35"/>
  <c r="U35"/>
  <c r="W34"/>
  <c r="X34"/>
  <c r="U34"/>
  <c r="W33"/>
  <c r="X33"/>
  <c r="U33"/>
  <c r="T28"/>
  <c r="S28"/>
  <c r="T29"/>
  <c r="P28"/>
  <c r="O28"/>
  <c r="P29"/>
  <c r="L28"/>
  <c r="K28"/>
  <c r="H28"/>
  <c r="K16" i="23"/>
  <c r="K14"/>
  <c r="K13"/>
  <c r="K12"/>
  <c r="H52" i="24"/>
  <c r="L29"/>
  <c r="X39"/>
  <c r="L52"/>
  <c r="D52"/>
  <c r="H29"/>
  <c r="D29"/>
  <c r="A31"/>
  <c r="X61"/>
  <c r="AA60"/>
  <c r="H59" i="23"/>
  <c r="D51"/>
  <c r="T28"/>
  <c r="T29"/>
  <c r="S28"/>
  <c r="B84"/>
  <c r="L59"/>
  <c r="V58"/>
  <c r="AB54"/>
  <c r="AB55"/>
  <c r="P51"/>
  <c r="O51"/>
  <c r="L51"/>
  <c r="K51"/>
  <c r="H51"/>
  <c r="G51"/>
  <c r="C51"/>
  <c r="S39"/>
  <c r="X38"/>
  <c r="W38"/>
  <c r="U38"/>
  <c r="W37"/>
  <c r="X37"/>
  <c r="U37"/>
  <c r="X36"/>
  <c r="W36"/>
  <c r="U36"/>
  <c r="U35"/>
  <c r="W35"/>
  <c r="X35"/>
  <c r="U34"/>
  <c r="W34"/>
  <c r="X34"/>
  <c r="X33"/>
  <c r="W33"/>
  <c r="U33"/>
  <c r="P28"/>
  <c r="O28"/>
  <c r="P29"/>
  <c r="L28"/>
  <c r="K28"/>
  <c r="H28"/>
  <c r="G28"/>
  <c r="D28"/>
  <c r="C28"/>
  <c r="H28" i="22"/>
  <c r="B84"/>
  <c r="W38"/>
  <c r="X38"/>
  <c r="X39"/>
  <c r="U38"/>
  <c r="S39"/>
  <c r="P64"/>
  <c r="L64"/>
  <c r="H64"/>
  <c r="H59"/>
  <c r="P58"/>
  <c r="V58"/>
  <c r="AB55"/>
  <c r="P55"/>
  <c r="S58"/>
  <c r="W58"/>
  <c r="X58"/>
  <c r="X60"/>
  <c r="AA59"/>
  <c r="L55"/>
  <c r="L59"/>
  <c r="AB54"/>
  <c r="P54"/>
  <c r="P51"/>
  <c r="O51"/>
  <c r="L51"/>
  <c r="K51"/>
  <c r="L52"/>
  <c r="H51"/>
  <c r="G51"/>
  <c r="D51"/>
  <c r="C51"/>
  <c r="U37"/>
  <c r="W37"/>
  <c r="X37"/>
  <c r="U36"/>
  <c r="W36"/>
  <c r="X36"/>
  <c r="U35"/>
  <c r="W35"/>
  <c r="X35"/>
  <c r="X34"/>
  <c r="W34"/>
  <c r="U34"/>
  <c r="W33"/>
  <c r="X33"/>
  <c r="U33"/>
  <c r="P29"/>
  <c r="P28"/>
  <c r="O28"/>
  <c r="L28"/>
  <c r="K28"/>
  <c r="G28"/>
  <c r="D28"/>
  <c r="C28"/>
  <c r="N9"/>
  <c r="K28" i="21"/>
  <c r="L29"/>
  <c r="N9"/>
  <c r="U37"/>
  <c r="W37"/>
  <c r="X37"/>
  <c r="M20"/>
  <c r="P64"/>
  <c r="L64"/>
  <c r="H64"/>
  <c r="L59"/>
  <c r="H59"/>
  <c r="P58"/>
  <c r="V57"/>
  <c r="AB55"/>
  <c r="P55"/>
  <c r="L55"/>
  <c r="S57"/>
  <c r="W57"/>
  <c r="X57"/>
  <c r="X59"/>
  <c r="AA59"/>
  <c r="AB54"/>
  <c r="P54"/>
  <c r="P51"/>
  <c r="P52"/>
  <c r="O51"/>
  <c r="L51"/>
  <c r="K51"/>
  <c r="L52"/>
  <c r="H51"/>
  <c r="G51"/>
  <c r="H52"/>
  <c r="D51"/>
  <c r="C51"/>
  <c r="D52"/>
  <c r="S38"/>
  <c r="U36"/>
  <c r="W36"/>
  <c r="X36"/>
  <c r="U35"/>
  <c r="W35"/>
  <c r="X35"/>
  <c r="U34"/>
  <c r="W34"/>
  <c r="X34"/>
  <c r="X33"/>
  <c r="W33"/>
  <c r="U33"/>
  <c r="P28"/>
  <c r="O28"/>
  <c r="P29"/>
  <c r="L28"/>
  <c r="H28"/>
  <c r="G28"/>
  <c r="D28"/>
  <c r="C28"/>
  <c r="G51" i="20"/>
  <c r="H52"/>
  <c r="H59"/>
  <c r="P54"/>
  <c r="P55"/>
  <c r="P64"/>
  <c r="L64"/>
  <c r="H64"/>
  <c r="L59"/>
  <c r="P58"/>
  <c r="V57"/>
  <c r="AB55"/>
  <c r="L55"/>
  <c r="AB54"/>
  <c r="P51"/>
  <c r="O51"/>
  <c r="L51"/>
  <c r="K51"/>
  <c r="H51"/>
  <c r="D51"/>
  <c r="C51"/>
  <c r="S38"/>
  <c r="U36"/>
  <c r="W36"/>
  <c r="X36"/>
  <c r="U35"/>
  <c r="W35"/>
  <c r="X35"/>
  <c r="X34"/>
  <c r="W34"/>
  <c r="U34"/>
  <c r="W33"/>
  <c r="X33"/>
  <c r="X38"/>
  <c r="U33"/>
  <c r="P28"/>
  <c r="O28"/>
  <c r="P29"/>
  <c r="L28"/>
  <c r="K28"/>
  <c r="L29"/>
  <c r="H28"/>
  <c r="G28"/>
  <c r="D28"/>
  <c r="C28"/>
  <c r="L52" i="19"/>
  <c r="P64"/>
  <c r="L64"/>
  <c r="H64"/>
  <c r="H59"/>
  <c r="P58"/>
  <c r="V57"/>
  <c r="L55"/>
  <c r="L59"/>
  <c r="AB54"/>
  <c r="AB55"/>
  <c r="P54"/>
  <c r="P55"/>
  <c r="P51"/>
  <c r="O51"/>
  <c r="P52"/>
  <c r="L51"/>
  <c r="K51"/>
  <c r="H51"/>
  <c r="G51"/>
  <c r="D51"/>
  <c r="C51"/>
  <c r="S38"/>
  <c r="X36"/>
  <c r="W36"/>
  <c r="U36"/>
  <c r="X35"/>
  <c r="W35"/>
  <c r="U35"/>
  <c r="W34"/>
  <c r="X34"/>
  <c r="U34"/>
  <c r="X33"/>
  <c r="W33"/>
  <c r="U33"/>
  <c r="P28"/>
  <c r="O28"/>
  <c r="P29"/>
  <c r="L28"/>
  <c r="K28"/>
  <c r="L29"/>
  <c r="H28"/>
  <c r="G28"/>
  <c r="D28"/>
  <c r="C28"/>
  <c r="L59" i="18"/>
  <c r="O51"/>
  <c r="P51"/>
  <c r="H59"/>
  <c r="P54"/>
  <c r="L55"/>
  <c r="G51"/>
  <c r="L29" i="23"/>
  <c r="H29"/>
  <c r="X39"/>
  <c r="L52"/>
  <c r="S58"/>
  <c r="W58"/>
  <c r="X58"/>
  <c r="X60"/>
  <c r="AA59"/>
  <c r="P52"/>
  <c r="H52"/>
  <c r="D52"/>
  <c r="D29"/>
  <c r="A31"/>
  <c r="P52" i="22"/>
  <c r="L29"/>
  <c r="H29"/>
  <c r="X61"/>
  <c r="AA60"/>
  <c r="H52"/>
  <c r="D52"/>
  <c r="D29"/>
  <c r="H29" i="21"/>
  <c r="D29"/>
  <c r="X60"/>
  <c r="AA60"/>
  <c r="X38"/>
  <c r="D52" i="20"/>
  <c r="S57"/>
  <c r="W57"/>
  <c r="X57"/>
  <c r="X59"/>
  <c r="AA59"/>
  <c r="P52"/>
  <c r="H29"/>
  <c r="L52"/>
  <c r="D29"/>
  <c r="D52" i="19"/>
  <c r="H52"/>
  <c r="H29"/>
  <c r="D29"/>
  <c r="X60"/>
  <c r="AA60"/>
  <c r="X38"/>
  <c r="S57"/>
  <c r="W57"/>
  <c r="X57"/>
  <c r="X59"/>
  <c r="AA59"/>
  <c r="P64" i="18"/>
  <c r="L64"/>
  <c r="H64"/>
  <c r="P58"/>
  <c r="V57"/>
  <c r="AB55"/>
  <c r="AB54"/>
  <c r="P55"/>
  <c r="S57"/>
  <c r="W57"/>
  <c r="X57"/>
  <c r="X59"/>
  <c r="AA59"/>
  <c r="P52"/>
  <c r="L51"/>
  <c r="K51"/>
  <c r="H51"/>
  <c r="D51"/>
  <c r="C51"/>
  <c r="D52"/>
  <c r="S38"/>
  <c r="W36"/>
  <c r="X36"/>
  <c r="U36"/>
  <c r="W35"/>
  <c r="X35"/>
  <c r="U35"/>
  <c r="U34"/>
  <c r="W34"/>
  <c r="X34"/>
  <c r="X33"/>
  <c r="W33"/>
  <c r="U33"/>
  <c r="P28"/>
  <c r="O28"/>
  <c r="P29"/>
  <c r="L28"/>
  <c r="L29"/>
  <c r="K28"/>
  <c r="H28"/>
  <c r="G28"/>
  <c r="D28"/>
  <c r="C28"/>
  <c r="O51" i="17"/>
  <c r="P64"/>
  <c r="L64"/>
  <c r="H64"/>
  <c r="H59"/>
  <c r="P58"/>
  <c r="V57"/>
  <c r="AB54"/>
  <c r="AB55"/>
  <c r="P54"/>
  <c r="P55"/>
  <c r="P51"/>
  <c r="L51"/>
  <c r="K51"/>
  <c r="H51"/>
  <c r="G51"/>
  <c r="D51"/>
  <c r="C51"/>
  <c r="D52"/>
  <c r="S38"/>
  <c r="X36"/>
  <c r="W36"/>
  <c r="U36"/>
  <c r="X35"/>
  <c r="W35"/>
  <c r="U35"/>
  <c r="U34"/>
  <c r="W34"/>
  <c r="X34"/>
  <c r="X33"/>
  <c r="X38"/>
  <c r="W33"/>
  <c r="U33"/>
  <c r="P28"/>
  <c r="O28"/>
  <c r="P29"/>
  <c r="L28"/>
  <c r="K28"/>
  <c r="L29"/>
  <c r="H28"/>
  <c r="G28"/>
  <c r="D28"/>
  <c r="C28"/>
  <c r="H59" i="16"/>
  <c r="P58"/>
  <c r="P54"/>
  <c r="P55"/>
  <c r="O51"/>
  <c r="P64"/>
  <c r="L64"/>
  <c r="H64"/>
  <c r="V57"/>
  <c r="AB54"/>
  <c r="AB55"/>
  <c r="P51"/>
  <c r="L51"/>
  <c r="K51"/>
  <c r="H51"/>
  <c r="G51"/>
  <c r="H52"/>
  <c r="D51"/>
  <c r="C51"/>
  <c r="S38"/>
  <c r="U36"/>
  <c r="W36"/>
  <c r="X36"/>
  <c r="U35"/>
  <c r="W35"/>
  <c r="X35"/>
  <c r="U34"/>
  <c r="W34"/>
  <c r="X34"/>
  <c r="W33"/>
  <c r="X33"/>
  <c r="U33"/>
  <c r="P28"/>
  <c r="O28"/>
  <c r="P29"/>
  <c r="L28"/>
  <c r="K28"/>
  <c r="H28"/>
  <c r="G28"/>
  <c r="D28"/>
  <c r="C28"/>
  <c r="V57" i="15"/>
  <c r="P55"/>
  <c r="P54"/>
  <c r="S38"/>
  <c r="W34"/>
  <c r="X34"/>
  <c r="W35"/>
  <c r="X35"/>
  <c r="W36"/>
  <c r="X36"/>
  <c r="W33"/>
  <c r="X33"/>
  <c r="C2"/>
  <c r="C28"/>
  <c r="P64"/>
  <c r="L64"/>
  <c r="H64"/>
  <c r="AB55"/>
  <c r="AB54"/>
  <c r="P51"/>
  <c r="O51"/>
  <c r="L51"/>
  <c r="K51"/>
  <c r="H51"/>
  <c r="G51"/>
  <c r="D51"/>
  <c r="C51"/>
  <c r="U36"/>
  <c r="U35"/>
  <c r="U34"/>
  <c r="U33"/>
  <c r="P28"/>
  <c r="L28"/>
  <c r="K28"/>
  <c r="H28"/>
  <c r="G28"/>
  <c r="D28"/>
  <c r="O28"/>
  <c r="P29"/>
  <c r="O47" i="14"/>
  <c r="P48"/>
  <c r="S37"/>
  <c r="P47"/>
  <c r="U32"/>
  <c r="C19"/>
  <c r="C24"/>
  <c r="D24"/>
  <c r="P24"/>
  <c r="O2"/>
  <c r="O24"/>
  <c r="P25"/>
  <c r="P60"/>
  <c r="L60"/>
  <c r="H60"/>
  <c r="W53"/>
  <c r="X53"/>
  <c r="X55"/>
  <c r="AA55"/>
  <c r="V53"/>
  <c r="S53"/>
  <c r="AB50"/>
  <c r="AB51"/>
  <c r="R48"/>
  <c r="H48"/>
  <c r="L47"/>
  <c r="K47"/>
  <c r="H47"/>
  <c r="G47"/>
  <c r="D47"/>
  <c r="C47"/>
  <c r="U31"/>
  <c r="U30"/>
  <c r="U29"/>
  <c r="L24"/>
  <c r="K24"/>
  <c r="H24"/>
  <c r="G24"/>
  <c r="S53" i="13"/>
  <c r="W53"/>
  <c r="X53"/>
  <c r="X55"/>
  <c r="AA55"/>
  <c r="R48"/>
  <c r="S37" i="12"/>
  <c r="U31" i="13"/>
  <c r="V53"/>
  <c r="AB50"/>
  <c r="AB51"/>
  <c r="P47"/>
  <c r="O47"/>
  <c r="L47"/>
  <c r="L48"/>
  <c r="K47"/>
  <c r="H47"/>
  <c r="G47"/>
  <c r="D47"/>
  <c r="C47"/>
  <c r="U30"/>
  <c r="U29"/>
  <c r="L24"/>
  <c r="K24"/>
  <c r="H24"/>
  <c r="G24"/>
  <c r="D24"/>
  <c r="C24"/>
  <c r="P54" i="12"/>
  <c r="L53"/>
  <c r="L54"/>
  <c r="W53"/>
  <c r="X53"/>
  <c r="V53"/>
  <c r="S53"/>
  <c r="AB50"/>
  <c r="AB51"/>
  <c r="G47"/>
  <c r="H48"/>
  <c r="H47"/>
  <c r="K47"/>
  <c r="L47"/>
  <c r="O47"/>
  <c r="P48"/>
  <c r="P47"/>
  <c r="S53" i="11"/>
  <c r="C47" i="12"/>
  <c r="D48"/>
  <c r="D47"/>
  <c r="X40"/>
  <c r="U30"/>
  <c r="U29"/>
  <c r="K24"/>
  <c r="L24"/>
  <c r="L25"/>
  <c r="G24"/>
  <c r="H25"/>
  <c r="H24"/>
  <c r="C24"/>
  <c r="D24"/>
  <c r="P56" i="11"/>
  <c r="G47"/>
  <c r="H47"/>
  <c r="H48"/>
  <c r="K47"/>
  <c r="L47"/>
  <c r="L48"/>
  <c r="W53"/>
  <c r="X53"/>
  <c r="X55"/>
  <c r="P58"/>
  <c r="P57"/>
  <c r="L58"/>
  <c r="H56"/>
  <c r="L57"/>
  <c r="H57"/>
  <c r="H58"/>
  <c r="X56"/>
  <c r="AA56"/>
  <c r="AA55"/>
  <c r="O47"/>
  <c r="P47"/>
  <c r="P48"/>
  <c r="C47"/>
  <c r="D47"/>
  <c r="D48"/>
  <c r="X40"/>
  <c r="U30"/>
  <c r="U29"/>
  <c r="S37"/>
  <c r="K24"/>
  <c r="L24"/>
  <c r="L25"/>
  <c r="G24"/>
  <c r="H24"/>
  <c r="H25"/>
  <c r="C24"/>
  <c r="D24"/>
  <c r="D25"/>
  <c r="S37" i="10"/>
  <c r="G24"/>
  <c r="H56"/>
  <c r="O47"/>
  <c r="P47"/>
  <c r="D24"/>
  <c r="C24"/>
  <c r="X40"/>
  <c r="H24"/>
  <c r="P56"/>
  <c r="L47"/>
  <c r="K47"/>
  <c r="H47"/>
  <c r="G47"/>
  <c r="D47"/>
  <c r="C47"/>
  <c r="U30"/>
  <c r="U29"/>
  <c r="L24"/>
  <c r="K24"/>
  <c r="L25"/>
  <c r="D25"/>
  <c r="L48"/>
  <c r="P48"/>
  <c r="H48"/>
  <c r="D48"/>
  <c r="H25"/>
  <c r="S53"/>
  <c r="W53"/>
  <c r="X53"/>
  <c r="X55"/>
  <c r="X56"/>
  <c r="AA56"/>
  <c r="P58"/>
  <c r="AA55"/>
  <c r="P57"/>
  <c r="L57"/>
  <c r="H57"/>
  <c r="L58"/>
  <c r="H58"/>
  <c r="D24" i="9"/>
  <c r="C24"/>
  <c r="X40"/>
  <c r="L31" i="6"/>
  <c r="U30" i="9"/>
  <c r="U29"/>
  <c r="H62"/>
  <c r="P56"/>
  <c r="P54"/>
  <c r="L54"/>
  <c r="L63"/>
  <c r="H54"/>
  <c r="H63"/>
  <c r="X53"/>
  <c r="X55"/>
  <c r="W53"/>
  <c r="S53"/>
  <c r="P47"/>
  <c r="O47"/>
  <c r="L47"/>
  <c r="K47"/>
  <c r="H47"/>
  <c r="G47"/>
  <c r="D47"/>
  <c r="C47"/>
  <c r="L24"/>
  <c r="H24"/>
  <c r="G24"/>
  <c r="L48"/>
  <c r="P48"/>
  <c r="S37"/>
  <c r="H25"/>
  <c r="X56"/>
  <c r="AA56"/>
  <c r="H48"/>
  <c r="D48"/>
  <c r="S54"/>
  <c r="X61"/>
  <c r="D25"/>
  <c r="P57"/>
  <c r="AA55"/>
  <c r="P58"/>
  <c r="R48"/>
  <c r="L57"/>
  <c r="L58"/>
  <c r="H56"/>
  <c r="H58"/>
  <c r="H57"/>
  <c r="D23" i="8"/>
  <c r="L49"/>
  <c r="L58"/>
  <c r="H57"/>
  <c r="H58"/>
  <c r="H53"/>
  <c r="H52"/>
  <c r="H51"/>
  <c r="P49"/>
  <c r="P43"/>
  <c r="H49"/>
  <c r="P51"/>
  <c r="W48"/>
  <c r="X48"/>
  <c r="S48"/>
  <c r="P42"/>
  <c r="L42"/>
  <c r="H42"/>
  <c r="D42"/>
  <c r="C42"/>
  <c r="O42"/>
  <c r="K42"/>
  <c r="G42"/>
  <c r="L23"/>
  <c r="H23"/>
  <c r="G23"/>
  <c r="D3"/>
  <c r="C23"/>
  <c r="L38" i="6"/>
  <c r="L43" i="8"/>
  <c r="H24"/>
  <c r="X50"/>
  <c r="P53"/>
  <c r="X51"/>
  <c r="AA51"/>
  <c r="D43"/>
  <c r="H43"/>
  <c r="D24"/>
  <c r="AA50"/>
  <c r="P52"/>
  <c r="L52"/>
  <c r="R43"/>
  <c r="S49"/>
  <c r="X56"/>
  <c r="L53"/>
  <c r="C19" i="6"/>
  <c r="D19"/>
  <c r="H38"/>
  <c r="S44"/>
  <c r="P38"/>
  <c r="O24"/>
  <c r="O38" s="1"/>
  <c r="P39" s="1"/>
  <c r="D7"/>
  <c r="C4"/>
  <c r="D38"/>
  <c r="C24"/>
  <c r="C38" s="1"/>
  <c r="D39" s="1"/>
  <c r="L19"/>
  <c r="G19"/>
  <c r="H19"/>
  <c r="D38" i="4"/>
  <c r="D46"/>
  <c r="D19"/>
  <c r="C33"/>
  <c r="C38"/>
  <c r="C19"/>
  <c r="G24"/>
  <c r="G38" s="1"/>
  <c r="H39" s="1"/>
  <c r="K2"/>
  <c r="K19"/>
  <c r="L20" s="1"/>
  <c r="L38"/>
  <c r="H38"/>
  <c r="L19"/>
  <c r="H19"/>
  <c r="G19"/>
  <c r="C12" i="1"/>
  <c r="H20" i="4"/>
  <c r="D20"/>
  <c r="D39"/>
  <c r="H29" i="1"/>
  <c r="L29"/>
  <c r="K29"/>
  <c r="G29"/>
  <c r="D29"/>
  <c r="C29"/>
  <c r="L12"/>
  <c r="K12"/>
  <c r="L13"/>
  <c r="H12"/>
  <c r="G12"/>
  <c r="D12"/>
  <c r="H30"/>
  <c r="L30"/>
  <c r="K24" i="4"/>
  <c r="K38" s="1"/>
  <c r="L39" s="1"/>
  <c r="K24" i="6" s="1"/>
  <c r="K38" s="1"/>
  <c r="L39" s="1"/>
  <c r="L45" s="1"/>
  <c r="D13" i="1"/>
  <c r="D30"/>
  <c r="H13"/>
  <c r="H20" i="6"/>
  <c r="D20"/>
  <c r="X61" i="23"/>
  <c r="AA60"/>
  <c r="X60" i="20"/>
  <c r="AA60"/>
  <c r="X38" i="18"/>
  <c r="L52"/>
  <c r="H52"/>
  <c r="D29"/>
  <c r="H29"/>
  <c r="X60"/>
  <c r="AA60"/>
  <c r="P52" i="17"/>
  <c r="D29"/>
  <c r="L52"/>
  <c r="S57"/>
  <c r="W57"/>
  <c r="X57"/>
  <c r="X59"/>
  <c r="AA59"/>
  <c r="H52"/>
  <c r="H29"/>
  <c r="X60"/>
  <c r="AA60"/>
  <c r="D29" i="16"/>
  <c r="P52"/>
  <c r="L52"/>
  <c r="L55"/>
  <c r="S57"/>
  <c r="W57"/>
  <c r="X57"/>
  <c r="X60"/>
  <c r="AA60"/>
  <c r="D52"/>
  <c r="L29"/>
  <c r="H29"/>
  <c r="X38"/>
  <c r="H52" i="15"/>
  <c r="D52"/>
  <c r="X38"/>
  <c r="P52"/>
  <c r="L52"/>
  <c r="L55"/>
  <c r="S57"/>
  <c r="W57"/>
  <c r="X57"/>
  <c r="X59"/>
  <c r="AA59"/>
  <c r="L29"/>
  <c r="H29"/>
  <c r="D29"/>
  <c r="H25" i="14"/>
  <c r="L48"/>
  <c r="D48"/>
  <c r="L25"/>
  <c r="D25"/>
  <c r="X56"/>
  <c r="AA56"/>
  <c r="H25" i="13"/>
  <c r="P55" i="12"/>
  <c r="P57"/>
  <c r="L48"/>
  <c r="H48" i="13"/>
  <c r="L25"/>
  <c r="D48"/>
  <c r="P48"/>
  <c r="S37"/>
  <c r="D25"/>
  <c r="X56"/>
  <c r="X56" i="12"/>
  <c r="X55"/>
  <c r="AA55"/>
  <c r="L55"/>
  <c r="L57"/>
  <c r="H53"/>
  <c r="H54"/>
  <c r="H55"/>
  <c r="H57"/>
  <c r="D25"/>
  <c r="X59" i="16"/>
  <c r="AA59"/>
  <c r="X60" i="15"/>
  <c r="AA60"/>
  <c r="AA56" i="13"/>
  <c r="P58" i="12"/>
  <c r="P59"/>
  <c r="AA56"/>
  <c r="P60" i="13"/>
  <c r="L58" i="12"/>
  <c r="L59"/>
  <c r="P60"/>
  <c r="L60" i="13"/>
  <c r="H60"/>
  <c r="L60" i="12"/>
  <c r="H58"/>
  <c r="H59"/>
  <c r="H60"/>
  <c r="D29" i="25"/>
  <c r="A31"/>
  <c r="P32" i="42"/>
  <c r="L56"/>
  <c r="H32"/>
  <c r="D32"/>
  <c r="A34"/>
  <c r="P56"/>
  <c r="R55"/>
  <c r="X44"/>
  <c r="H32" i="41"/>
  <c r="X65"/>
  <c r="AA63"/>
  <c r="X64"/>
  <c r="AA62"/>
  <c r="H55"/>
  <c r="F73"/>
  <c r="P56"/>
  <c r="P32"/>
  <c r="D32"/>
  <c r="A34"/>
  <c r="L55"/>
  <c r="L56"/>
  <c r="X44"/>
  <c r="X65" i="40"/>
  <c r="AA63"/>
  <c r="L55"/>
  <c r="H32"/>
  <c r="P56"/>
  <c r="X44"/>
  <c r="P32" i="39"/>
  <c r="H32"/>
  <c r="H55"/>
  <c r="F73"/>
  <c r="D32"/>
  <c r="A34"/>
  <c r="X65"/>
  <c r="AA63"/>
  <c r="X44"/>
  <c r="P56"/>
  <c r="P57" i="57" l="1"/>
  <c r="H56" i="52"/>
  <c r="F74" s="1"/>
  <c r="L56"/>
  <c r="L57" s="1"/>
  <c r="X66" i="51"/>
  <c r="AA64" s="1"/>
  <c r="H33" i="52"/>
  <c r="D33"/>
  <c r="A35" s="1"/>
  <c r="L33" i="51"/>
  <c r="X45"/>
  <c r="R56" s="1"/>
  <c r="P56"/>
  <c r="L56"/>
  <c r="L57" s="1"/>
  <c r="H56"/>
  <c r="F74" s="1"/>
  <c r="X66" i="52"/>
  <c r="AA64" s="1"/>
  <c r="H33" i="51"/>
  <c r="D33"/>
  <c r="A35" s="1"/>
  <c r="W63" i="50"/>
  <c r="X63" s="1"/>
  <c r="X65" s="1"/>
  <c r="AA63" s="1"/>
  <c r="P56"/>
  <c r="P57" s="1"/>
  <c r="L56"/>
  <c r="L57" s="1"/>
  <c r="H33"/>
  <c r="H56"/>
  <c r="F74" s="1"/>
  <c r="D33"/>
  <c r="A35" s="1"/>
  <c r="X45"/>
  <c r="R56" s="1"/>
  <c r="H55" i="49"/>
  <c r="F73" s="1"/>
  <c r="L55"/>
  <c r="L56" s="1"/>
  <c r="H32"/>
  <c r="D32"/>
  <c r="A34" s="1"/>
  <c r="X44"/>
  <c r="R55"/>
  <c r="P56" s="1"/>
  <c r="K2" i="6"/>
  <c r="K19" s="1"/>
  <c r="L20" s="1"/>
  <c r="K2" i="8"/>
  <c r="K23" s="1"/>
  <c r="L24" s="1"/>
  <c r="K2" i="9"/>
  <c r="P45" i="6"/>
  <c r="R39"/>
  <c r="G24"/>
  <c r="G38" s="1"/>
  <c r="H39" s="1"/>
  <c r="H45" s="1"/>
  <c r="R39" i="4"/>
  <c r="P57" i="51" l="1"/>
  <c r="X66" i="50"/>
  <c r="AA64" s="1"/>
  <c r="S45" i="6"/>
  <c r="N3" i="9"/>
  <c r="K24"/>
  <c r="L25" s="1"/>
</calcChain>
</file>

<file path=xl/comments1.xml><?xml version="1.0" encoding="utf-8"?>
<comments xmlns="http://schemas.openxmlformats.org/spreadsheetml/2006/main">
  <authors>
    <author>Alejandro Lázaro González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45
100
100
1470.26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= 3000.00 - 2589.58</t>
        </r>
      </text>
    </comment>
  </commentList>
</comments>
</file>

<file path=xl/comments10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1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2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3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4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5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6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7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8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19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.xml><?xml version="1.0" encoding="utf-8"?>
<comments xmlns="http://schemas.openxmlformats.org/spreadsheetml/2006/main">
  <authors>
    <author>Alejandro Lázaro González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Programado Enero 6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Solo informativo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Porgramado Enero 6</t>
        </r>
      </text>
    </comment>
  </commentList>
</comments>
</file>

<file path=xl/comments20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1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2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3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4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5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6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7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8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29.xml><?xml version="1.0" encoding="utf-8"?>
<comments xmlns="http://schemas.openxmlformats.org/spreadsheetml/2006/main">
  <authors>
    <author>Alejandro Lázaro González</author>
  </authors>
  <commentList>
    <comment ref="A3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3.xml><?xml version="1.0" encoding="utf-8"?>
<comments xmlns="http://schemas.openxmlformats.org/spreadsheetml/2006/main">
  <authors>
    <author>Alejandro Lázaro González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Programado Enero 6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900 ret + $ 800 Cerdito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Virtual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Solo 340.86 + 368.28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Virtual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Virtual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Faltan 1000 de paco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Solo pasar 340.86 + 368.28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Porgramado Enero 6</t>
        </r>
      </text>
    </comment>
  </commentList>
</comments>
</file>

<file path=xl/comments30.xml><?xml version="1.0" encoding="utf-8"?>
<comments xmlns="http://schemas.openxmlformats.org/spreadsheetml/2006/main">
  <authors>
    <author>Alejandro Lázaro González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31.xml><?xml version="1.0" encoding="utf-8"?>
<comments xmlns="http://schemas.openxmlformats.org/spreadsheetml/2006/main">
  <authors>
    <author>Alejandro Lázaro González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32.xml><?xml version="1.0" encoding="utf-8"?>
<comments xmlns="http://schemas.openxmlformats.org/spreadsheetml/2006/main">
  <authors>
    <author>Alejandro Lázaro González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33.xml><?xml version="1.0" encoding="utf-8"?>
<comments xmlns="http://schemas.openxmlformats.org/spreadsheetml/2006/main">
  <authors>
    <author>Alejandro Lázaro González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34.xml><?xml version="1.0" encoding="utf-8"?>
<comments xmlns="http://schemas.openxmlformats.org/spreadsheetml/2006/main">
  <authors>
    <author>Alejandro Lázaro González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35.xml><?xml version="1.0" encoding="utf-8"?>
<comments xmlns="http://schemas.openxmlformats.org/spreadsheetml/2006/main">
  <authors>
    <author>Alejandro Lázaro González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36.xml><?xml version="1.0" encoding="utf-8"?>
<comments xmlns="http://schemas.openxmlformats.org/spreadsheetml/2006/main">
  <authors>
    <author>Alejandro Lázaro González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 No Interes $ 5,130.58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Pago No Interes $1,993.20</t>
        </r>
      </text>
    </comment>
  </commentList>
</comments>
</file>

<file path=xl/comments4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5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6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7.xml><?xml version="1.0" encoding="utf-8"?>
<comments xmlns="http://schemas.openxmlformats.org/spreadsheetml/2006/main">
  <authors>
    <author>Alejandro Lázaro González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3900 - renta
1100- gastos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2 scotiabank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2 Scotiabank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8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comments9.xml><?xml version="1.0" encoding="utf-8"?>
<comments xmlns="http://schemas.openxmlformats.org/spreadsheetml/2006/main">
  <authors>
    <author>Alejandro Lázaro González</author>
  </authors>
  <commentList>
    <comment ref="A30" authorId="0">
      <text>
        <r>
          <rPr>
            <b/>
            <sz val="9"/>
            <color indexed="81"/>
            <rFont val="Tahoma"/>
            <family val="2"/>
          </rPr>
          <t>Alejandro Lázaro González:</t>
        </r>
        <r>
          <rPr>
            <sz val="9"/>
            <color indexed="81"/>
            <rFont val="Tahoma"/>
            <family val="2"/>
          </rPr>
          <t xml:space="preserve">
Dato actual en cuenta</t>
        </r>
      </text>
    </comment>
  </commentList>
</comments>
</file>

<file path=xl/sharedStrings.xml><?xml version="1.0" encoding="utf-8"?>
<sst xmlns="http://schemas.openxmlformats.org/spreadsheetml/2006/main" count="5788" uniqueCount="1146">
  <si>
    <t>Saldo</t>
  </si>
  <si>
    <t>Tiguan</t>
  </si>
  <si>
    <t xml:space="preserve">Total: </t>
  </si>
  <si>
    <t>Afore</t>
  </si>
  <si>
    <t>Gastos Casa</t>
  </si>
  <si>
    <t>Gastos Pers.</t>
  </si>
  <si>
    <t>Banco Azteca</t>
  </si>
  <si>
    <t>Scotia Bank</t>
  </si>
  <si>
    <t>Domi Afore</t>
  </si>
  <si>
    <t>Domi Tiguan</t>
  </si>
  <si>
    <t>Rend</t>
  </si>
  <si>
    <t>Total</t>
  </si>
  <si>
    <t>Personales</t>
  </si>
  <si>
    <t>MB</t>
  </si>
  <si>
    <t>Coope Bshow</t>
  </si>
  <si>
    <t>Des Martes</t>
  </si>
  <si>
    <t>TC Inbursa</t>
  </si>
  <si>
    <t>TC Inb</t>
  </si>
  <si>
    <t>Cable</t>
  </si>
  <si>
    <t>Prono</t>
  </si>
  <si>
    <t>Netflix</t>
  </si>
  <si>
    <t>Telcel</t>
  </si>
  <si>
    <t>Cable Adn</t>
  </si>
  <si>
    <t>TC IXE</t>
  </si>
  <si>
    <t>(13 marzo)</t>
  </si>
  <si>
    <t>Jun</t>
  </si>
  <si>
    <t>Oct</t>
  </si>
  <si>
    <t>Nov</t>
  </si>
  <si>
    <t>Dic</t>
  </si>
  <si>
    <t>Café</t>
  </si>
  <si>
    <t>Vicio</t>
  </si>
  <si>
    <t>Chedraui</t>
  </si>
  <si>
    <t>Finde + Cump</t>
  </si>
  <si>
    <t>Int. Azteca</t>
  </si>
  <si>
    <t>Memb. Sams</t>
  </si>
  <si>
    <t>Compra Sams</t>
  </si>
  <si>
    <t>Prestamos ADN</t>
  </si>
  <si>
    <t>Rend.</t>
  </si>
  <si>
    <t>Gastos (+-)</t>
  </si>
  <si>
    <t>Nomina</t>
  </si>
  <si>
    <t>No Nomina</t>
  </si>
  <si>
    <t>Curso Guit</t>
  </si>
  <si>
    <t>En Cart.</t>
  </si>
  <si>
    <t>Renta</t>
  </si>
  <si>
    <t>Recup. Scoti(SAMS)</t>
  </si>
  <si>
    <t>Tacos Vier</t>
  </si>
  <si>
    <t>MB 30Abr</t>
  </si>
  <si>
    <t>Gas</t>
  </si>
  <si>
    <t>Casetas</t>
  </si>
  <si>
    <t>Rendimiento</t>
  </si>
  <si>
    <t>Ret. Fin de</t>
  </si>
  <si>
    <t>Palomitas</t>
  </si>
  <si>
    <t>Retiro Fin de</t>
  </si>
  <si>
    <t>Cine</t>
  </si>
  <si>
    <t>Comida San M</t>
  </si>
  <si>
    <t>En casa</t>
  </si>
  <si>
    <t>En Camioneta</t>
  </si>
  <si>
    <t>Des lunes</t>
  </si>
  <si>
    <t>Park(33+30+13+24)</t>
  </si>
  <si>
    <t>Tengo</t>
  </si>
  <si>
    <t>Comida SF</t>
  </si>
  <si>
    <t>Ret. Lunes 11</t>
  </si>
  <si>
    <t>Gafas Dany</t>
  </si>
  <si>
    <t>Papas + Nieves</t>
  </si>
  <si>
    <t>Fin De sem</t>
  </si>
  <si>
    <t>Iusacell</t>
  </si>
  <si>
    <t>Ropa Pilar</t>
  </si>
  <si>
    <t>Comida Charly</t>
  </si>
  <si>
    <t>Fitbands(7)</t>
  </si>
  <si>
    <t>Fitband Kari(3)</t>
  </si>
  <si>
    <t>Fitband Jul (1)</t>
  </si>
  <si>
    <t>Fitband Moy(1)</t>
  </si>
  <si>
    <t>Fitband Vic(1)</t>
  </si>
  <si>
    <t>Pago Fitbands(7)</t>
  </si>
  <si>
    <t>Pago IXE</t>
  </si>
  <si>
    <t>pago Fitbands</t>
  </si>
  <si>
    <t>Casa</t>
  </si>
  <si>
    <t>TC IXE --&gt; Banorte</t>
  </si>
  <si>
    <t>Pago IXE -- Banorte</t>
  </si>
  <si>
    <t>Cable ADN</t>
  </si>
  <si>
    <t xml:space="preserve"> </t>
  </si>
  <si>
    <t>Pro</t>
  </si>
  <si>
    <t>King</t>
  </si>
  <si>
    <t>Zap Leon</t>
  </si>
  <si>
    <t>Bod. Aurrera</t>
  </si>
  <si>
    <t>Suburbia</t>
  </si>
  <si>
    <t>Walmart</t>
  </si>
  <si>
    <t>Farm</t>
  </si>
  <si>
    <t>Gastos finde</t>
  </si>
  <si>
    <t>Des. Lunes</t>
  </si>
  <si>
    <t>TC Scotiabank</t>
  </si>
  <si>
    <t>Pizza</t>
  </si>
  <si>
    <t>Yeelight</t>
  </si>
  <si>
    <t>Home depot</t>
  </si>
  <si>
    <t>Pago TC</t>
  </si>
  <si>
    <t>Next Q</t>
  </si>
  <si>
    <t>Limite</t>
  </si>
  <si>
    <t>Extra</t>
  </si>
  <si>
    <t>Gasto Regular</t>
  </si>
  <si>
    <t>Gasto Extra</t>
  </si>
  <si>
    <t>Libros</t>
  </si>
  <si>
    <t>Sim Iusa</t>
  </si>
  <si>
    <t>+-'</t>
  </si>
  <si>
    <t>+-</t>
  </si>
  <si>
    <t>Linio Lap</t>
  </si>
  <si>
    <t>Liq. Int</t>
  </si>
  <si>
    <t>Retiro</t>
  </si>
  <si>
    <t>Pres. lili</t>
  </si>
  <si>
    <t>Fin. 12 MSI</t>
  </si>
  <si>
    <t>Mens1 Lap</t>
  </si>
  <si>
    <t>Juguetes niños</t>
  </si>
  <si>
    <t>Retiro Juev.</t>
  </si>
  <si>
    <t>Pago Lili</t>
  </si>
  <si>
    <t>Gas + 200 Casa</t>
  </si>
  <si>
    <t>Diff Qui 2</t>
  </si>
  <si>
    <t xml:space="preserve">Diff. </t>
  </si>
  <si>
    <t>Tot Q.</t>
  </si>
  <si>
    <t>Quin 1</t>
  </si>
  <si>
    <t>Quin 2</t>
  </si>
  <si>
    <t>Pagos</t>
  </si>
  <si>
    <t xml:space="preserve">Pago </t>
  </si>
  <si>
    <t>Sobrante</t>
  </si>
  <si>
    <t>Resta</t>
  </si>
  <si>
    <t>TC SB Linio</t>
  </si>
  <si>
    <t>TC Banorte</t>
  </si>
  <si>
    <t>TC Q1</t>
  </si>
  <si>
    <t>*</t>
  </si>
  <si>
    <t>MSI Iusa</t>
  </si>
  <si>
    <t>Retiro Dom</t>
  </si>
  <si>
    <t>Sams</t>
  </si>
  <si>
    <t>TC Linio</t>
  </si>
  <si>
    <t>Pago TC Linio</t>
  </si>
  <si>
    <t>Guitarra</t>
  </si>
  <si>
    <t>Fin MSI Guit</t>
  </si>
  <si>
    <t>Mens 1</t>
  </si>
  <si>
    <t>Extra Inb</t>
  </si>
  <si>
    <t>Extra Ban</t>
  </si>
  <si>
    <t>Extra Scotia</t>
  </si>
  <si>
    <t>Q1</t>
  </si>
  <si>
    <t>Q2</t>
  </si>
  <si>
    <t>Ret. May3</t>
  </si>
  <si>
    <t>Ret. May 2</t>
  </si>
  <si>
    <t>Pago Extra</t>
  </si>
  <si>
    <t>Pago TC Inb Q1</t>
  </si>
  <si>
    <t>Pago TC Ban</t>
  </si>
  <si>
    <t>Pago Ser. VW</t>
  </si>
  <si>
    <t>Domi Afo pb</t>
  </si>
  <si>
    <t>Domi afo pb</t>
  </si>
  <si>
    <t>Gastos (xx)</t>
  </si>
  <si>
    <t>TC Inb Normal</t>
  </si>
  <si>
    <t>TC Ban Ext</t>
  </si>
  <si>
    <t>TC SB Ext</t>
  </si>
  <si>
    <t>Para la afore</t>
  </si>
  <si>
    <t>SSD HD</t>
  </si>
  <si>
    <t>Coop. Bebidas</t>
  </si>
  <si>
    <t>Bebidas + pastel</t>
  </si>
  <si>
    <t>Gas y Caseta</t>
  </si>
  <si>
    <t>Finde + Feria</t>
  </si>
  <si>
    <t>Guit. Art</t>
  </si>
  <si>
    <t>Ched</t>
  </si>
  <si>
    <t>serv vw</t>
  </si>
  <si>
    <t>Pago serv vw</t>
  </si>
  <si>
    <t>Gearbest</t>
  </si>
  <si>
    <t>MSI</t>
  </si>
  <si>
    <t>#</t>
  </si>
  <si>
    <t>pago</t>
  </si>
  <si>
    <t>P. extra</t>
  </si>
  <si>
    <t>Party Land</t>
  </si>
  <si>
    <t>Telas Parisina</t>
  </si>
  <si>
    <t>Pago</t>
  </si>
  <si>
    <t>GB Comp</t>
  </si>
  <si>
    <t>GearB Payp</t>
  </si>
  <si>
    <t>Pron</t>
  </si>
  <si>
    <t>Bod. Churu</t>
  </si>
  <si>
    <t>Nuevo Faro</t>
  </si>
  <si>
    <t>George a nader</t>
  </si>
  <si>
    <t>parisina</t>
  </si>
  <si>
    <t>TC SB Extra</t>
  </si>
  <si>
    <t>Magadan</t>
  </si>
  <si>
    <t>Caseta</t>
  </si>
  <si>
    <t>Pro + 90.5+80</t>
  </si>
  <si>
    <t>Pago Jules</t>
  </si>
  <si>
    <t>Cab. Adan Abr + May</t>
  </si>
  <si>
    <t>Kari Abono Ped</t>
  </si>
  <si>
    <t>Kike 446.36+17.82</t>
  </si>
  <si>
    <t>GB Kike + Kari</t>
  </si>
  <si>
    <t>Comp TDC Ban</t>
  </si>
  <si>
    <t>Kari  + Quique</t>
  </si>
  <si>
    <t>pago comp</t>
  </si>
  <si>
    <t>Kari + Quiq</t>
  </si>
  <si>
    <t>Sny entr</t>
  </si>
  <si>
    <t>Quique Aduana</t>
  </si>
  <si>
    <t>Walmart (300 casa)</t>
  </si>
  <si>
    <t>No nomina</t>
  </si>
  <si>
    <t>Afore ret</t>
  </si>
  <si>
    <t xml:space="preserve">Oxx </t>
  </si>
  <si>
    <t>Reti Sanbors</t>
  </si>
  <si>
    <t>Hotel Husca</t>
  </si>
  <si>
    <t>Tel.</t>
  </si>
  <si>
    <t>Pago Pend.</t>
  </si>
  <si>
    <t>Gastos</t>
  </si>
  <si>
    <t>Ahorro</t>
  </si>
  <si>
    <t>~~~</t>
  </si>
  <si>
    <t>Seguro Auto</t>
  </si>
  <si>
    <t>Mens Iusa</t>
  </si>
  <si>
    <t>Pago ex</t>
  </si>
  <si>
    <t>TC SB Jules</t>
  </si>
  <si>
    <t>TC SB Res</t>
  </si>
  <si>
    <t>Pago TC Ex</t>
  </si>
  <si>
    <t>MSI Lap</t>
  </si>
  <si>
    <t>MSI Guit</t>
  </si>
  <si>
    <t>&lt;--</t>
  </si>
  <si>
    <t>Retiro Ppago  VW</t>
  </si>
  <si>
    <t>IZZI</t>
  </si>
  <si>
    <t>Play Music</t>
  </si>
  <si>
    <t>Pago Kari</t>
  </si>
  <si>
    <t>Pago Vic</t>
  </si>
  <si>
    <t>Beer Factory</t>
  </si>
  <si>
    <t>Finde</t>
  </si>
  <si>
    <t>Pago TC Inb</t>
  </si>
  <si>
    <t>Bod. Aurr</t>
  </si>
  <si>
    <t>Ropa dany</t>
  </si>
  <si>
    <t>Pago TC SB</t>
  </si>
  <si>
    <t>Cervezas</t>
  </si>
  <si>
    <t>Retiro Ent. Depto</t>
  </si>
  <si>
    <t>Recomp. Traspaso</t>
  </si>
  <si>
    <t>Cuenta plus</t>
  </si>
  <si>
    <t>In</t>
  </si>
  <si>
    <t xml:space="preserve">Plus in </t>
  </si>
  <si>
    <t>Seguro</t>
  </si>
  <si>
    <t>TC SB</t>
  </si>
  <si>
    <t>Retiro casa</t>
  </si>
  <si>
    <t>Plus out</t>
  </si>
  <si>
    <t>Out</t>
  </si>
  <si>
    <t>Int(7d)</t>
  </si>
  <si>
    <t>Saldo Corte</t>
  </si>
  <si>
    <t>Agua, Prot. Finde</t>
  </si>
  <si>
    <t>Plus In</t>
  </si>
  <si>
    <t>Mixup</t>
  </si>
  <si>
    <t>Anterior</t>
  </si>
  <si>
    <t>Actual</t>
  </si>
  <si>
    <t>Diff</t>
  </si>
  <si>
    <t>Plus x Mes</t>
  </si>
  <si>
    <t>Modatelas</t>
  </si>
  <si>
    <t xml:space="preserve">Sobrante </t>
  </si>
  <si>
    <t>TCS</t>
  </si>
  <si>
    <t>Diff Tiguan</t>
  </si>
  <si>
    <t>Cble Adn Jun</t>
  </si>
  <si>
    <t>Cble Adn Jul</t>
  </si>
  <si>
    <t>Superama</t>
  </si>
  <si>
    <t>Cinepolis</t>
  </si>
  <si>
    <t>TC</t>
  </si>
  <si>
    <t>Andanzza</t>
  </si>
  <si>
    <t>Plus Out</t>
  </si>
  <si>
    <t>Retiro Inb</t>
  </si>
  <si>
    <t>RT 1</t>
  </si>
  <si>
    <t>RT1</t>
  </si>
  <si>
    <t>PH Plaza</t>
  </si>
  <si>
    <t>Pago Amazon</t>
  </si>
  <si>
    <t>Iusa</t>
  </si>
  <si>
    <t>TCs</t>
  </si>
  <si>
    <t>Amazon</t>
  </si>
  <si>
    <t>Sanbs</t>
  </si>
  <si>
    <t>Utiles Dany</t>
  </si>
  <si>
    <t>Tcs det</t>
  </si>
  <si>
    <t>Inb</t>
  </si>
  <si>
    <t>Ban</t>
  </si>
  <si>
    <t>Extra.</t>
  </si>
  <si>
    <t>Retiro Herrero</t>
  </si>
  <si>
    <t>Ret. SC He</t>
  </si>
  <si>
    <t>Adjust. Ret</t>
  </si>
  <si>
    <t>Casa + Gas + Extra</t>
  </si>
  <si>
    <t>Herrero</t>
  </si>
  <si>
    <t>Red. Puntos</t>
  </si>
  <si>
    <t>Ret Q1</t>
  </si>
  <si>
    <t>Ret Qui !</t>
  </si>
  <si>
    <t>Pilar</t>
  </si>
  <si>
    <t>Liverpool</t>
  </si>
  <si>
    <t>Dormim</t>
  </si>
  <si>
    <t>La oriental</t>
  </si>
  <si>
    <t>Bod. Churub</t>
  </si>
  <si>
    <t>MSI Liv</t>
  </si>
  <si>
    <t>Muebles pact</t>
  </si>
  <si>
    <t>Pago Dormimundo</t>
  </si>
  <si>
    <t>Pago MSI Liv</t>
  </si>
  <si>
    <t>Pend</t>
  </si>
  <si>
    <t>Corte</t>
  </si>
  <si>
    <t>Ret Jue</t>
  </si>
  <si>
    <t>Pago Dor</t>
  </si>
  <si>
    <t>Pago TC Dor</t>
  </si>
  <si>
    <t>Hotel</t>
  </si>
  <si>
    <t>Ret. Elektra SM</t>
  </si>
  <si>
    <t>Parisina Cort</t>
  </si>
  <si>
    <t>Ched. Ver Centro</t>
  </si>
  <si>
    <t>Vacaciones</t>
  </si>
  <si>
    <t>v</t>
  </si>
  <si>
    <t>Carls</t>
  </si>
  <si>
    <t>Ched. Plaz. A</t>
  </si>
  <si>
    <t>Acuario + casetas</t>
  </si>
  <si>
    <t>Com. Camino Real</t>
  </si>
  <si>
    <t>Caseta Fortin</t>
  </si>
  <si>
    <t>Caseta P. Toro</t>
  </si>
  <si>
    <t>Gas. Esper</t>
  </si>
  <si>
    <t>Ret. SM</t>
  </si>
  <si>
    <t>Pago Ret SM</t>
  </si>
  <si>
    <t>Plus OUT</t>
  </si>
  <si>
    <t>Traje baño Pilar</t>
  </si>
  <si>
    <t>plus Out Vac</t>
  </si>
  <si>
    <t>TC Ban</t>
  </si>
  <si>
    <t>TB Plar</t>
  </si>
  <si>
    <t>Pago TB Pilar</t>
  </si>
  <si>
    <t>TC Scotia</t>
  </si>
  <si>
    <t>Gas Prev vac</t>
  </si>
  <si>
    <t>Pago Gas</t>
  </si>
  <si>
    <t>MSILiv</t>
  </si>
  <si>
    <t>Pago MSILiv</t>
  </si>
  <si>
    <t>Qui2</t>
  </si>
  <si>
    <t>Fin Hotel</t>
  </si>
  <si>
    <t>MSI Liv SB</t>
  </si>
  <si>
    <t>Gas. Pre va TCB</t>
  </si>
  <si>
    <t>MSI Lv SB</t>
  </si>
  <si>
    <t>lgalexeii</t>
  </si>
  <si>
    <t>plus out vac</t>
  </si>
  <si>
    <t>Café la Parroquia</t>
  </si>
  <si>
    <t>Renta + 100</t>
  </si>
  <si>
    <t>Ret. Plus Vac + Ahorro</t>
  </si>
  <si>
    <t>Foco Kari</t>
  </si>
  <si>
    <t>MSI Liv Ban</t>
  </si>
  <si>
    <t>Agua</t>
  </si>
  <si>
    <t>Out Fin Hotel</t>
  </si>
  <si>
    <t>Simi</t>
  </si>
  <si>
    <t>MSI BD</t>
  </si>
  <si>
    <t>Cable adn</t>
  </si>
  <si>
    <t>TC`s Inb</t>
  </si>
  <si>
    <t xml:space="preserve">MSI </t>
  </si>
  <si>
    <t># Pagos</t>
  </si>
  <si>
    <t>Pago #</t>
  </si>
  <si>
    <t>Pagado</t>
  </si>
  <si>
    <t>Adeudo</t>
  </si>
  <si>
    <t>Alitas</t>
  </si>
  <si>
    <t>Ret. Chelas</t>
  </si>
  <si>
    <t>Pago GB TC inb</t>
  </si>
  <si>
    <t>GB Pagos</t>
  </si>
  <si>
    <t>Dep Cortadora Adn</t>
  </si>
  <si>
    <t>Ret</t>
  </si>
  <si>
    <t>Gasolina</t>
  </si>
  <si>
    <t>Pago Cort</t>
  </si>
  <si>
    <t>GB</t>
  </si>
  <si>
    <t>Cine. Palomitas</t>
  </si>
  <si>
    <t>Pago GB</t>
  </si>
  <si>
    <t>Paso MSI BD</t>
  </si>
  <si>
    <t>Pago MSI BD</t>
  </si>
  <si>
    <t>CFE Villa Herm</t>
  </si>
  <si>
    <t xml:space="preserve">Telcel </t>
  </si>
  <si>
    <t>Desp</t>
  </si>
  <si>
    <t>pago desp</t>
  </si>
  <si>
    <t>Pago Wal</t>
  </si>
  <si>
    <t>Pago MSI Liv SB</t>
  </si>
  <si>
    <t>Renta casa</t>
  </si>
  <si>
    <t>Kari</t>
  </si>
  <si>
    <t>TC Inb.</t>
  </si>
  <si>
    <t>TC'S</t>
  </si>
  <si>
    <t>Ret FINDE1</t>
  </si>
  <si>
    <t>Tacos Jules</t>
  </si>
  <si>
    <t>Pizza Finde2</t>
  </si>
  <si>
    <t>pago Leo</t>
  </si>
  <si>
    <t>Pago TC MSI</t>
  </si>
  <si>
    <t>Ret. Fi</t>
  </si>
  <si>
    <t>Rec. SB</t>
  </si>
  <si>
    <t>Rec SB</t>
  </si>
  <si>
    <t>Sears</t>
  </si>
  <si>
    <t>Beer House</t>
  </si>
  <si>
    <t>Pago TC ban</t>
  </si>
  <si>
    <t>BD</t>
  </si>
  <si>
    <t>MSI liv</t>
  </si>
  <si>
    <t>Laptop</t>
  </si>
  <si>
    <t>Guit</t>
  </si>
  <si>
    <t>Pago BD</t>
  </si>
  <si>
    <t>pago MSI Liv</t>
  </si>
  <si>
    <t>Retiro Fin 1</t>
  </si>
  <si>
    <t>GB Moy</t>
  </si>
  <si>
    <t>GB Chuchin</t>
  </si>
  <si>
    <t>GB Kari</t>
  </si>
  <si>
    <t>GB Quique</t>
  </si>
  <si>
    <t>Caseta Fin 1</t>
  </si>
  <si>
    <t>Pago GB SB</t>
  </si>
  <si>
    <t>Pago MSI</t>
  </si>
  <si>
    <t>Comp</t>
  </si>
  <si>
    <t>?? Dividir</t>
  </si>
  <si>
    <t>Pago Inb GB</t>
  </si>
  <si>
    <t>Rec Telcel</t>
  </si>
  <si>
    <t>Spotify</t>
  </si>
  <si>
    <t>Paypal GB</t>
  </si>
  <si>
    <t>Bodega Chur</t>
  </si>
  <si>
    <t>Pago Paypal GB</t>
  </si>
  <si>
    <t>Barlovento</t>
  </si>
  <si>
    <t>Banorte</t>
  </si>
  <si>
    <t>Pago BH + others</t>
  </si>
  <si>
    <t>Pago BH &amp; Others</t>
  </si>
  <si>
    <t>Comp SB GB + caseta</t>
  </si>
  <si>
    <t>TC's 1393.31</t>
  </si>
  <si>
    <t>Extra Casa</t>
  </si>
  <si>
    <t>Pagoc TC SB</t>
  </si>
  <si>
    <t>Pago  BD</t>
  </si>
  <si>
    <t>SUPP-TSP</t>
  </si>
  <si>
    <t>ret 200 + 500</t>
  </si>
  <si>
    <t>Retiro Fin de 1</t>
  </si>
  <si>
    <t>Comida Vie</t>
  </si>
  <si>
    <t>Pago TC 2111.98</t>
  </si>
  <si>
    <t>Gastos casa</t>
  </si>
  <si>
    <t>Luz</t>
  </si>
  <si>
    <t>Bebidas Africam</t>
  </si>
  <si>
    <t>Leo</t>
  </si>
  <si>
    <t>Adriana</t>
  </si>
  <si>
    <t>Comida Sab</t>
  </si>
  <si>
    <t>Pilas T D</t>
  </si>
  <si>
    <t>Varios</t>
  </si>
  <si>
    <t>Falta 1300</t>
  </si>
  <si>
    <t>Gas + Tanque</t>
  </si>
  <si>
    <t>Adan C + S</t>
  </si>
  <si>
    <t>pago Tc atrás</t>
  </si>
  <si>
    <t>Retiro Crop</t>
  </si>
  <si>
    <t>Liq Int.</t>
  </si>
  <si>
    <t>Walmart Q2</t>
  </si>
  <si>
    <t>ret</t>
  </si>
  <si>
    <t>Pago TC inb</t>
  </si>
  <si>
    <t>sears pant</t>
  </si>
  <si>
    <t>Izzi</t>
  </si>
  <si>
    <t>PROD Y SERV MAGALL - OPE 160701PX7</t>
  </si>
  <si>
    <t>spotify</t>
  </si>
  <si>
    <t>Walmart Com.</t>
  </si>
  <si>
    <t>Africam</t>
  </si>
  <si>
    <t>Pago Est Adán</t>
  </si>
  <si>
    <t xml:space="preserve">MSI Liv SB </t>
  </si>
  <si>
    <t>Pago Adn estufa</t>
  </si>
  <si>
    <t>Pago Adn + chelo</t>
  </si>
  <si>
    <t>Finde 1</t>
  </si>
  <si>
    <t>SB</t>
  </si>
  <si>
    <t>Chelo</t>
  </si>
  <si>
    <t>GB Jules</t>
  </si>
  <si>
    <t>GB Vic</t>
  </si>
  <si>
    <t>F Ahorro</t>
  </si>
  <si>
    <t>Famsa</t>
  </si>
  <si>
    <t>aqgui nomina</t>
  </si>
  <si>
    <t>agui no nomina</t>
  </si>
  <si>
    <t>Alex est 1</t>
  </si>
  <si>
    <t>Alex Est 1</t>
  </si>
  <si>
    <t>Ret fin3 plus</t>
  </si>
  <si>
    <t>Oxxo Bebidas</t>
  </si>
  <si>
    <t>Adan - Leo</t>
  </si>
  <si>
    <t>(Gas-caseta-tinto + 300 gasto)</t>
  </si>
  <si>
    <t>MSI Liv BAN</t>
  </si>
  <si>
    <t>Ahorro agui</t>
  </si>
  <si>
    <t>TC's</t>
  </si>
  <si>
    <t>Adn Cable + Spot</t>
  </si>
  <si>
    <t>Domi tiguan</t>
  </si>
  <si>
    <t>Ahorro Agui</t>
  </si>
  <si>
    <t>GB Kike</t>
  </si>
  <si>
    <t>GB Nohemi</t>
  </si>
  <si>
    <t>Gas Tanque lleno</t>
  </si>
  <si>
    <t>GB Armando</t>
  </si>
  <si>
    <t>GB Adan</t>
  </si>
  <si>
    <t>Comida Fin Lasagna Walm</t>
  </si>
  <si>
    <t>Comida Fin Lasagna Ched</t>
  </si>
  <si>
    <t>Comida Fin Lasagna Ched2</t>
  </si>
  <si>
    <t>Pago Mateo Reyes</t>
  </si>
  <si>
    <t>GB Alex</t>
  </si>
  <si>
    <t>Pago Fin Lasagna</t>
  </si>
  <si>
    <t>Estufa</t>
  </si>
  <si>
    <t>Chompu</t>
  </si>
  <si>
    <t>Viaje</t>
  </si>
  <si>
    <t>Plan ATT</t>
  </si>
  <si>
    <t>Pago Chompu</t>
  </si>
  <si>
    <t>Pago Estufa</t>
  </si>
  <si>
    <t>Pago ATT</t>
  </si>
  <si>
    <t>GB Pago</t>
  </si>
  <si>
    <t>ATT</t>
  </si>
  <si>
    <t>Luz Dic</t>
  </si>
  <si>
    <t>Pago GB 1</t>
  </si>
  <si>
    <t>Pago GB 2</t>
  </si>
  <si>
    <t>Pago GB 3</t>
  </si>
  <si>
    <t>Pago Fin lasagna</t>
  </si>
  <si>
    <t>Puma 2 de 4</t>
  </si>
  <si>
    <t>GB Zen + Mike</t>
  </si>
  <si>
    <t>GB Jon</t>
  </si>
  <si>
    <t>Retiro Vie</t>
  </si>
  <si>
    <t>Retiro vie</t>
  </si>
  <si>
    <t>Comida fin godin</t>
  </si>
  <si>
    <t>Super</t>
  </si>
  <si>
    <t>Gastos Fin año</t>
  </si>
  <si>
    <t>Sin Asignar</t>
  </si>
  <si>
    <t>Prima Vac '-&gt; Bulova</t>
  </si>
  <si>
    <t>Prima Vac Bul</t>
  </si>
  <si>
    <t>Bulova</t>
  </si>
  <si>
    <t>Cerdito</t>
  </si>
  <si>
    <t>Com Fin año 1</t>
  </si>
  <si>
    <t>Com Fin año 2</t>
  </si>
  <si>
    <t>Prima Vac.</t>
  </si>
  <si>
    <t>Infonavit</t>
  </si>
  <si>
    <t>Adelante Fin año</t>
  </si>
  <si>
    <t>Prest. Material</t>
  </si>
  <si>
    <t>Prestamo Material (Casa)</t>
  </si>
  <si>
    <t>Prestamo Material SB</t>
  </si>
  <si>
    <t>Material</t>
  </si>
  <si>
    <t>Abono 1</t>
  </si>
  <si>
    <t>Prest. Info Mat</t>
  </si>
  <si>
    <t>Plusvalia</t>
  </si>
  <si>
    <t>YO…</t>
  </si>
  <si>
    <t>GB 1</t>
  </si>
  <si>
    <t>GB 2</t>
  </si>
  <si>
    <t>Estufa 3 de 8</t>
  </si>
  <si>
    <t>Pago Material Ban Info</t>
  </si>
  <si>
    <t>Pago Material Ban Aho</t>
  </si>
  <si>
    <t>Prestamo Paco</t>
  </si>
  <si>
    <t>Pago Material SB Aho</t>
  </si>
  <si>
    <t>Pago Material Inb Aho</t>
  </si>
  <si>
    <t>Retiro ahorro</t>
  </si>
  <si>
    <t>From Cerdito</t>
  </si>
  <si>
    <t>From SB</t>
  </si>
  <si>
    <t>Azteca</t>
  </si>
  <si>
    <t>Material SB</t>
  </si>
  <si>
    <t>Extra mat Ban</t>
  </si>
  <si>
    <t>Extra mat Inb</t>
  </si>
  <si>
    <t>Extra mat SB</t>
  </si>
  <si>
    <t>Extra mat</t>
  </si>
  <si>
    <t>Pago Mat SB</t>
  </si>
  <si>
    <t>Pago Extra Mat SB</t>
  </si>
  <si>
    <t>From Azt</t>
  </si>
  <si>
    <t>To SB Finde 2</t>
  </si>
  <si>
    <t>Extra Abono</t>
  </si>
  <si>
    <t>Extra abono 1</t>
  </si>
  <si>
    <t>Pa MSI Liv</t>
  </si>
  <si>
    <t>Extra Abono 1</t>
  </si>
  <si>
    <t>Comp Abono 1</t>
  </si>
  <si>
    <t>Aquí tengo</t>
  </si>
  <si>
    <t>Debo de</t>
  </si>
  <si>
    <t>Me faltan</t>
  </si>
  <si>
    <t xml:space="preserve">Me pasaron </t>
  </si>
  <si>
    <t>aun me faltan</t>
  </si>
  <si>
    <t>Pago Est</t>
  </si>
  <si>
    <t>Abono</t>
  </si>
  <si>
    <t>Pa GB 2</t>
  </si>
  <si>
    <t>Julio GB</t>
  </si>
  <si>
    <t>Retiros</t>
  </si>
  <si>
    <t>Vic Spotify</t>
  </si>
  <si>
    <t>estufa 4 de 8</t>
  </si>
  <si>
    <t>Est 4 de 8</t>
  </si>
  <si>
    <t>Abono Ban</t>
  </si>
  <si>
    <t>Abono Inb</t>
  </si>
  <si>
    <t>Abono SB</t>
  </si>
  <si>
    <t>Cable adn + spo</t>
  </si>
  <si>
    <t>Abono inb</t>
  </si>
  <si>
    <t>seguro</t>
  </si>
  <si>
    <t>Paypal GB Ene 7</t>
  </si>
  <si>
    <t>pago GB Ene 6</t>
  </si>
  <si>
    <t>Complem Abono 1</t>
  </si>
  <si>
    <t xml:space="preserve">Abono </t>
  </si>
  <si>
    <t>Estufa Adn</t>
  </si>
  <si>
    <t>Estufa Adn SB</t>
  </si>
  <si>
    <t>Estufa ADN</t>
  </si>
  <si>
    <t>Abono 2 En 16</t>
  </si>
  <si>
    <t>Abo Puma 3 de 4</t>
  </si>
  <si>
    <t>Puma 3 de 4 a banorte</t>
  </si>
  <si>
    <t>++Abonos Ban Pres Suegro</t>
  </si>
  <si>
    <t>GB Ene17</t>
  </si>
  <si>
    <t>Jules Pedido Ene06</t>
  </si>
  <si>
    <t>Pago Ban GB Ene06</t>
  </si>
  <si>
    <t>Pago GB ene17</t>
  </si>
  <si>
    <t>Puma 4 de 4</t>
  </si>
  <si>
    <t>Abono Q2 Ene</t>
  </si>
  <si>
    <t>Adn 369</t>
  </si>
  <si>
    <t>Puma 4 de 4 '--&gt; Ban</t>
  </si>
  <si>
    <t>Estufa 5 de 8</t>
  </si>
  <si>
    <t>Banorte Eso(it)</t>
  </si>
  <si>
    <t>Lulo 1 de 3</t>
  </si>
  <si>
    <t xml:space="preserve">Pago Abono </t>
  </si>
  <si>
    <t>Pago est</t>
  </si>
  <si>
    <t>Linio</t>
  </si>
  <si>
    <t>Comp. Est</t>
  </si>
  <si>
    <t>Comp. Estufa</t>
  </si>
  <si>
    <t>Abono En 31</t>
  </si>
  <si>
    <t>Pago TCs (SB)</t>
  </si>
  <si>
    <t>Pago ban lulo 1 de 3</t>
  </si>
  <si>
    <t>Pago Tcs</t>
  </si>
  <si>
    <t>Pago Telcel</t>
  </si>
  <si>
    <t>Abono Infonavit 2116031286</t>
  </si>
  <si>
    <t>Lulo 3 de 4</t>
  </si>
  <si>
    <t>Pago GB Lulo</t>
  </si>
  <si>
    <t>Inbursa</t>
  </si>
  <si>
    <t>Banorte Lulo</t>
  </si>
  <si>
    <t>Pago Ban. Gastos</t>
  </si>
  <si>
    <t>Abono feb 15</t>
  </si>
  <si>
    <t>Pago TC's</t>
  </si>
  <si>
    <t>Nextflix</t>
  </si>
  <si>
    <t>Lulo 2 de 3</t>
  </si>
  <si>
    <t>Abono Q1Feb</t>
  </si>
  <si>
    <t>Pago gts</t>
  </si>
  <si>
    <t>Estufa 6 de 8</t>
  </si>
  <si>
    <t>Adan Cable + spo</t>
  </si>
  <si>
    <t>Vig - Luz Vista Hermosa</t>
  </si>
  <si>
    <t>Luz depa</t>
  </si>
  <si>
    <t>Lulo 4 de 4</t>
  </si>
  <si>
    <t>Sanborns</t>
  </si>
  <si>
    <t>Retiro T3</t>
  </si>
  <si>
    <t>Estufa 7 de 8</t>
  </si>
  <si>
    <t>Pagos TC</t>
  </si>
  <si>
    <t>Pago ESTUFA</t>
  </si>
  <si>
    <t>Fines</t>
  </si>
  <si>
    <t>Pagos TCs</t>
  </si>
  <si>
    <t>Adan Cab + spo</t>
  </si>
  <si>
    <t>Fin 1</t>
  </si>
  <si>
    <t>Fin 2</t>
  </si>
  <si>
    <t>Pago Ban Lulo</t>
  </si>
  <si>
    <t>GB Dev</t>
  </si>
  <si>
    <t>GB Beto</t>
  </si>
  <si>
    <t>GB Lulo</t>
  </si>
  <si>
    <t>Estufa Chelo</t>
  </si>
  <si>
    <t>Pago estufa Chelo</t>
  </si>
  <si>
    <t>Socio pls</t>
  </si>
  <si>
    <t>Spot Vic</t>
  </si>
  <si>
    <t>rend</t>
  </si>
  <si>
    <t>ret fines</t>
  </si>
  <si>
    <t>Estfa Chelo</t>
  </si>
  <si>
    <t>Com Man. Cta</t>
  </si>
  <si>
    <t>IVA Com cta</t>
  </si>
  <si>
    <t>Pago Abono SB</t>
  </si>
  <si>
    <t>Pago estufa</t>
  </si>
  <si>
    <t>Prg 9 marzo</t>
  </si>
  <si>
    <t>**</t>
  </si>
  <si>
    <t>Intereses</t>
  </si>
  <si>
    <t>Compu Paty</t>
  </si>
  <si>
    <t>laptops</t>
  </si>
  <si>
    <t>Pago laptop 1</t>
  </si>
  <si>
    <t>Laptop 1</t>
  </si>
  <si>
    <t>Laptop 2</t>
  </si>
  <si>
    <t>Pago Laptop 1</t>
  </si>
  <si>
    <t>Pago GB Paty</t>
  </si>
  <si>
    <t>Pago GB Perry</t>
  </si>
  <si>
    <t>Pago Tcs Inb</t>
  </si>
  <si>
    <t>Pago Tc SB</t>
  </si>
  <si>
    <t>Pago GB Inb</t>
  </si>
  <si>
    <t>Estufa 8 de 8</t>
  </si>
  <si>
    <t>Pago Tcs SB</t>
  </si>
  <si>
    <t>Zapatos Dany</t>
  </si>
  <si>
    <t>Refrendo Tiguan</t>
  </si>
  <si>
    <t>Pago Comp1</t>
  </si>
  <si>
    <t xml:space="preserve">Pago TC </t>
  </si>
  <si>
    <t>Tranf Chelo</t>
  </si>
  <si>
    <t>pago estufa</t>
  </si>
  <si>
    <t>Suburbia - pans Dany</t>
  </si>
  <si>
    <t>Int</t>
  </si>
  <si>
    <t>Iva int</t>
  </si>
  <si>
    <t>Pagos SB Cte Marzo</t>
  </si>
  <si>
    <t>Abono xtra</t>
  </si>
  <si>
    <t>Alimentos sixflags</t>
  </si>
  <si>
    <t>Pago TCS</t>
  </si>
  <si>
    <t>Pago Abono</t>
  </si>
  <si>
    <t>Pago Abono xtra</t>
  </si>
  <si>
    <t>Abono Mats</t>
  </si>
  <si>
    <t>TC BAN</t>
  </si>
  <si>
    <t>Renta Casa</t>
  </si>
  <si>
    <t>Pago Kari GB</t>
  </si>
  <si>
    <t>Finde1</t>
  </si>
  <si>
    <t>Finde2</t>
  </si>
  <si>
    <t>Cable Maz Adn</t>
  </si>
  <si>
    <t>Spot Abr 1</t>
  </si>
  <si>
    <t>Bodega Aurr</t>
  </si>
  <si>
    <t>Pago Sixflg</t>
  </si>
  <si>
    <t>Sixflags</t>
  </si>
  <si>
    <t>Alim VESEC A y B</t>
  </si>
  <si>
    <t>Moy GB</t>
  </si>
  <si>
    <t>Jules GB</t>
  </si>
  <si>
    <t>Memo GB</t>
  </si>
  <si>
    <t>Pago Cajeta</t>
  </si>
  <si>
    <t>--&gt; plus</t>
  </si>
  <si>
    <t>Gastos cas</t>
  </si>
  <si>
    <t>--&gt;plus</t>
  </si>
  <si>
    <t>Abono Tcs</t>
  </si>
  <si>
    <t>Pago stf</t>
  </si>
  <si>
    <t>Pago Abonos</t>
  </si>
  <si>
    <t>Mas pago abonos</t>
  </si>
  <si>
    <t>Pago Sixflags</t>
  </si>
  <si>
    <t>Pulsera</t>
  </si>
  <si>
    <t>Pago tc's</t>
  </si>
  <si>
    <t>Finde 2.</t>
  </si>
  <si>
    <t>inb</t>
  </si>
  <si>
    <t>paypal GB</t>
  </si>
  <si>
    <t>paypal spot</t>
  </si>
  <si>
    <t>pago sixflags</t>
  </si>
  <si>
    <t>Pago paypal GB</t>
  </si>
  <si>
    <t>pago paypal GB</t>
  </si>
  <si>
    <t>Terr</t>
  </si>
  <si>
    <t>Abonos</t>
  </si>
  <si>
    <t>Luna GB</t>
  </si>
  <si>
    <t>Retiro AL</t>
  </si>
  <si>
    <t>Pago Kari Luna</t>
  </si>
  <si>
    <t>CFE Vistaher</t>
  </si>
  <si>
    <t>Liq Int</t>
  </si>
  <si>
    <t>Luz Edi</t>
  </si>
  <si>
    <t>Retiro casa gas</t>
  </si>
  <si>
    <t>Uber</t>
  </si>
  <si>
    <t>GB Reembolso</t>
  </si>
  <si>
    <t>MSI SB</t>
  </si>
  <si>
    <t>=</t>
  </si>
  <si>
    <t>cta</t>
  </si>
  <si>
    <t>pago tc</t>
  </si>
  <si>
    <t>abono</t>
  </si>
  <si>
    <t>18 de mayo</t>
  </si>
  <si>
    <t>18 de Junio</t>
  </si>
  <si>
    <t>15 de mayo</t>
  </si>
  <si>
    <t>Terreno apr27</t>
  </si>
  <si>
    <t>Rend apr 27</t>
  </si>
  <si>
    <t>Dany ropa</t>
  </si>
  <si>
    <t xml:space="preserve">Renta </t>
  </si>
  <si>
    <t>GB Memo Lulo</t>
  </si>
  <si>
    <t>30 de abril</t>
  </si>
  <si>
    <t>SAT</t>
  </si>
  <si>
    <t>pago abono</t>
  </si>
  <si>
    <t>Fines D 1</t>
  </si>
  <si>
    <t>Fines D 2</t>
  </si>
  <si>
    <t>Tenis Pilar</t>
  </si>
  <si>
    <t>Abono Plus</t>
  </si>
  <si>
    <t>Faltan 150</t>
  </si>
  <si>
    <t>Pago TC Inbursa</t>
  </si>
  <si>
    <t>Ched Fin</t>
  </si>
  <si>
    <t>Botiquin Azt</t>
  </si>
  <si>
    <t>Sabono</t>
  </si>
  <si>
    <t>Ret GB Luna</t>
  </si>
  <si>
    <t>Pago GAS + Cas</t>
  </si>
  <si>
    <t>faltan 250</t>
  </si>
  <si>
    <t>Promoda</t>
  </si>
  <si>
    <t>Nike</t>
  </si>
  <si>
    <t>Anforama</t>
  </si>
  <si>
    <t>Pago Tenis</t>
  </si>
  <si>
    <t>Vic</t>
  </si>
  <si>
    <t>gas + cas BAN</t>
  </si>
  <si>
    <t>Ret Pls</t>
  </si>
  <si>
    <t>Ret. Plus</t>
  </si>
  <si>
    <t>Ropa mama</t>
  </si>
  <si>
    <t>Cred. Sguro</t>
  </si>
  <si>
    <t>Servicio VW</t>
  </si>
  <si>
    <t>Abono Gas</t>
  </si>
  <si>
    <t>Cas.. SB</t>
  </si>
  <si>
    <t>Neto</t>
  </si>
  <si>
    <t>Retiro Find1</t>
  </si>
  <si>
    <t>Xtra</t>
  </si>
  <si>
    <t>Xtra SB</t>
  </si>
  <si>
    <t>Add Plus</t>
  </si>
  <si>
    <t>Finde 2</t>
  </si>
  <si>
    <t>TC inbursa</t>
  </si>
  <si>
    <t>Solo 2500</t>
  </si>
  <si>
    <t>Just 2500</t>
  </si>
  <si>
    <t>Rend May 15</t>
  </si>
  <si>
    <t>CasGas</t>
  </si>
  <si>
    <t>GB Charly</t>
  </si>
  <si>
    <t>Pago GB Charly</t>
  </si>
  <si>
    <t>Charly GB</t>
  </si>
  <si>
    <t>Pago Charly GB</t>
  </si>
  <si>
    <t>Gtos Alx</t>
  </si>
  <si>
    <t>Sears …</t>
  </si>
  <si>
    <t>-&gt;</t>
  </si>
  <si>
    <t>Finde 3</t>
  </si>
  <si>
    <t>Gb Charly</t>
  </si>
  <si>
    <t>GB martin</t>
  </si>
  <si>
    <t>SAT Pago 2</t>
  </si>
  <si>
    <t>Pago GB Martin</t>
  </si>
  <si>
    <t>Adjust</t>
  </si>
  <si>
    <t>Terreno Adn</t>
  </si>
  <si>
    <t>Plus Terreno</t>
  </si>
  <si>
    <t>Abono Trrn</t>
  </si>
  <si>
    <t>30 de mayo</t>
  </si>
  <si>
    <t>18 de julio</t>
  </si>
  <si>
    <t>Extra SB</t>
  </si>
  <si>
    <t>Ret. Material</t>
  </si>
  <si>
    <t>Plus</t>
  </si>
  <si>
    <t>Ret. Mat</t>
  </si>
  <si>
    <t>Café Abraham</t>
  </si>
  <si>
    <t>Pago Jon</t>
  </si>
  <si>
    <t>Pago GB Kari</t>
  </si>
  <si>
    <t>Pago Paty</t>
  </si>
  <si>
    <t>Walmart PO</t>
  </si>
  <si>
    <t>Compras</t>
  </si>
  <si>
    <t>Agnr</t>
  </si>
  <si>
    <t>Long : (</t>
  </si>
  <si>
    <t>Compra Elektra</t>
  </si>
  <si>
    <t>Retiro Plus</t>
  </si>
  <si>
    <t>Abono + Ahorro</t>
  </si>
  <si>
    <t>Ahorro + seguro</t>
  </si>
  <si>
    <t>Seguro Tiguan</t>
  </si>
  <si>
    <t>Pago Tiguan</t>
  </si>
  <si>
    <t>-*/-*/*-/</t>
  </si>
  <si>
    <t>Spotify Vic</t>
  </si>
  <si>
    <t>Retiro SM</t>
  </si>
  <si>
    <t>Terreno</t>
  </si>
  <si>
    <t>Pago TC 3000</t>
  </si>
  <si>
    <t>18 de Julio</t>
  </si>
  <si>
    <t>Leo's Account</t>
  </si>
  <si>
    <t>Over</t>
  </si>
  <si>
    <t>Coll</t>
  </si>
  <si>
    <t>Efect</t>
  </si>
  <si>
    <t>Prest. Yo</t>
  </si>
  <si>
    <t>Interes</t>
  </si>
  <si>
    <t>Efe Leo</t>
  </si>
  <si>
    <t>Pago SB</t>
  </si>
  <si>
    <t>Fin 1 -2</t>
  </si>
  <si>
    <t xml:space="preserve">Fin 1 -2 (Ban) </t>
  </si>
  <si>
    <t>P GB Jul 28</t>
  </si>
  <si>
    <t>P GB Kari</t>
  </si>
  <si>
    <t>Pago Mat.</t>
  </si>
  <si>
    <t>Pago Mat</t>
  </si>
  <si>
    <t>Impuestos</t>
  </si>
  <si>
    <t>Adn Spot + Cable</t>
  </si>
  <si>
    <t>Fin 2 - Ret</t>
  </si>
  <si>
    <t>Fin 2 - PTC</t>
  </si>
  <si>
    <t>Fin 2 Pend</t>
  </si>
  <si>
    <t>No Nomina 2</t>
  </si>
  <si>
    <t>TC P GB</t>
  </si>
  <si>
    <t>Kari GB</t>
  </si>
  <si>
    <t>Utiles</t>
  </si>
  <si>
    <t>BAZ Digital</t>
  </si>
  <si>
    <t>Extra Nom</t>
  </si>
  <si>
    <t>Imp.Extra Nom</t>
  </si>
  <si>
    <t>Baz Digital</t>
  </si>
  <si>
    <t>Pago TCSBMAt</t>
  </si>
  <si>
    <t>Pago CasFin</t>
  </si>
  <si>
    <t>Ludos</t>
  </si>
  <si>
    <t>Pago LEO Fic</t>
  </si>
  <si>
    <t>Iva Coms</t>
  </si>
  <si>
    <t>Wal. Utiles</t>
  </si>
  <si>
    <t>Wal. Desayuno</t>
  </si>
  <si>
    <t>Bestbuy</t>
  </si>
  <si>
    <t>Office Depot</t>
  </si>
  <si>
    <t>Tinta HP Linio</t>
  </si>
  <si>
    <t>Finde 1 1</t>
  </si>
  <si>
    <t>Finde 1 2</t>
  </si>
  <si>
    <t>SB TC</t>
  </si>
  <si>
    <t>Finde 1 Pend</t>
  </si>
  <si>
    <t>P. Int</t>
  </si>
  <si>
    <t>Finde 1 3</t>
  </si>
  <si>
    <t>Ret 900</t>
  </si>
  <si>
    <t>Finde 2 gas</t>
  </si>
  <si>
    <t>Pago SB utiles</t>
  </si>
  <si>
    <t>Mochila</t>
  </si>
  <si>
    <t>Dany Comida</t>
  </si>
  <si>
    <t>Digital Utiles</t>
  </si>
  <si>
    <t>Fin 1 x</t>
  </si>
  <si>
    <t>Fin 1 pend</t>
  </si>
  <si>
    <t>Pend Gastos (desarm-tela)</t>
  </si>
  <si>
    <t>Imp</t>
  </si>
  <si>
    <t>plus</t>
  </si>
  <si>
    <t xml:space="preserve">P. GB </t>
  </si>
  <si>
    <t>P TC</t>
  </si>
  <si>
    <t>P. GB me</t>
  </si>
  <si>
    <t>Domi P. Cred</t>
  </si>
  <si>
    <t>Af tmp</t>
  </si>
  <si>
    <t>Fin 1 + 2</t>
  </si>
  <si>
    <t>Pago 403.11</t>
  </si>
  <si>
    <t>Anualidad</t>
  </si>
  <si>
    <t>Interes IVA Inc</t>
  </si>
  <si>
    <t>Int. No base IVA</t>
  </si>
  <si>
    <t>Ahorro Imp</t>
  </si>
  <si>
    <t>P. GB Mike</t>
  </si>
  <si>
    <t>Pago inb</t>
  </si>
  <si>
    <t>Pago ban</t>
  </si>
  <si>
    <t>Ahorro + Tiguan</t>
  </si>
  <si>
    <t>+600</t>
  </si>
  <si>
    <t>Fin des</t>
  </si>
  <si>
    <t>Retiro 500 fin 1 2000 casa y eextra</t>
  </si>
  <si>
    <t>Aprox</t>
  </si>
  <si>
    <t>P. Credito</t>
  </si>
  <si>
    <t>Ahorro SB</t>
  </si>
  <si>
    <t>Ahorro Reg</t>
  </si>
  <si>
    <t>Leo Over</t>
  </si>
  <si>
    <t>Bici Dant</t>
  </si>
  <si>
    <t>Adn Lente Nikon</t>
  </si>
  <si>
    <t>MSI 1 BD</t>
  </si>
  <si>
    <t>P. Gearbest</t>
  </si>
  <si>
    <t>&lt;-- MSI Leo</t>
  </si>
  <si>
    <t>Pago Linio</t>
  </si>
  <si>
    <t>&lt;--MSI DB</t>
  </si>
  <si>
    <t>Ahorro BAZ</t>
  </si>
  <si>
    <t>Exce. Imp</t>
  </si>
  <si>
    <t>Pago Cred</t>
  </si>
  <si>
    <t>Imp.</t>
  </si>
  <si>
    <t>P. Pilar</t>
  </si>
  <si>
    <t>Bitso</t>
  </si>
  <si>
    <t>-to</t>
  </si>
  <si>
    <t>1000+400 Ppilar</t>
  </si>
  <si>
    <t>BA</t>
  </si>
  <si>
    <t>ADN</t>
  </si>
  <si>
    <t>TV.</t>
  </si>
  <si>
    <t>P Gas</t>
  </si>
  <si>
    <t>MSI Sears</t>
  </si>
  <si>
    <t>Pago Q</t>
  </si>
  <si>
    <t>Finde3</t>
  </si>
  <si>
    <t>Sam GB</t>
  </si>
  <si>
    <t>P. GB. Sam</t>
  </si>
  <si>
    <t>P. GB. Jon</t>
  </si>
  <si>
    <t>?</t>
  </si>
  <si>
    <t>Pagos Leo</t>
  </si>
  <si>
    <t>Sep01</t>
  </si>
  <si>
    <t>Sep02</t>
  </si>
  <si>
    <t>Imp. 2017</t>
  </si>
  <si>
    <t>Imp. 2018</t>
  </si>
  <si>
    <t>Enero</t>
  </si>
  <si>
    <t>Febrero</t>
  </si>
  <si>
    <t>Marzo</t>
  </si>
  <si>
    <t>Abril</t>
  </si>
  <si>
    <t>Mayo</t>
  </si>
  <si>
    <t>Pago Leo</t>
  </si>
  <si>
    <t>Tarjetas</t>
  </si>
  <si>
    <t>Rend Q</t>
  </si>
  <si>
    <t>Pago Pr. Personal</t>
  </si>
  <si>
    <t>Airbnb R1</t>
  </si>
  <si>
    <t>Airbnb R2</t>
  </si>
  <si>
    <t>P Pilar 1</t>
  </si>
  <si>
    <t>P pilar 2 (gas)</t>
  </si>
  <si>
    <t>Pago Adn Lente</t>
  </si>
  <si>
    <t>Pago Liverpool</t>
  </si>
  <si>
    <t>Airbnb</t>
  </si>
  <si>
    <t>R1 Maribel</t>
  </si>
  <si>
    <t>R2 Maribel</t>
  </si>
  <si>
    <t>Gas y sum</t>
  </si>
  <si>
    <t>Aspiradora</t>
  </si>
  <si>
    <t>Seg Liverpool</t>
  </si>
  <si>
    <t>Pago Jon GB</t>
  </si>
  <si>
    <t>Sr Pago</t>
  </si>
  <si>
    <t>Pago Adn</t>
  </si>
  <si>
    <t>Fin mes</t>
  </si>
  <si>
    <t>Jon</t>
  </si>
  <si>
    <t>Pago GB Jon</t>
  </si>
  <si>
    <t>MSI TV</t>
  </si>
  <si>
    <t>MSI Colchon</t>
  </si>
  <si>
    <t>MSI Edredones</t>
  </si>
  <si>
    <t>MSI DVR</t>
  </si>
  <si>
    <t>Cerrojo Elect</t>
  </si>
  <si>
    <t>R3 Abraham</t>
  </si>
  <si>
    <t>R5 Ai</t>
  </si>
  <si>
    <t>R4 Anais (Pend)</t>
  </si>
  <si>
    <t>Provisiones</t>
  </si>
  <si>
    <t>Gas Fin1</t>
  </si>
  <si>
    <t>Renta Com Quinc</t>
  </si>
  <si>
    <t>Pilar P (Quinc)</t>
  </si>
  <si>
    <t>Cine Lunes</t>
  </si>
  <si>
    <t>Gas Fin 2</t>
  </si>
  <si>
    <t>Ret Fin 2</t>
  </si>
  <si>
    <t>SB rep</t>
  </si>
  <si>
    <t>Fin 2 Rest</t>
  </si>
  <si>
    <t>Internet</t>
  </si>
  <si>
    <t>R6 Maribel</t>
  </si>
  <si>
    <t>R7 Maribel</t>
  </si>
  <si>
    <t>Inst. cerrojo</t>
  </si>
  <si>
    <t>Limpieza</t>
  </si>
  <si>
    <t>Sixflags boletos</t>
  </si>
  <si>
    <t>Finde1P</t>
  </si>
  <si>
    <t>An P. Mensual</t>
  </si>
  <si>
    <t>IVA</t>
  </si>
  <si>
    <t>Comida Sixflags</t>
  </si>
  <si>
    <t>Pago Fin 1 s</t>
  </si>
  <si>
    <t>ITC Inb</t>
  </si>
  <si>
    <t>Finde1 Ret</t>
  </si>
  <si>
    <t>Pago TCs</t>
  </si>
  <si>
    <t>Dany Comedor</t>
  </si>
  <si>
    <t>Vicks Limpieza</t>
  </si>
  <si>
    <t>Rec. Limpieza</t>
  </si>
  <si>
    <t>Adn C + S 2p</t>
  </si>
  <si>
    <t>R8 Maribel</t>
  </si>
  <si>
    <t>R9 Maribel</t>
  </si>
  <si>
    <t>P Liverpool</t>
  </si>
  <si>
    <t>Botiquin</t>
  </si>
  <si>
    <t>Srten</t>
  </si>
  <si>
    <t>P. Adn</t>
  </si>
  <si>
    <t>R10 Michelle</t>
  </si>
  <si>
    <t>P. Parcial cable</t>
  </si>
  <si>
    <t>Salon Corona</t>
  </si>
  <si>
    <t>Mini so</t>
  </si>
  <si>
    <t>Pr Pilar</t>
  </si>
  <si>
    <t>CP Fin 1</t>
  </si>
  <si>
    <t xml:space="preserve">Ahorro </t>
  </si>
  <si>
    <t>saldo</t>
  </si>
  <si>
    <t>Pago Camara</t>
  </si>
  <si>
    <t>Pago Sam GB</t>
  </si>
  <si>
    <t>Pago Cred Personal</t>
  </si>
  <si>
    <t>Pago TC Pr p</t>
  </si>
  <si>
    <t>Sabanas</t>
  </si>
  <si>
    <t>Toallas</t>
  </si>
  <si>
    <t>R Jorge Ab26</t>
  </si>
  <si>
    <t>R Maribel My2</t>
  </si>
  <si>
    <t>R Michelle My26</t>
  </si>
  <si>
    <t>Casa P (SB)</t>
  </si>
  <si>
    <t>Fin Wmart</t>
  </si>
  <si>
    <t>Fin Pizza</t>
  </si>
  <si>
    <t>TC rrrr VW</t>
  </si>
  <si>
    <t>Ahorro Jun15</t>
  </si>
  <si>
    <t>Ahorro Jun30</t>
  </si>
  <si>
    <t>Cob. Jun 03</t>
  </si>
  <si>
    <t>Saldo Prom</t>
  </si>
  <si>
    <t>Cob. Jul 03</t>
  </si>
  <si>
    <t>imp</t>
  </si>
  <si>
    <t>Fin1</t>
  </si>
  <si>
    <t>Fin2</t>
  </si>
  <si>
    <t>Junio</t>
  </si>
  <si>
    <t>Cel</t>
  </si>
  <si>
    <t>Herr. Carp..</t>
  </si>
  <si>
    <t>18/17/2018</t>
  </si>
  <si>
    <t>Moy lap</t>
  </si>
  <si>
    <t>P. Extra</t>
  </si>
  <si>
    <t>P Extra TC</t>
  </si>
  <si>
    <t>Mat Plant</t>
  </si>
  <si>
    <t>Ex Fin 1</t>
  </si>
  <si>
    <t>Fin1 -&gt; TC Ban</t>
  </si>
  <si>
    <t>Papás - TR Vic</t>
  </si>
  <si>
    <t xml:space="preserve">&lt;-- MSI </t>
  </si>
  <si>
    <t>Tacos</t>
  </si>
  <si>
    <t>Att SIM</t>
  </si>
  <si>
    <t>KFC</t>
  </si>
  <si>
    <t>Cinemex</t>
  </si>
  <si>
    <t>P Hut</t>
  </si>
  <si>
    <t>P Tiguan TC</t>
  </si>
  <si>
    <t>Desc Jul 15</t>
  </si>
  <si>
    <t>caseta</t>
  </si>
  <si>
    <t>gas</t>
  </si>
  <si>
    <t xml:space="preserve">Fin1 </t>
  </si>
  <si>
    <t>Cob. Ago 03</t>
  </si>
  <si>
    <t>TC Extra Tiguan</t>
  </si>
  <si>
    <t>Cob. Ago 04</t>
  </si>
  <si>
    <t>Renta 1/2</t>
  </si>
  <si>
    <t>TC Extra Tg</t>
  </si>
  <si>
    <t>Pago Extra Tg</t>
  </si>
  <si>
    <t>TCs BAN</t>
  </si>
  <si>
    <t>Julio</t>
  </si>
  <si>
    <t>linio</t>
  </si>
  <si>
    <t>zapatos</t>
  </si>
  <si>
    <t>Pago ex tg</t>
  </si>
  <si>
    <t>Airbnb CNCL</t>
  </si>
  <si>
    <t>Moy Linio</t>
  </si>
  <si>
    <t>Imp + ahorro</t>
  </si>
  <si>
    <t>Retiro Apartado terrazas del lago</t>
  </si>
  <si>
    <t>Pastel Mau</t>
  </si>
  <si>
    <t>Comida Kari</t>
  </si>
  <si>
    <t>Retiro Socio Plus</t>
  </si>
  <si>
    <t>Apartado depa</t>
  </si>
  <si>
    <t>Sim ATT</t>
  </si>
  <si>
    <t>Retiro me</t>
  </si>
  <si>
    <t>Spei Port.</t>
  </si>
  <si>
    <t>Ret. GB</t>
  </si>
  <si>
    <t>Renta pago</t>
  </si>
  <si>
    <t>Port. Nomina</t>
  </si>
  <si>
    <t>Imp. 2018 - Cta. Inv. Azteca</t>
  </si>
  <si>
    <t>Tg 1/2</t>
  </si>
  <si>
    <t>Sr. Pago</t>
  </si>
  <si>
    <t>Agosto</t>
  </si>
  <si>
    <t>Renta 1/2 SB</t>
  </si>
  <si>
    <t>Lulo</t>
  </si>
  <si>
    <t>Kentucky</t>
  </si>
  <si>
    <t>Incripción Mateo</t>
  </si>
  <si>
    <t>Mensualidad 1</t>
  </si>
  <si>
    <t>TC,s</t>
  </si>
  <si>
    <t>Retiro Pr Adán</t>
  </si>
  <si>
    <t>Casa 1</t>
  </si>
  <si>
    <t>Casa 2</t>
  </si>
  <si>
    <t>Tenis Dany</t>
  </si>
  <si>
    <t>Live</t>
  </si>
  <si>
    <t>tr Nomina</t>
  </si>
  <si>
    <t>Rendimiento Ag</t>
  </si>
  <si>
    <t>CFE</t>
  </si>
  <si>
    <t>Andrea</t>
  </si>
  <si>
    <t>Price Shoes</t>
  </si>
  <si>
    <t>Pago N int</t>
  </si>
  <si>
    <t>Col Matt</t>
  </si>
  <si>
    <t>G fin 1</t>
  </si>
  <si>
    <t>Fin 1 Dig</t>
  </si>
  <si>
    <t>Nomina SB</t>
  </si>
  <si>
    <t>Traspaso SB</t>
  </si>
  <si>
    <t>Traspaso Nom</t>
  </si>
  <si>
    <t>Retiro (Jesus Adelanto Obra)</t>
  </si>
  <si>
    <t>Dany Tenis</t>
  </si>
  <si>
    <t>Libros Mat</t>
  </si>
  <si>
    <t>Comida Gaby</t>
  </si>
  <si>
    <t>Comida Adriana</t>
  </si>
  <si>
    <t>Material + agua depa</t>
  </si>
  <si>
    <t>Fin 1 - Pago Inb</t>
  </si>
  <si>
    <t>airbnb</t>
  </si>
  <si>
    <t>Qualitas</t>
  </si>
  <si>
    <t>Calli</t>
  </si>
  <si>
    <t>Pago P Calli</t>
  </si>
  <si>
    <t>ban</t>
  </si>
  <si>
    <t>Tarjetas Inb</t>
  </si>
  <si>
    <t>Tarjetas Ban</t>
  </si>
  <si>
    <t>lib casa imp</t>
  </si>
  <si>
    <t>Septiembre</t>
  </si>
  <si>
    <t>Retiro plus</t>
  </si>
  <si>
    <t>Dev. Depa</t>
  </si>
  <si>
    <t>Traspaso</t>
  </si>
  <si>
    <t xml:space="preserve">Adn Cable </t>
  </si>
  <si>
    <t>Totto</t>
  </si>
  <si>
    <t>Pago totto</t>
  </si>
  <si>
    <t>Pago Totto</t>
  </si>
  <si>
    <t>Liq. Interes</t>
  </si>
  <si>
    <t>SB Zapatos Mat</t>
  </si>
  <si>
    <t>Pagos Obra</t>
  </si>
  <si>
    <t>Mano de obra</t>
  </si>
  <si>
    <t>Jesus Sanchez</t>
  </si>
  <si>
    <t>Estimado por pagar</t>
  </si>
  <si>
    <t>Prestamo</t>
  </si>
  <si>
    <t>Recursos</t>
  </si>
  <si>
    <t>Adn Pago</t>
  </si>
  <si>
    <t>Dev. Dep</t>
  </si>
  <si>
    <t>Cta. Plus</t>
  </si>
  <si>
    <t>Retiro Material</t>
  </si>
  <si>
    <t>Material 22s</t>
  </si>
  <si>
    <t>Jesus 16s/22s</t>
  </si>
  <si>
    <t>Ahora tengo s25</t>
  </si>
  <si>
    <t>BAZ</t>
  </si>
  <si>
    <t>BAZ plus</t>
  </si>
  <si>
    <t>Suegro</t>
  </si>
  <si>
    <t>Dep. Prestamo</t>
  </si>
  <si>
    <t>Ret. Suegro</t>
  </si>
  <si>
    <t>Trp. Zapatos matt</t>
  </si>
  <si>
    <t>To Material</t>
  </si>
  <si>
    <t>Pago TC. Pilar PS</t>
  </si>
  <si>
    <t>Pago Gas.</t>
  </si>
  <si>
    <t>Pilar PS</t>
  </si>
  <si>
    <t>Curso</t>
  </si>
  <si>
    <t>Sr pago</t>
  </si>
  <si>
    <t>Celulares</t>
  </si>
  <si>
    <t>Transf. F SB</t>
  </si>
  <si>
    <t>Moy Spot</t>
  </si>
  <si>
    <t>Prestamo ScotiaBank</t>
  </si>
  <si>
    <t>Saldo(Suegro)</t>
  </si>
  <si>
    <t>Mats.</t>
  </si>
  <si>
    <t>Jesus 29s</t>
  </si>
  <si>
    <t>(TC Banorte) 29/09/2018</t>
  </si>
  <si>
    <t>Ahora tengo oc02</t>
  </si>
  <si>
    <t>Matt + Casa</t>
  </si>
  <si>
    <t>Adn o25</t>
  </si>
  <si>
    <t>Adn n25</t>
  </si>
  <si>
    <t>Pago s30</t>
  </si>
  <si>
    <t>Pago o15</t>
  </si>
  <si>
    <t>Pago o30</t>
  </si>
  <si>
    <t>Pago n15</t>
  </si>
  <si>
    <t>Pago n30</t>
  </si>
  <si>
    <t>Fines (2)</t>
  </si>
  <si>
    <t>Rendimiento.</t>
  </si>
  <si>
    <t>P. Arand</t>
  </si>
  <si>
    <t>Pago cre</t>
  </si>
</sst>
</file>

<file path=xl/styles.xml><?xml version="1.0" encoding="utf-8"?>
<styleSheet xmlns="http://schemas.openxmlformats.org/spreadsheetml/2006/main">
  <numFmts count="2">
    <numFmt numFmtId="6" formatCode="&quot;$&quot;#,##0;[Red]\-&quot;$&quot;#,##0"/>
    <numFmt numFmtId="44" formatCode="_-&quot;$&quot;* #,##0.00_-;\-&quot;$&quot;* #,##0.00_-;_-&quot;$&quot;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66"/>
      <name val="Verdana"/>
      <family val="2"/>
    </font>
    <font>
      <b/>
      <strike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b/>
      <i/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/>
      <top/>
      <bottom style="dashDotDot">
        <color indexed="64"/>
      </bottom>
      <diagonal/>
    </border>
    <border>
      <left/>
      <right/>
      <top style="thin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dashDot">
        <color indexed="64"/>
      </right>
      <top/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6">
    <xf numFmtId="0" fontId="0" fillId="0" borderId="0" xfId="0"/>
    <xf numFmtId="44" fontId="0" fillId="0" borderId="0" xfId="1" applyFont="1"/>
    <xf numFmtId="44" fontId="0" fillId="0" borderId="0" xfId="0" applyNumberFormat="1"/>
    <xf numFmtId="44" fontId="2" fillId="0" borderId="1" xfId="1" applyFont="1" applyBorder="1"/>
    <xf numFmtId="0" fontId="0" fillId="0" borderId="2" xfId="0" applyBorder="1"/>
    <xf numFmtId="44" fontId="0" fillId="0" borderId="3" xfId="1" applyFont="1" applyBorder="1"/>
    <xf numFmtId="44" fontId="3" fillId="0" borderId="0" xfId="1" applyFont="1"/>
    <xf numFmtId="0" fontId="0" fillId="0" borderId="3" xfId="0" applyBorder="1"/>
    <xf numFmtId="14" fontId="0" fillId="0" borderId="0" xfId="0" applyNumberFormat="1"/>
    <xf numFmtId="44" fontId="0" fillId="3" borderId="3" xfId="1" applyFont="1" applyFill="1" applyBorder="1"/>
    <xf numFmtId="44" fontId="0" fillId="3" borderId="0" xfId="1" applyFont="1" applyFill="1"/>
    <xf numFmtId="44" fontId="0" fillId="0" borderId="3" xfId="1" applyFont="1" applyFill="1" applyBorder="1"/>
    <xf numFmtId="0" fontId="4" fillId="0" borderId="0" xfId="0" applyFont="1"/>
    <xf numFmtId="44" fontId="4" fillId="0" borderId="0" xfId="1" applyFont="1"/>
    <xf numFmtId="44" fontId="4" fillId="0" borderId="3" xfId="1" applyFont="1" applyFill="1" applyBorder="1"/>
    <xf numFmtId="16" fontId="0" fillId="0" borderId="0" xfId="0" applyNumberFormat="1"/>
    <xf numFmtId="14" fontId="0" fillId="0" borderId="0" xfId="0" applyNumberFormat="1" applyFill="1"/>
    <xf numFmtId="44" fontId="0" fillId="3" borderId="0" xfId="1" applyFont="1" applyFill="1" applyBorder="1"/>
    <xf numFmtId="0" fontId="0" fillId="0" borderId="0" xfId="0" applyFill="1"/>
    <xf numFmtId="44" fontId="0" fillId="0" borderId="0" xfId="1" applyFont="1" applyFill="1" applyBorder="1"/>
    <xf numFmtId="44" fontId="0" fillId="0" borderId="0" xfId="1" applyFont="1" applyFill="1"/>
    <xf numFmtId="44" fontId="4" fillId="0" borderId="0" xfId="1" applyFont="1" applyFill="1"/>
    <xf numFmtId="0" fontId="0" fillId="0" borderId="0" xfId="0" applyBorder="1"/>
    <xf numFmtId="44" fontId="0" fillId="4" borderId="0" xfId="1" applyFont="1" applyFill="1"/>
    <xf numFmtId="44" fontId="0" fillId="4" borderId="3" xfId="1" applyFont="1" applyFill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1" applyFont="1" applyFill="1" applyBorder="1"/>
    <xf numFmtId="44" fontId="3" fillId="0" borderId="5" xfId="1" applyFont="1" applyBorder="1"/>
    <xf numFmtId="17" fontId="0" fillId="0" borderId="0" xfId="0" applyNumberFormat="1"/>
    <xf numFmtId="0" fontId="0" fillId="5" borderId="0" xfId="0" applyFill="1"/>
    <xf numFmtId="0" fontId="4" fillId="5" borderId="0" xfId="0" applyFont="1" applyFill="1"/>
    <xf numFmtId="44" fontId="4" fillId="4" borderId="3" xfId="1" applyFont="1" applyFill="1" applyBorder="1"/>
    <xf numFmtId="0" fontId="0" fillId="0" borderId="0" xfId="0" quotePrefix="1"/>
    <xf numFmtId="0" fontId="0" fillId="0" borderId="6" xfId="0" applyBorder="1"/>
    <xf numFmtId="44" fontId="0" fillId="0" borderId="7" xfId="1" applyFont="1" applyBorder="1"/>
    <xf numFmtId="0" fontId="0" fillId="0" borderId="9" xfId="0" applyBorder="1"/>
    <xf numFmtId="0" fontId="0" fillId="0" borderId="11" xfId="0" applyBorder="1"/>
    <xf numFmtId="44" fontId="0" fillId="0" borderId="12" xfId="1" applyFont="1" applyBorder="1"/>
    <xf numFmtId="0" fontId="0" fillId="0" borderId="0" xfId="0" applyFill="1" applyBorder="1"/>
    <xf numFmtId="44" fontId="0" fillId="4" borderId="8" xfId="1" applyFont="1" applyFill="1" applyBorder="1"/>
    <xf numFmtId="0" fontId="0" fillId="0" borderId="7" xfId="0" applyBorder="1"/>
    <xf numFmtId="44" fontId="0" fillId="0" borderId="14" xfId="1" applyFont="1" applyBorder="1"/>
    <xf numFmtId="44" fontId="0" fillId="0" borderId="15" xfId="0" applyNumberFormat="1" applyBorder="1"/>
    <xf numFmtId="0" fontId="0" fillId="0" borderId="12" xfId="0" applyBorder="1"/>
    <xf numFmtId="44" fontId="0" fillId="0" borderId="16" xfId="1" applyFont="1" applyBorder="1"/>
    <xf numFmtId="0" fontId="0" fillId="0" borderId="6" xfId="0" applyFill="1" applyBorder="1"/>
    <xf numFmtId="0" fontId="0" fillId="0" borderId="9" xfId="0" applyFill="1" applyBorder="1"/>
    <xf numFmtId="44" fontId="0" fillId="4" borderId="10" xfId="1" applyFont="1" applyFill="1" applyBorder="1"/>
    <xf numFmtId="0" fontId="0" fillId="0" borderId="11" xfId="0" applyFill="1" applyBorder="1"/>
    <xf numFmtId="44" fontId="0" fillId="0" borderId="16" xfId="1" applyFont="1" applyFill="1" applyBorder="1"/>
    <xf numFmtId="44" fontId="0" fillId="4" borderId="7" xfId="1" applyFont="1" applyFill="1" applyBorder="1"/>
    <xf numFmtId="44" fontId="0" fillId="4" borderId="13" xfId="1" applyFont="1" applyFill="1" applyBorder="1"/>
    <xf numFmtId="44" fontId="0" fillId="4" borderId="14" xfId="1" applyFont="1" applyFill="1" applyBorder="1"/>
    <xf numFmtId="0" fontId="0" fillId="0" borderId="17" xfId="0" applyBorder="1"/>
    <xf numFmtId="44" fontId="0" fillId="0" borderId="18" xfId="1" applyFont="1" applyBorder="1"/>
    <xf numFmtId="0" fontId="0" fillId="0" borderId="20" xfId="0" applyBorder="1"/>
    <xf numFmtId="44" fontId="0" fillId="0" borderId="21" xfId="1" applyFont="1" applyBorder="1"/>
    <xf numFmtId="44" fontId="0" fillId="4" borderId="19" xfId="1" applyFont="1" applyFill="1" applyBorder="1"/>
    <xf numFmtId="44" fontId="0" fillId="4" borderId="12" xfId="1" applyFont="1" applyFill="1" applyBorder="1"/>
    <xf numFmtId="0" fontId="0" fillId="4" borderId="0" xfId="0" applyFill="1"/>
    <xf numFmtId="44" fontId="0" fillId="4" borderId="22" xfId="1" applyFont="1" applyFill="1" applyBorder="1"/>
    <xf numFmtId="0" fontId="5" fillId="0" borderId="0" xfId="0" applyFont="1"/>
    <xf numFmtId="44" fontId="5" fillId="0" borderId="3" xfId="1" applyFont="1" applyFill="1" applyBorder="1"/>
    <xf numFmtId="0" fontId="0" fillId="0" borderId="17" xfId="0" applyFill="1" applyBorder="1"/>
    <xf numFmtId="0" fontId="0" fillId="0" borderId="18" xfId="0" applyBorder="1"/>
    <xf numFmtId="0" fontId="0" fillId="0" borderId="23" xfId="0" applyFill="1" applyBorder="1"/>
    <xf numFmtId="0" fontId="0" fillId="0" borderId="20" xfId="0" applyFill="1" applyBorder="1"/>
    <xf numFmtId="0" fontId="0" fillId="0" borderId="21" xfId="0" applyBorder="1"/>
    <xf numFmtId="44" fontId="0" fillId="4" borderId="24" xfId="1" applyFont="1" applyFill="1" applyBorder="1"/>
    <xf numFmtId="44" fontId="4" fillId="4" borderId="0" xfId="1" applyFont="1" applyFill="1"/>
    <xf numFmtId="0" fontId="5" fillId="0" borderId="0" xfId="0" applyFont="1" applyFill="1" applyBorder="1"/>
    <xf numFmtId="44" fontId="5" fillId="0" borderId="0" xfId="1" applyFont="1"/>
    <xf numFmtId="44" fontId="2" fillId="0" borderId="1" xfId="1" applyFont="1" applyFill="1" applyBorder="1"/>
    <xf numFmtId="0" fontId="0" fillId="0" borderId="2" xfId="0" applyFill="1" applyBorder="1"/>
    <xf numFmtId="44" fontId="3" fillId="0" borderId="5" xfId="1" applyFont="1" applyFill="1" applyBorder="1"/>
    <xf numFmtId="17" fontId="0" fillId="0" borderId="0" xfId="0" applyNumberFormat="1" applyFill="1"/>
    <xf numFmtId="0" fontId="0" fillId="0" borderId="3" xfId="0" applyFill="1" applyBorder="1"/>
    <xf numFmtId="44" fontId="5" fillId="0" borderId="0" xfId="1" applyFont="1" applyFill="1"/>
    <xf numFmtId="0" fontId="0" fillId="0" borderId="18" xfId="0" applyFill="1" applyBorder="1"/>
    <xf numFmtId="44" fontId="0" fillId="0" borderId="19" xfId="1" applyFont="1" applyFill="1" applyBorder="1"/>
    <xf numFmtId="44" fontId="0" fillId="0" borderId="24" xfId="1" applyFont="1" applyFill="1" applyBorder="1"/>
    <xf numFmtId="0" fontId="0" fillId="0" borderId="21" xfId="0" applyFill="1" applyBorder="1"/>
    <xf numFmtId="44" fontId="0" fillId="0" borderId="22" xfId="1" applyFont="1" applyFill="1" applyBorder="1"/>
    <xf numFmtId="44" fontId="6" fillId="0" borderId="3" xfId="1" applyFont="1" applyFill="1" applyBorder="1"/>
    <xf numFmtId="44" fontId="0" fillId="0" borderId="25" xfId="1" applyFont="1" applyBorder="1"/>
    <xf numFmtId="44" fontId="0" fillId="0" borderId="26" xfId="1" applyFont="1" applyFill="1" applyBorder="1"/>
    <xf numFmtId="44" fontId="0" fillId="0" borderId="25" xfId="1" applyFont="1" applyFill="1" applyBorder="1"/>
    <xf numFmtId="44" fontId="0" fillId="4" borderId="26" xfId="1" applyFont="1" applyFill="1" applyBorder="1"/>
    <xf numFmtId="44" fontId="2" fillId="0" borderId="27" xfId="1" applyFont="1" applyBorder="1"/>
    <xf numFmtId="0" fontId="0" fillId="0" borderId="28" xfId="0" applyBorder="1"/>
    <xf numFmtId="44" fontId="0" fillId="0" borderId="0" xfId="0" applyNumberFormat="1" applyFill="1"/>
    <xf numFmtId="44" fontId="0" fillId="0" borderId="29" xfId="1" applyFont="1" applyFill="1" applyBorder="1"/>
    <xf numFmtId="44" fontId="7" fillId="0" borderId="0" xfId="1" applyFont="1"/>
    <xf numFmtId="44" fontId="2" fillId="4" borderId="1" xfId="1" applyFont="1" applyFill="1" applyBorder="1"/>
    <xf numFmtId="0" fontId="0" fillId="0" borderId="0" xfId="0" applyFont="1" applyFill="1" applyBorder="1"/>
    <xf numFmtId="44" fontId="8" fillId="0" borderId="0" xfId="0" applyNumberFormat="1" applyFont="1"/>
    <xf numFmtId="44" fontId="0" fillId="0" borderId="2" xfId="1" applyFont="1" applyFill="1" applyBorder="1"/>
    <xf numFmtId="44" fontId="9" fillId="0" borderId="0" xfId="1" applyFont="1"/>
    <xf numFmtId="44" fontId="9" fillId="0" borderId="3" xfId="1" applyFont="1" applyFill="1" applyBorder="1"/>
    <xf numFmtId="44" fontId="0" fillId="6" borderId="3" xfId="1" applyFont="1" applyFill="1" applyBorder="1"/>
    <xf numFmtId="44" fontId="0" fillId="6" borderId="0" xfId="1" applyFont="1" applyFill="1"/>
    <xf numFmtId="16" fontId="7" fillId="0" borderId="0" xfId="0" applyNumberFormat="1" applyFont="1"/>
    <xf numFmtId="44" fontId="0" fillId="2" borderId="3" xfId="1" applyFont="1" applyFill="1" applyBorder="1"/>
    <xf numFmtId="0" fontId="0" fillId="0" borderId="30" xfId="0" applyFill="1" applyBorder="1"/>
    <xf numFmtId="44" fontId="0" fillId="0" borderId="18" xfId="1" applyFont="1" applyFill="1" applyBorder="1"/>
    <xf numFmtId="44" fontId="0" fillId="0" borderId="21" xfId="1" applyFont="1" applyFill="1" applyBorder="1"/>
    <xf numFmtId="44" fontId="0" fillId="0" borderId="5" xfId="1" applyFont="1" applyFill="1" applyBorder="1"/>
    <xf numFmtId="44" fontId="0" fillId="0" borderId="31" xfId="1" applyFont="1" applyFill="1" applyBorder="1"/>
    <xf numFmtId="0" fontId="0" fillId="0" borderId="32" xfId="0" applyFill="1" applyBorder="1"/>
    <xf numFmtId="44" fontId="0" fillId="0" borderId="33" xfId="1" applyFont="1" applyFill="1" applyBorder="1"/>
    <xf numFmtId="0" fontId="0" fillId="0" borderId="5" xfId="0" applyBorder="1"/>
    <xf numFmtId="0" fontId="0" fillId="0" borderId="33" xfId="0" applyBorder="1"/>
    <xf numFmtId="44" fontId="1" fillId="4" borderId="3" xfId="1" applyFont="1" applyFill="1" applyBorder="1"/>
    <xf numFmtId="0" fontId="0" fillId="0" borderId="32" xfId="0" applyBorder="1"/>
    <xf numFmtId="44" fontId="0" fillId="4" borderId="31" xfId="1" applyFont="1" applyFill="1" applyBorder="1"/>
    <xf numFmtId="0" fontId="12" fillId="0" borderId="0" xfId="0" applyFont="1"/>
    <xf numFmtId="0" fontId="0" fillId="0" borderId="0" xfId="0" quotePrefix="1" applyFill="1" applyBorder="1"/>
    <xf numFmtId="0" fontId="0" fillId="6" borderId="0" xfId="0" applyFill="1"/>
    <xf numFmtId="44" fontId="0" fillId="6" borderId="0" xfId="0" applyNumberFormat="1" applyFill="1"/>
    <xf numFmtId="44" fontId="0" fillId="6" borderId="22" xfId="1" applyFont="1" applyFill="1" applyBorder="1"/>
    <xf numFmtId="44" fontId="0" fillId="6" borderId="19" xfId="1" applyFont="1" applyFill="1" applyBorder="1"/>
    <xf numFmtId="44" fontId="13" fillId="0" borderId="3" xfId="1" applyFont="1" applyFill="1" applyBorder="1"/>
    <xf numFmtId="44" fontId="0" fillId="0" borderId="34" xfId="1" applyFont="1" applyFill="1" applyBorder="1"/>
    <xf numFmtId="44" fontId="0" fillId="0" borderId="35" xfId="1" applyFont="1" applyFill="1" applyBorder="1"/>
    <xf numFmtId="44" fontId="0" fillId="0" borderId="36" xfId="1" applyFont="1" applyFill="1" applyBorder="1"/>
    <xf numFmtId="44" fontId="0" fillId="2" borderId="0" xfId="1" applyFont="1" applyFill="1"/>
    <xf numFmtId="44" fontId="0" fillId="7" borderId="0" xfId="1" applyFont="1" applyFill="1" applyBorder="1"/>
    <xf numFmtId="44" fontId="14" fillId="4" borderId="3" xfId="1" applyFont="1" applyFill="1" applyBorder="1"/>
    <xf numFmtId="0" fontId="0" fillId="0" borderId="1" xfId="0" applyFill="1" applyBorder="1"/>
    <xf numFmtId="44" fontId="4" fillId="4" borderId="1" xfId="1" applyFont="1" applyFill="1" applyBorder="1"/>
    <xf numFmtId="0" fontId="0" fillId="2" borderId="0" xfId="0" applyFill="1"/>
    <xf numFmtId="44" fontId="0" fillId="0" borderId="1" xfId="1" applyFont="1" applyFill="1" applyBorder="1"/>
    <xf numFmtId="44" fontId="0" fillId="4" borderId="34" xfId="1" applyFont="1" applyFill="1" applyBorder="1"/>
    <xf numFmtId="44" fontId="0" fillId="4" borderId="35" xfId="1" applyFont="1" applyFill="1" applyBorder="1"/>
    <xf numFmtId="44" fontId="0" fillId="0" borderId="4" xfId="1" applyFont="1" applyFill="1" applyBorder="1"/>
    <xf numFmtId="44" fontId="0" fillId="4" borderId="36" xfId="1" applyFont="1" applyFill="1" applyBorder="1"/>
    <xf numFmtId="0" fontId="0" fillId="0" borderId="0" xfId="0" quotePrefix="1" applyFill="1"/>
    <xf numFmtId="17" fontId="0" fillId="0" borderId="0" xfId="0" quotePrefix="1" applyNumberFormat="1" applyFill="1"/>
    <xf numFmtId="44" fontId="15" fillId="0" borderId="0" xfId="1" applyFont="1" applyFill="1"/>
    <xf numFmtId="0" fontId="0" fillId="8" borderId="0" xfId="0" applyFill="1" applyBorder="1"/>
    <xf numFmtId="44" fontId="0" fillId="4" borderId="32" xfId="1" applyFont="1" applyFill="1" applyBorder="1"/>
    <xf numFmtId="44" fontId="14" fillId="6" borderId="3" xfId="1" applyFont="1" applyFill="1" applyBorder="1"/>
    <xf numFmtId="44" fontId="7" fillId="0" borderId="0" xfId="0" applyNumberFormat="1" applyFont="1"/>
    <xf numFmtId="0" fontId="0" fillId="0" borderId="37" xfId="0" applyFill="1" applyBorder="1"/>
    <xf numFmtId="44" fontId="15" fillId="0" borderId="38" xfId="1" applyFont="1" applyFill="1" applyBorder="1"/>
    <xf numFmtId="0" fontId="0" fillId="0" borderId="40" xfId="0" applyFill="1" applyBorder="1"/>
    <xf numFmtId="44" fontId="15" fillId="0" borderId="41" xfId="1" applyFont="1" applyFill="1" applyBorder="1"/>
    <xf numFmtId="44" fontId="0" fillId="4" borderId="42" xfId="1" applyFont="1" applyFill="1" applyBorder="1"/>
    <xf numFmtId="44" fontId="0" fillId="4" borderId="39" xfId="1" applyFont="1" applyFill="1" applyBorder="1"/>
    <xf numFmtId="44" fontId="0" fillId="0" borderId="37" xfId="1" applyFont="1" applyBorder="1"/>
    <xf numFmtId="44" fontId="0" fillId="0" borderId="43" xfId="1" applyFont="1" applyFill="1" applyBorder="1"/>
    <xf numFmtId="44" fontId="0" fillId="0" borderId="44" xfId="1" applyFont="1" applyFill="1" applyBorder="1"/>
    <xf numFmtId="44" fontId="0" fillId="0" borderId="40" xfId="1" applyFont="1" applyBorder="1"/>
    <xf numFmtId="44" fontId="0" fillId="0" borderId="42" xfId="1" applyFont="1" applyFill="1" applyBorder="1"/>
    <xf numFmtId="44" fontId="0" fillId="9" borderId="44" xfId="1" applyFont="1" applyFill="1" applyBorder="1"/>
    <xf numFmtId="44" fontId="8" fillId="4" borderId="0" xfId="1" applyFont="1" applyFill="1"/>
    <xf numFmtId="0" fontId="8" fillId="4" borderId="3" xfId="0" applyFont="1" applyFill="1" applyBorder="1"/>
    <xf numFmtId="44" fontId="8" fillId="4" borderId="3" xfId="1" applyFont="1" applyFill="1" applyBorder="1"/>
    <xf numFmtId="44" fontId="8" fillId="4" borderId="43" xfId="1" applyFont="1" applyFill="1" applyBorder="1"/>
    <xf numFmtId="44" fontId="0" fillId="4" borderId="44" xfId="1" applyFont="1" applyFill="1" applyBorder="1"/>
    <xf numFmtId="44" fontId="7" fillId="4" borderId="42" xfId="1" applyFont="1" applyFill="1" applyBorder="1"/>
    <xf numFmtId="44" fontId="7" fillId="4" borderId="3" xfId="1" applyFont="1" applyFill="1" applyBorder="1"/>
    <xf numFmtId="0" fontId="16" fillId="0" borderId="0" xfId="0" quotePrefix="1" applyFont="1" applyFill="1"/>
    <xf numFmtId="0" fontId="0" fillId="4" borderId="3" xfId="0" applyFill="1" applyBorder="1"/>
    <xf numFmtId="44" fontId="7" fillId="4" borderId="0" xfId="0" applyNumberFormat="1" applyFont="1" applyFill="1"/>
    <xf numFmtId="44" fontId="8" fillId="0" borderId="0" xfId="1" applyFont="1" applyFill="1"/>
    <xf numFmtId="0" fontId="0" fillId="0" borderId="0" xfId="1" applyNumberFormat="1" applyFont="1" applyAlignment="1">
      <alignment horizontal="left" vertical="center"/>
    </xf>
    <xf numFmtId="44" fontId="0" fillId="0" borderId="2" xfId="1" applyFont="1" applyBorder="1"/>
    <xf numFmtId="44" fontId="8" fillId="6" borderId="0" xfId="1" applyFont="1" applyFill="1"/>
    <xf numFmtId="44" fontId="14" fillId="4" borderId="0" xfId="1" applyFont="1" applyFill="1"/>
    <xf numFmtId="44" fontId="0" fillId="6" borderId="0" xfId="1" applyFont="1" applyFill="1" applyBorder="1"/>
    <xf numFmtId="44" fontId="0" fillId="6" borderId="34" xfId="1" applyFont="1" applyFill="1" applyBorder="1"/>
    <xf numFmtId="44" fontId="0" fillId="6" borderId="36" xfId="1" applyFont="1" applyFill="1" applyBorder="1"/>
    <xf numFmtId="0" fontId="16" fillId="0" borderId="0" xfId="0" applyFont="1" applyFill="1"/>
    <xf numFmtId="44" fontId="0" fillId="10" borderId="3" xfId="1" applyFont="1" applyFill="1" applyBorder="1"/>
    <xf numFmtId="0" fontId="0" fillId="0" borderId="4" xfId="0" applyBorder="1"/>
    <xf numFmtId="0" fontId="0" fillId="0" borderId="46" xfId="0" applyBorder="1"/>
    <xf numFmtId="0" fontId="0" fillId="0" borderId="47" xfId="0" applyBorder="1"/>
    <xf numFmtId="0" fontId="0" fillId="4" borderId="45" xfId="0" applyFill="1" applyBorder="1"/>
    <xf numFmtId="44" fontId="8" fillId="0" borderId="18" xfId="1" applyFont="1" applyFill="1" applyBorder="1"/>
    <xf numFmtId="44" fontId="8" fillId="0" borderId="0" xfId="1" applyFont="1" applyFill="1" applyBorder="1"/>
    <xf numFmtId="44" fontId="8" fillId="0" borderId="21" xfId="1" applyFont="1" applyFill="1" applyBorder="1"/>
    <xf numFmtId="44" fontId="0" fillId="4" borderId="2" xfId="1" applyFont="1" applyFill="1" applyBorder="1"/>
    <xf numFmtId="6" fontId="0" fillId="0" borderId="0" xfId="0" applyNumberFormat="1"/>
    <xf numFmtId="0" fontId="5" fillId="0" borderId="0" xfId="0" applyFont="1" applyFill="1"/>
    <xf numFmtId="44" fontId="0" fillId="0" borderId="0" xfId="0" applyNumberFormat="1" applyFill="1" applyBorder="1"/>
    <xf numFmtId="0" fontId="16" fillId="0" borderId="0" xfId="0" applyFont="1"/>
    <xf numFmtId="0" fontId="0" fillId="0" borderId="48" xfId="0" applyBorder="1"/>
    <xf numFmtId="0" fontId="0" fillId="0" borderId="23" xfId="0" applyBorder="1"/>
    <xf numFmtId="0" fontId="16" fillId="0" borderId="0" xfId="0" applyFont="1" applyBorder="1"/>
    <xf numFmtId="0" fontId="0" fillId="0" borderId="49" xfId="0" applyBorder="1"/>
    <xf numFmtId="0" fontId="0" fillId="0" borderId="50" xfId="0" applyFill="1" applyBorder="1"/>
    <xf numFmtId="44" fontId="8" fillId="0" borderId="51" xfId="1" applyFont="1" applyFill="1" applyBorder="1"/>
    <xf numFmtId="0" fontId="0" fillId="0" borderId="53" xfId="0" applyFill="1" applyBorder="1"/>
    <xf numFmtId="0" fontId="0" fillId="0" borderId="55" xfId="0" applyFill="1" applyBorder="1"/>
    <xf numFmtId="44" fontId="8" fillId="0" borderId="56" xfId="1" applyFont="1" applyFill="1" applyBorder="1"/>
    <xf numFmtId="44" fontId="8" fillId="0" borderId="31" xfId="1" applyFont="1" applyFill="1" applyBorder="1"/>
    <xf numFmtId="6" fontId="0" fillId="0" borderId="0" xfId="0" applyNumberFormat="1" applyBorder="1"/>
    <xf numFmtId="44" fontId="8" fillId="0" borderId="58" xfId="1" applyFont="1" applyFill="1" applyBorder="1"/>
    <xf numFmtId="44" fontId="17" fillId="0" borderId="0" xfId="1" applyFont="1" applyFill="1"/>
    <xf numFmtId="44" fontId="0" fillId="3" borderId="52" xfId="1" applyFont="1" applyFill="1" applyBorder="1"/>
    <xf numFmtId="44" fontId="0" fillId="3" borderId="54" xfId="1" applyFont="1" applyFill="1" applyBorder="1"/>
    <xf numFmtId="44" fontId="0" fillId="3" borderId="57" xfId="1" applyFont="1" applyFill="1" applyBorder="1"/>
    <xf numFmtId="44" fontId="0" fillId="0" borderId="0" xfId="1" quotePrefix="1" applyFont="1" applyFill="1"/>
    <xf numFmtId="44" fontId="8" fillId="0" borderId="1" xfId="1" applyFont="1" applyFill="1" applyBorder="1"/>
    <xf numFmtId="44" fontId="8" fillId="0" borderId="4" xfId="1" applyFont="1" applyFill="1" applyBorder="1"/>
    <xf numFmtId="44" fontId="0" fillId="6" borderId="35" xfId="1" applyFont="1" applyFill="1" applyBorder="1"/>
    <xf numFmtId="44" fontId="0" fillId="11" borderId="0" xfId="1" applyFont="1" applyFill="1"/>
    <xf numFmtId="44" fontId="0" fillId="11" borderId="3" xfId="1" applyFont="1" applyFill="1" applyBorder="1"/>
    <xf numFmtId="44" fontId="8" fillId="11" borderId="0" xfId="1" applyFont="1" applyFill="1"/>
    <xf numFmtId="0" fontId="0" fillId="11" borderId="3" xfId="0" applyFill="1" applyBorder="1"/>
    <xf numFmtId="44" fontId="0" fillId="11" borderId="18" xfId="1" applyFont="1" applyFill="1" applyBorder="1"/>
    <xf numFmtId="44" fontId="1" fillId="0" borderId="0" xfId="1" applyFont="1" applyBorder="1"/>
    <xf numFmtId="44" fontId="6" fillId="4" borderId="3" xfId="1" applyFont="1" applyFill="1" applyBorder="1"/>
    <xf numFmtId="44" fontId="7" fillId="4" borderId="0" xfId="1" applyFont="1" applyFill="1" applyBorder="1"/>
    <xf numFmtId="44" fontId="0" fillId="0" borderId="4" xfId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17" fontId="0" fillId="0" borderId="0" xfId="0" applyNumberFormat="1" applyFill="1" applyAlignment="1">
      <alignment horizontal="center" vertical="center"/>
    </xf>
    <xf numFmtId="17" fontId="0" fillId="0" borderId="0" xfId="0" quotePrefix="1" applyNumberForma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154"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Light16"/>
  <colors>
    <mruColors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1:N34"/>
  <sheetViews>
    <sheetView workbookViewId="0">
      <selection activeCell="H6" sqref="H6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1.5703125" bestFit="1" customWidth="1"/>
  </cols>
  <sheetData>
    <row r="1" spans="2:12">
      <c r="C1" s="217" t="s">
        <v>6</v>
      </c>
      <c r="D1" s="217"/>
      <c r="G1" s="217" t="s">
        <v>7</v>
      </c>
      <c r="H1" s="217"/>
      <c r="K1" s="218" t="s">
        <v>3</v>
      </c>
      <c r="L1" s="218"/>
    </row>
    <row r="2" spans="2:12">
      <c r="B2" t="s">
        <v>0</v>
      </c>
      <c r="C2" s="3">
        <v>16577.96</v>
      </c>
      <c r="D2" s="4"/>
      <c r="F2" t="s">
        <v>0</v>
      </c>
      <c r="G2" s="6">
        <v>9538.94</v>
      </c>
      <c r="H2" s="4"/>
      <c r="J2" t="s">
        <v>0</v>
      </c>
      <c r="K2" s="1">
        <v>73134.05</v>
      </c>
      <c r="L2" s="4"/>
    </row>
    <row r="3" spans="2:12">
      <c r="B3" t="s">
        <v>1</v>
      </c>
      <c r="C3" s="1"/>
      <c r="D3" s="9">
        <v>6322.11</v>
      </c>
      <c r="F3" t="s">
        <v>3</v>
      </c>
      <c r="G3" s="10">
        <v>4000</v>
      </c>
      <c r="H3" s="5"/>
      <c r="J3" t="s">
        <v>8</v>
      </c>
      <c r="K3" s="10">
        <v>5000</v>
      </c>
      <c r="L3" s="7"/>
    </row>
    <row r="4" spans="2:12">
      <c r="B4" t="s">
        <v>4</v>
      </c>
      <c r="C4" s="1"/>
      <c r="D4" s="9">
        <v>1500</v>
      </c>
      <c r="F4" t="s">
        <v>8</v>
      </c>
      <c r="G4" s="1"/>
      <c r="H4" s="10">
        <v>5000</v>
      </c>
      <c r="J4" t="s">
        <v>37</v>
      </c>
      <c r="K4" s="1">
        <v>183.51</v>
      </c>
      <c r="L4" s="7"/>
    </row>
    <row r="5" spans="2:12">
      <c r="B5" t="s">
        <v>3</v>
      </c>
      <c r="C5" s="1"/>
      <c r="D5" s="9">
        <v>4000</v>
      </c>
      <c r="F5" t="s">
        <v>1</v>
      </c>
      <c r="G5" s="10">
        <v>6322.11</v>
      </c>
      <c r="H5" s="5"/>
      <c r="K5" s="1"/>
      <c r="L5" s="7"/>
    </row>
    <row r="6" spans="2:12">
      <c r="B6" t="s">
        <v>5</v>
      </c>
      <c r="C6" s="1"/>
      <c r="D6" s="9">
        <v>400</v>
      </c>
      <c r="F6" t="s">
        <v>9</v>
      </c>
      <c r="G6" s="1"/>
      <c r="H6" s="10">
        <v>6361.05</v>
      </c>
      <c r="K6" s="1"/>
      <c r="L6" s="7"/>
    </row>
    <row r="7" spans="2:12">
      <c r="B7" t="s">
        <v>17</v>
      </c>
      <c r="C7" s="1"/>
      <c r="D7" s="9">
        <v>3433.27</v>
      </c>
      <c r="F7" t="s">
        <v>34</v>
      </c>
      <c r="G7" s="1"/>
      <c r="H7" s="5">
        <v>450.01</v>
      </c>
      <c r="K7" s="1"/>
      <c r="L7" s="7"/>
    </row>
    <row r="8" spans="2:12">
      <c r="B8" t="s">
        <v>22</v>
      </c>
      <c r="C8" s="1">
        <v>311</v>
      </c>
      <c r="F8" t="s">
        <v>35</v>
      </c>
      <c r="H8" s="17">
        <v>318.29000000000002</v>
      </c>
    </row>
    <row r="9" spans="2:12">
      <c r="B9" t="s">
        <v>31</v>
      </c>
      <c r="D9" s="17">
        <v>133.94999999999999</v>
      </c>
    </row>
    <row r="10" spans="2:12">
      <c r="B10" t="s">
        <v>32</v>
      </c>
      <c r="D10" s="17">
        <v>1100</v>
      </c>
    </row>
    <row r="11" spans="2:12">
      <c r="B11" t="s">
        <v>33</v>
      </c>
      <c r="C11">
        <v>6.62</v>
      </c>
      <c r="D11" s="17"/>
    </row>
    <row r="12" spans="2:12">
      <c r="B12" t="s">
        <v>2</v>
      </c>
      <c r="C12" s="2">
        <f>SUM(C2:C11)</f>
        <v>16895.579999999998</v>
      </c>
      <c r="D12" s="2">
        <f>SUM(D3:D10)</f>
        <v>16889.330000000002</v>
      </c>
      <c r="F12" t="s">
        <v>2</v>
      </c>
      <c r="G12" s="2">
        <f>SUM(G2:G10)</f>
        <v>19861.05</v>
      </c>
      <c r="H12" s="2">
        <f>SUM(H3:H10)</f>
        <v>12129.35</v>
      </c>
      <c r="J12" t="s">
        <v>2</v>
      </c>
      <c r="K12" s="2">
        <f>SUM(K1:K9)</f>
        <v>78317.56</v>
      </c>
      <c r="L12" s="2">
        <f>SUM(L2:L9)</f>
        <v>0</v>
      </c>
    </row>
    <row r="13" spans="2:12">
      <c r="D13" s="2">
        <f>C12-D12</f>
        <v>6.249999999996362</v>
      </c>
      <c r="H13" s="2">
        <f>G12-H12</f>
        <v>7731.6999999999989</v>
      </c>
      <c r="L13" s="2">
        <f>K12-L12</f>
        <v>78317.56</v>
      </c>
    </row>
    <row r="16" spans="2:12">
      <c r="C16" s="217" t="s">
        <v>12</v>
      </c>
      <c r="D16" s="217"/>
      <c r="G16" s="217" t="s">
        <v>16</v>
      </c>
      <c r="H16" s="217"/>
      <c r="K16" s="217" t="s">
        <v>23</v>
      </c>
      <c r="L16" s="217"/>
    </row>
    <row r="17" spans="2:14">
      <c r="B17" t="s">
        <v>0</v>
      </c>
      <c r="C17" s="3">
        <v>25.5</v>
      </c>
      <c r="D17" s="4"/>
      <c r="F17" t="s">
        <v>0</v>
      </c>
      <c r="G17" s="3">
        <v>0</v>
      </c>
      <c r="H17" s="4">
        <v>3433.27</v>
      </c>
      <c r="J17" t="s">
        <v>0</v>
      </c>
      <c r="K17" s="3">
        <v>0</v>
      </c>
      <c r="L17" s="4">
        <v>1139.58</v>
      </c>
      <c r="N17" s="15"/>
    </row>
    <row r="18" spans="2:14">
      <c r="B18" t="s">
        <v>5</v>
      </c>
      <c r="C18" s="9">
        <v>400</v>
      </c>
      <c r="D18" s="11"/>
      <c r="F18" t="s">
        <v>17</v>
      </c>
      <c r="G18" s="9">
        <v>3433.27</v>
      </c>
      <c r="H18" s="9"/>
      <c r="K18" s="9">
        <v>1140</v>
      </c>
      <c r="L18" s="9">
        <v>90.92</v>
      </c>
      <c r="M18" t="s">
        <v>24</v>
      </c>
    </row>
    <row r="19" spans="2:14">
      <c r="B19" t="s">
        <v>13</v>
      </c>
      <c r="C19" s="1"/>
      <c r="D19" s="9">
        <v>56</v>
      </c>
      <c r="F19" t="s">
        <v>18</v>
      </c>
      <c r="G19" s="1"/>
      <c r="H19" s="9">
        <v>646</v>
      </c>
      <c r="K19" s="1"/>
      <c r="L19" s="9">
        <v>9.1199999999999992</v>
      </c>
    </row>
    <row r="20" spans="2:14">
      <c r="B20" s="12" t="s">
        <v>14</v>
      </c>
      <c r="C20" s="13"/>
      <c r="D20" s="9">
        <v>50</v>
      </c>
      <c r="F20" s="12" t="s">
        <v>19</v>
      </c>
      <c r="G20" s="13"/>
      <c r="H20" s="9">
        <v>60</v>
      </c>
      <c r="J20" s="12"/>
      <c r="K20" s="13"/>
      <c r="L20" s="9">
        <v>204</v>
      </c>
    </row>
    <row r="21" spans="2:14">
      <c r="B21" t="s">
        <v>15</v>
      </c>
      <c r="C21" s="1"/>
      <c r="D21" s="9">
        <v>13</v>
      </c>
      <c r="F21" t="s">
        <v>20</v>
      </c>
      <c r="G21" s="1"/>
      <c r="H21" s="9">
        <v>99</v>
      </c>
      <c r="K21" s="1"/>
      <c r="L21" s="9">
        <v>500</v>
      </c>
    </row>
    <row r="22" spans="2:14">
      <c r="B22" s="12" t="s">
        <v>29</v>
      </c>
      <c r="C22" s="13"/>
      <c r="D22" s="14">
        <v>50</v>
      </c>
      <c r="F22" t="s">
        <v>21</v>
      </c>
      <c r="G22" s="1"/>
      <c r="H22" s="9">
        <v>203.45</v>
      </c>
      <c r="J22" t="s">
        <v>38</v>
      </c>
      <c r="K22" s="1"/>
      <c r="L22" s="11">
        <v>1545.56</v>
      </c>
    </row>
    <row r="23" spans="2:14">
      <c r="B23" t="s">
        <v>30</v>
      </c>
      <c r="D23" s="9">
        <v>4.5</v>
      </c>
    </row>
    <row r="24" spans="2:14">
      <c r="B24" s="12" t="s">
        <v>30</v>
      </c>
      <c r="D24" s="9">
        <v>4.5</v>
      </c>
    </row>
    <row r="25" spans="2:14">
      <c r="B25" s="12" t="s">
        <v>36</v>
      </c>
      <c r="C25">
        <v>700</v>
      </c>
      <c r="D25" s="17"/>
    </row>
    <row r="26" spans="2:14">
      <c r="B26" s="12" t="s">
        <v>32</v>
      </c>
      <c r="D26" s="17">
        <v>927</v>
      </c>
    </row>
    <row r="27" spans="2:14">
      <c r="B27" s="12"/>
      <c r="D27" s="17"/>
    </row>
    <row r="29" spans="2:14">
      <c r="B29" t="s">
        <v>2</v>
      </c>
      <c r="C29" s="2">
        <f>SUM(C17:C28)</f>
        <v>1125.5</v>
      </c>
      <c r="D29" s="2">
        <f>SUM(D18:D28)</f>
        <v>1105</v>
      </c>
      <c r="F29" t="s">
        <v>2</v>
      </c>
      <c r="G29" s="2">
        <f>SUM(G17:G28)</f>
        <v>3433.27</v>
      </c>
      <c r="H29" s="2">
        <f>SUM(H17:H28)</f>
        <v>4441.72</v>
      </c>
      <c r="J29" t="s">
        <v>2</v>
      </c>
      <c r="K29" s="2">
        <f>SUM(K17:K28)</f>
        <v>1140</v>
      </c>
      <c r="L29" s="2">
        <f>SUM(L17:L28)</f>
        <v>3489.18</v>
      </c>
    </row>
    <row r="30" spans="2:14">
      <c r="D30" s="2">
        <f>C29-D29</f>
        <v>20.5</v>
      </c>
      <c r="H30" s="2">
        <f>G29-H29</f>
        <v>-1008.4500000000003</v>
      </c>
      <c r="L30" s="2">
        <f>K29-L29</f>
        <v>-2349.1799999999998</v>
      </c>
    </row>
    <row r="34" spans="5:5">
      <c r="E34" s="2"/>
    </row>
  </sheetData>
  <mergeCells count="6">
    <mergeCell ref="C1:D1"/>
    <mergeCell ref="G1:H1"/>
    <mergeCell ref="K1:L1"/>
    <mergeCell ref="C16:D16"/>
    <mergeCell ref="G16:H16"/>
    <mergeCell ref="K16:L16"/>
  </mergeCells>
  <conditionalFormatting sqref="D13">
    <cfRule type="cellIs" dxfId="153" priority="11" operator="lessThan">
      <formula>0</formula>
    </cfRule>
    <cfRule type="cellIs" dxfId="152" priority="12" operator="greaterThan">
      <formula>0</formula>
    </cfRule>
  </conditionalFormatting>
  <conditionalFormatting sqref="L30">
    <cfRule type="cellIs" dxfId="151" priority="9" operator="lessThan">
      <formula>0</formula>
    </cfRule>
    <cfRule type="cellIs" dxfId="150" priority="10" operator="greaterThan">
      <formula>0</formula>
    </cfRule>
  </conditionalFormatting>
  <conditionalFormatting sqref="H13">
    <cfRule type="cellIs" dxfId="149" priority="7" operator="lessThan">
      <formula>0</formula>
    </cfRule>
    <cfRule type="cellIs" dxfId="148" priority="8" operator="greaterThan">
      <formula>0</formula>
    </cfRule>
  </conditionalFormatting>
  <conditionalFormatting sqref="L13">
    <cfRule type="cellIs" dxfId="147" priority="5" operator="lessThan">
      <formula>0</formula>
    </cfRule>
    <cfRule type="cellIs" dxfId="146" priority="6" operator="greaterThan">
      <formula>0</formula>
    </cfRule>
  </conditionalFormatting>
  <conditionalFormatting sqref="D30">
    <cfRule type="cellIs" dxfId="145" priority="3" operator="lessThan">
      <formula>0</formula>
    </cfRule>
    <cfRule type="cellIs" dxfId="144" priority="4" operator="greaterThan">
      <formula>0</formula>
    </cfRule>
  </conditionalFormatting>
  <conditionalFormatting sqref="H30">
    <cfRule type="cellIs" dxfId="143" priority="1" operator="lessThan">
      <formula>0</formula>
    </cfRule>
    <cfRule type="cellIs" dxfId="14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AB61"/>
  <sheetViews>
    <sheetView topLeftCell="A13" workbookViewId="0">
      <selection activeCell="E18" sqref="E18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7" width="11.5703125" bestFit="1" customWidth="1"/>
    <col min="19" max="19" width="11.5703125" bestFit="1" customWidth="1"/>
    <col min="28" max="28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294</v>
      </c>
      <c r="P1" s="218"/>
    </row>
    <row r="2" spans="1:16">
      <c r="B2" s="18" t="s">
        <v>0</v>
      </c>
      <c r="C2" s="94">
        <v>127.56</v>
      </c>
      <c r="D2" s="74"/>
      <c r="E2" s="18"/>
      <c r="F2" s="18" t="s">
        <v>0</v>
      </c>
      <c r="G2" s="75">
        <v>1499.99</v>
      </c>
      <c r="H2" s="74"/>
      <c r="I2" s="18"/>
      <c r="J2" s="18" t="s">
        <v>0</v>
      </c>
      <c r="K2" s="73">
        <v>7000.5</v>
      </c>
      <c r="L2" s="74"/>
      <c r="N2" s="18"/>
      <c r="O2" s="73">
        <f>SUMIFS(D2:D23,E2:E23,"V")</f>
        <v>7695.12</v>
      </c>
      <c r="P2" s="97"/>
    </row>
    <row r="3" spans="1:16">
      <c r="B3" s="18" t="s">
        <v>39</v>
      </c>
      <c r="C3" s="23">
        <v>530.64</v>
      </c>
      <c r="D3" s="11"/>
      <c r="E3" s="76"/>
      <c r="F3" s="18" t="s">
        <v>303</v>
      </c>
      <c r="G3" s="20"/>
      <c r="H3" s="11">
        <v>500</v>
      </c>
      <c r="I3" s="18"/>
      <c r="J3" s="18" t="s">
        <v>10</v>
      </c>
      <c r="K3" s="20">
        <v>52.02</v>
      </c>
      <c r="L3" s="77"/>
      <c r="N3" s="18" t="s">
        <v>201</v>
      </c>
      <c r="O3" s="20"/>
      <c r="P3" s="11">
        <v>3000</v>
      </c>
    </row>
    <row r="4" spans="1:16">
      <c r="B4" s="18" t="s">
        <v>40</v>
      </c>
      <c r="C4" s="23">
        <v>15695.75</v>
      </c>
      <c r="D4" s="11"/>
      <c r="E4" s="18"/>
      <c r="F4" s="18" t="s">
        <v>304</v>
      </c>
      <c r="G4" s="20">
        <v>500.01</v>
      </c>
      <c r="H4" s="11"/>
      <c r="I4" s="18"/>
      <c r="J4" s="18" t="s">
        <v>237</v>
      </c>
      <c r="K4" s="20">
        <v>0</v>
      </c>
      <c r="L4" s="77"/>
      <c r="N4" s="18" t="s">
        <v>322</v>
      </c>
      <c r="O4" s="20"/>
      <c r="P4" s="11">
        <v>4694.97</v>
      </c>
    </row>
    <row r="5" spans="1:16">
      <c r="B5" s="18" t="s">
        <v>291</v>
      </c>
      <c r="C5" s="20"/>
      <c r="D5" s="24">
        <v>2000</v>
      </c>
      <c r="E5" s="18" t="s">
        <v>295</v>
      </c>
      <c r="F5" s="18" t="s">
        <v>320</v>
      </c>
      <c r="G5" s="20">
        <v>3033.16</v>
      </c>
      <c r="H5" s="11"/>
      <c r="I5" s="18"/>
      <c r="J5" s="18" t="s">
        <v>307</v>
      </c>
      <c r="K5" s="20"/>
      <c r="L5" s="11">
        <v>4694.97</v>
      </c>
      <c r="N5" s="18"/>
      <c r="O5" s="20"/>
      <c r="P5" s="11"/>
    </row>
    <row r="6" spans="1:16">
      <c r="B6" s="18" t="s">
        <v>292</v>
      </c>
      <c r="C6" s="20"/>
      <c r="D6" s="24">
        <v>106.97</v>
      </c>
      <c r="E6" s="18"/>
      <c r="F6" s="18" t="s">
        <v>230</v>
      </c>
      <c r="G6" s="20">
        <v>2630.12</v>
      </c>
      <c r="H6" s="11"/>
      <c r="I6" s="18"/>
      <c r="J6" s="18"/>
      <c r="K6" s="20"/>
      <c r="L6" s="77"/>
      <c r="N6" s="18"/>
      <c r="O6" s="20"/>
      <c r="P6" s="11"/>
    </row>
    <row r="7" spans="1:16">
      <c r="B7" s="18" t="s">
        <v>293</v>
      </c>
      <c r="C7" s="20"/>
      <c r="D7" s="24">
        <v>460.7</v>
      </c>
      <c r="E7" s="76" t="s">
        <v>295</v>
      </c>
      <c r="F7" s="18" t="s">
        <v>284</v>
      </c>
      <c r="G7" s="20"/>
      <c r="H7" s="11">
        <v>3033.16</v>
      </c>
      <c r="I7" s="18"/>
      <c r="J7" s="18"/>
      <c r="K7" s="20"/>
      <c r="L7" s="77"/>
      <c r="N7" s="18"/>
      <c r="O7" s="20"/>
      <c r="P7" s="77"/>
    </row>
    <row r="8" spans="1:16">
      <c r="B8" s="39" t="s">
        <v>296</v>
      </c>
      <c r="C8" s="18"/>
      <c r="D8" s="24">
        <v>487</v>
      </c>
      <c r="E8" s="18" t="s">
        <v>295</v>
      </c>
      <c r="F8" s="95" t="s">
        <v>222</v>
      </c>
      <c r="G8" s="20"/>
      <c r="H8" s="11">
        <v>2630.12</v>
      </c>
      <c r="I8" s="18"/>
      <c r="J8" s="18"/>
      <c r="K8" s="20"/>
      <c r="L8" s="39"/>
      <c r="N8" s="18"/>
      <c r="O8" s="20"/>
      <c r="P8" s="39"/>
    </row>
    <row r="9" spans="1:16">
      <c r="B9" s="39" t="s">
        <v>297</v>
      </c>
      <c r="C9" s="20"/>
      <c r="D9" s="24">
        <v>190.21</v>
      </c>
      <c r="E9" s="18" t="s">
        <v>295</v>
      </c>
      <c r="F9" s="18"/>
      <c r="G9" s="20"/>
      <c r="H9" s="11"/>
      <c r="I9" s="18"/>
      <c r="J9" s="18"/>
      <c r="K9" s="18"/>
      <c r="L9" s="18"/>
      <c r="N9" s="18"/>
      <c r="O9" s="18"/>
      <c r="P9" s="18"/>
    </row>
    <row r="10" spans="1:16">
      <c r="B10" s="64" t="s">
        <v>298</v>
      </c>
      <c r="C10" s="79"/>
      <c r="D10" s="58">
        <v>1223.2</v>
      </c>
      <c r="E10" s="76" t="s">
        <v>295</v>
      </c>
      <c r="F10" s="18"/>
      <c r="G10" s="20"/>
      <c r="H10" s="11"/>
      <c r="I10" s="18"/>
      <c r="J10" s="18"/>
      <c r="K10" s="18"/>
      <c r="L10" s="18"/>
      <c r="N10" s="18"/>
      <c r="O10" s="18"/>
      <c r="P10" s="18"/>
    </row>
    <row r="11" spans="1:16">
      <c r="B11" s="66" t="s">
        <v>299</v>
      </c>
      <c r="C11" s="39"/>
      <c r="D11" s="69">
        <v>881</v>
      </c>
      <c r="E11" s="39" t="s">
        <v>295</v>
      </c>
      <c r="F11" s="91"/>
      <c r="G11" s="20"/>
      <c r="H11" s="11"/>
      <c r="I11" s="18"/>
      <c r="J11" s="18"/>
      <c r="K11" s="18"/>
      <c r="L11" s="18"/>
    </row>
    <row r="12" spans="1:16">
      <c r="B12" s="66" t="s">
        <v>300</v>
      </c>
      <c r="C12" s="39"/>
      <c r="D12" s="69">
        <v>24</v>
      </c>
      <c r="E12" s="39" t="s">
        <v>295</v>
      </c>
      <c r="F12" s="18"/>
      <c r="G12" s="20"/>
      <c r="H12" s="11"/>
      <c r="I12" s="18"/>
      <c r="J12" s="18"/>
      <c r="K12" s="18"/>
      <c r="L12" s="18"/>
    </row>
    <row r="13" spans="1:16">
      <c r="B13" s="67" t="s">
        <v>301</v>
      </c>
      <c r="C13" s="82"/>
      <c r="D13" s="61">
        <v>80</v>
      </c>
      <c r="E13" s="39" t="s">
        <v>295</v>
      </c>
      <c r="F13" s="18"/>
      <c r="G13" s="20"/>
      <c r="H13" s="11"/>
      <c r="I13" s="18"/>
      <c r="J13" s="18"/>
      <c r="K13" s="18"/>
      <c r="L13" s="18"/>
    </row>
    <row r="14" spans="1:16">
      <c r="B14" s="39" t="s">
        <v>302</v>
      </c>
      <c r="C14" s="20"/>
      <c r="D14" s="24">
        <v>500</v>
      </c>
      <c r="E14" s="39" t="s">
        <v>295</v>
      </c>
      <c r="F14" s="18"/>
      <c r="G14" s="20"/>
      <c r="H14" s="11"/>
      <c r="I14" s="18"/>
      <c r="J14" s="18"/>
      <c r="K14" s="18"/>
      <c r="L14" s="18"/>
    </row>
    <row r="15" spans="1:16">
      <c r="B15" s="39" t="s">
        <v>304</v>
      </c>
      <c r="C15" s="20"/>
      <c r="D15" s="24">
        <v>500.01</v>
      </c>
      <c r="E15" s="39" t="s">
        <v>295</v>
      </c>
      <c r="F15" s="18"/>
      <c r="G15" s="20"/>
      <c r="H15" s="11"/>
      <c r="I15" s="18"/>
      <c r="J15" s="18"/>
      <c r="K15" s="18"/>
      <c r="L15" s="18"/>
    </row>
    <row r="16" spans="1:16">
      <c r="A16" t="s">
        <v>308</v>
      </c>
      <c r="B16" s="39" t="s">
        <v>319</v>
      </c>
      <c r="C16" s="20"/>
      <c r="D16" s="24">
        <v>900</v>
      </c>
      <c r="E16" s="39" t="s">
        <v>295</v>
      </c>
      <c r="F16" s="18"/>
      <c r="G16" s="20"/>
      <c r="H16" s="11"/>
      <c r="I16" s="18"/>
      <c r="J16" s="18"/>
      <c r="K16" s="18"/>
      <c r="L16" s="18"/>
    </row>
    <row r="17" spans="1:21">
      <c r="A17" t="s">
        <v>17</v>
      </c>
      <c r="B17" s="39" t="s">
        <v>306</v>
      </c>
      <c r="C17" s="20"/>
      <c r="D17" s="24">
        <v>449</v>
      </c>
      <c r="E17" s="39" t="s">
        <v>295</v>
      </c>
      <c r="F17" s="18"/>
      <c r="G17" s="20"/>
      <c r="H17" s="11"/>
      <c r="I17" s="18"/>
      <c r="J17" s="18"/>
      <c r="K17" s="18"/>
      <c r="L17" s="18"/>
    </row>
    <row r="18" spans="1:21">
      <c r="B18" s="39" t="s">
        <v>324</v>
      </c>
      <c r="C18" s="20"/>
      <c r="D18" s="24">
        <v>4000</v>
      </c>
      <c r="G18" s="20"/>
      <c r="H18" s="11"/>
    </row>
    <row r="19" spans="1:21">
      <c r="B19" s="39" t="s">
        <v>325</v>
      </c>
      <c r="C19" s="98">
        <f>4694.97 + 3000</f>
        <v>7694.97</v>
      </c>
      <c r="D19" s="99">
        <v>3000</v>
      </c>
      <c r="E19" s="96"/>
      <c r="G19" s="20"/>
      <c r="H19" s="11"/>
    </row>
    <row r="20" spans="1:21">
      <c r="B20" s="95" t="s">
        <v>318</v>
      </c>
      <c r="C20" s="1"/>
      <c r="D20" s="24">
        <v>3033.16</v>
      </c>
      <c r="F20" t="s">
        <v>321</v>
      </c>
      <c r="G20" s="20"/>
      <c r="H20" s="19"/>
    </row>
    <row r="21" spans="1:21">
      <c r="B21" s="39" t="s">
        <v>326</v>
      </c>
      <c r="C21" s="72"/>
      <c r="D21" s="24">
        <v>460</v>
      </c>
      <c r="G21" s="20"/>
      <c r="H21" s="19"/>
    </row>
    <row r="22" spans="1:21">
      <c r="B22" s="39" t="s">
        <v>311</v>
      </c>
      <c r="C22" s="1"/>
      <c r="D22" s="24">
        <v>2630.12</v>
      </c>
      <c r="G22" s="20"/>
      <c r="H22" s="19"/>
    </row>
    <row r="23" spans="1:21">
      <c r="B23" s="39" t="s">
        <v>323</v>
      </c>
      <c r="C23" s="1"/>
      <c r="D23" s="24">
        <v>375</v>
      </c>
      <c r="G23" s="20"/>
      <c r="H23" s="19"/>
    </row>
    <row r="24" spans="1:21">
      <c r="B24" t="s">
        <v>2</v>
      </c>
      <c r="C24" s="2">
        <f>SUM(C2:C23)</f>
        <v>24048.920000000002</v>
      </c>
      <c r="D24" s="2">
        <f>SUM(D3:D23)</f>
        <v>21300.37</v>
      </c>
      <c r="F24" t="s">
        <v>2</v>
      </c>
      <c r="G24" s="2">
        <f>SUM(G2:G18)</f>
        <v>7663.28</v>
      </c>
      <c r="H24" s="2">
        <f>SUM(H3:H19)</f>
        <v>6163.28</v>
      </c>
      <c r="J24" t="s">
        <v>2</v>
      </c>
      <c r="K24" s="2">
        <f>SUM(K1:K10)</f>
        <v>7052.52</v>
      </c>
      <c r="L24" s="2">
        <f>SUM(L2:L10)</f>
        <v>4694.97</v>
      </c>
      <c r="N24" t="s">
        <v>2</v>
      </c>
      <c r="O24" s="2">
        <f>SUM(O1:O10)</f>
        <v>7695.12</v>
      </c>
      <c r="P24" s="2">
        <f>SUM(P2:P10)</f>
        <v>7694.97</v>
      </c>
    </row>
    <row r="25" spans="1:21">
      <c r="D25" s="2">
        <f>C24-D24</f>
        <v>2748.5500000000029</v>
      </c>
      <c r="H25" s="2">
        <f>G24-H24</f>
        <v>1500</v>
      </c>
      <c r="L25" s="2">
        <f>K24-L24</f>
        <v>2357.5500000000002</v>
      </c>
      <c r="P25" s="2">
        <f>O24-P24</f>
        <v>0.1499999999996362</v>
      </c>
    </row>
    <row r="28" spans="1:21">
      <c r="C28" s="217" t="s">
        <v>12</v>
      </c>
      <c r="D28" s="217"/>
      <c r="G28" s="217" t="s">
        <v>16</v>
      </c>
      <c r="H28" s="217"/>
      <c r="K28" s="217" t="s">
        <v>77</v>
      </c>
      <c r="L28" s="217"/>
      <c r="O28" s="217" t="s">
        <v>90</v>
      </c>
      <c r="P28" s="217"/>
      <c r="S28" t="s">
        <v>163</v>
      </c>
      <c r="T28" t="s">
        <v>164</v>
      </c>
      <c r="U28" t="s">
        <v>165</v>
      </c>
    </row>
    <row r="29" spans="1:21">
      <c r="B29" t="s">
        <v>0</v>
      </c>
      <c r="C29" s="3">
        <v>0</v>
      </c>
      <c r="D29" s="4"/>
      <c r="F29" t="s">
        <v>0</v>
      </c>
      <c r="G29" s="3">
        <v>1300.31</v>
      </c>
      <c r="H29" s="4"/>
      <c r="J29" t="s">
        <v>0</v>
      </c>
      <c r="K29" s="3">
        <v>-4.8499999999999996</v>
      </c>
      <c r="L29" s="4"/>
      <c r="M29" s="33"/>
      <c r="N29" t="s">
        <v>0</v>
      </c>
      <c r="O29" s="89">
        <v>-10589.28</v>
      </c>
      <c r="P29" s="90"/>
      <c r="S29" s="1">
        <v>-4998</v>
      </c>
      <c r="T29">
        <v>18</v>
      </c>
      <c r="U29" s="2">
        <f>S29/T29</f>
        <v>-277.66666666666669</v>
      </c>
    </row>
    <row r="30" spans="1:21">
      <c r="C30" s="1"/>
      <c r="D30" s="1"/>
      <c r="G30" s="87"/>
      <c r="H30" s="88"/>
      <c r="J30" t="s">
        <v>259</v>
      </c>
      <c r="K30" s="85"/>
      <c r="L30" s="86">
        <v>199.5</v>
      </c>
      <c r="M30" s="29"/>
      <c r="N30" s="39" t="s">
        <v>283</v>
      </c>
      <c r="O30" s="1">
        <v>4926</v>
      </c>
      <c r="P30" s="11"/>
      <c r="Q30" s="93"/>
      <c r="S30" s="1">
        <v>-3144</v>
      </c>
      <c r="T30">
        <v>6</v>
      </c>
      <c r="U30" s="2">
        <f>S30/T30</f>
        <v>-524</v>
      </c>
    </row>
    <row r="31" spans="1:21">
      <c r="C31" s="20"/>
      <c r="D31" s="11"/>
      <c r="G31" s="23"/>
      <c r="H31" s="11"/>
      <c r="J31" s="12" t="s">
        <v>312</v>
      </c>
      <c r="K31" s="21"/>
      <c r="L31" s="32">
        <v>900</v>
      </c>
      <c r="N31" s="39" t="s">
        <v>284</v>
      </c>
      <c r="O31" s="1">
        <v>3033.16</v>
      </c>
      <c r="P31" s="11"/>
      <c r="Q31" t="s">
        <v>285</v>
      </c>
      <c r="S31" s="1">
        <v>-18198.95</v>
      </c>
      <c r="T31">
        <v>6</v>
      </c>
      <c r="U31" s="2">
        <f>S31/T31</f>
        <v>-3033.1583333333333</v>
      </c>
    </row>
    <row r="32" spans="1:21">
      <c r="C32" s="1"/>
      <c r="D32" s="11"/>
      <c r="F32" s="12"/>
      <c r="G32" s="21"/>
      <c r="H32" s="11"/>
      <c r="J32" s="12" t="s">
        <v>313</v>
      </c>
      <c r="K32" s="70">
        <v>900</v>
      </c>
      <c r="L32" s="32"/>
      <c r="N32" s="39" t="s">
        <v>290</v>
      </c>
      <c r="O32" s="1"/>
      <c r="P32" s="11">
        <v>7768.75</v>
      </c>
      <c r="Q32" t="s">
        <v>285</v>
      </c>
      <c r="S32" s="1">
        <v>-7768.75</v>
      </c>
      <c r="T32">
        <v>3</v>
      </c>
      <c r="U32" s="2">
        <f>S32/T32</f>
        <v>-2589.5833333333335</v>
      </c>
    </row>
    <row r="33" spans="1:28">
      <c r="A33" t="s">
        <v>276</v>
      </c>
      <c r="C33" s="20"/>
      <c r="D33" s="11"/>
      <c r="G33" s="20"/>
      <c r="H33" s="11"/>
      <c r="J33" t="s">
        <v>314</v>
      </c>
      <c r="K33" s="20"/>
      <c r="L33" s="11">
        <v>3033.16</v>
      </c>
      <c r="N33" s="39" t="s">
        <v>317</v>
      </c>
      <c r="O33" s="23">
        <v>7768.75</v>
      </c>
      <c r="P33" s="11"/>
    </row>
    <row r="34" spans="1:28">
      <c r="B34" s="12"/>
      <c r="C34" s="20"/>
      <c r="D34" s="11"/>
      <c r="G34" s="20"/>
      <c r="H34" s="11"/>
      <c r="J34" t="s">
        <v>315</v>
      </c>
      <c r="K34" s="1">
        <v>3033.16</v>
      </c>
      <c r="L34" s="11"/>
      <c r="M34" s="29" t="s">
        <v>316</v>
      </c>
      <c r="N34" s="39" t="s">
        <v>94</v>
      </c>
      <c r="O34" s="1">
        <v>2630.12</v>
      </c>
      <c r="P34" s="24"/>
      <c r="Q34" s="29"/>
    </row>
    <row r="35" spans="1:28">
      <c r="C35" s="20"/>
      <c r="D35" s="11"/>
      <c r="G35" s="13"/>
      <c r="H35" s="14"/>
      <c r="K35" s="1"/>
      <c r="L35" s="11"/>
      <c r="M35" s="29"/>
      <c r="O35" s="60"/>
      <c r="P35" s="11"/>
      <c r="Q35" s="29"/>
    </row>
    <row r="36" spans="1:28">
      <c r="B36" s="12"/>
      <c r="C36" s="20"/>
      <c r="D36" s="11"/>
      <c r="G36" s="1"/>
      <c r="H36" s="11"/>
      <c r="L36" s="11"/>
      <c r="P36" s="11"/>
    </row>
    <row r="37" spans="1:28">
      <c r="B37" s="12"/>
      <c r="C37" s="20"/>
      <c r="D37" s="11"/>
      <c r="G37" s="13"/>
      <c r="H37" s="14"/>
      <c r="L37" s="11"/>
      <c r="O37" s="19"/>
      <c r="P37" s="11" t="s">
        <v>80</v>
      </c>
      <c r="R37" t="s">
        <v>0</v>
      </c>
      <c r="S37" s="2">
        <f>S29+S30+S31+S32+P48-(U30*3)-(U29*3)-(U31*1)-(U32*0)</f>
        <v>-28671.541666666664</v>
      </c>
    </row>
    <row r="38" spans="1:28">
      <c r="B38" s="12"/>
      <c r="C38" s="20"/>
      <c r="D38" s="11"/>
      <c r="G38" s="13"/>
      <c r="H38" s="14"/>
      <c r="L38" s="11"/>
      <c r="O38" s="19"/>
      <c r="P38" s="11"/>
      <c r="S38" s="2"/>
    </row>
    <row r="39" spans="1:28">
      <c r="B39" s="12"/>
      <c r="C39" s="20"/>
      <c r="D39" s="11"/>
      <c r="F39" t="s">
        <v>309</v>
      </c>
      <c r="G39" s="13"/>
      <c r="H39" s="14">
        <v>449</v>
      </c>
      <c r="L39" s="11"/>
      <c r="O39" s="19"/>
      <c r="P39" s="11"/>
      <c r="S39" s="2"/>
    </row>
    <row r="40" spans="1:28">
      <c r="B40" s="12"/>
      <c r="C40" s="20"/>
      <c r="D40" s="11"/>
      <c r="F40" t="s">
        <v>310</v>
      </c>
      <c r="G40" s="13">
        <v>449</v>
      </c>
      <c r="H40" s="14"/>
      <c r="L40" s="11"/>
      <c r="O40" s="19"/>
      <c r="P40" s="11"/>
      <c r="S40" s="2"/>
    </row>
    <row r="41" spans="1:28">
      <c r="B41" s="12"/>
      <c r="C41" s="20"/>
      <c r="D41" s="11"/>
      <c r="G41" s="13"/>
      <c r="H41" s="14"/>
      <c r="L41" s="11"/>
      <c r="N41" s="44"/>
      <c r="O41" s="44"/>
      <c r="P41" s="92"/>
      <c r="S41" s="2"/>
    </row>
    <row r="42" spans="1:28">
      <c r="B42" s="12"/>
      <c r="C42" s="20"/>
      <c r="D42" s="11"/>
      <c r="G42" s="1"/>
      <c r="H42" s="11"/>
      <c r="L42" s="11"/>
      <c r="M42" t="s">
        <v>286</v>
      </c>
    </row>
    <row r="43" spans="1:28">
      <c r="B43" s="12"/>
      <c r="C43" s="20"/>
      <c r="D43" s="11"/>
      <c r="G43" s="12"/>
      <c r="H43" s="14"/>
      <c r="L43" s="11"/>
      <c r="M43" s="33"/>
    </row>
    <row r="44" spans="1:28">
      <c r="B44" s="12"/>
      <c r="C44" s="1"/>
      <c r="D44" s="11"/>
      <c r="H44" s="11"/>
      <c r="L44" s="11"/>
      <c r="M44" s="33"/>
    </row>
    <row r="45" spans="1:28">
      <c r="B45" s="12"/>
      <c r="C45" s="1"/>
      <c r="D45" s="11"/>
      <c r="H45" s="14"/>
      <c r="L45" s="11"/>
      <c r="P45" s="11"/>
    </row>
    <row r="46" spans="1:28">
      <c r="B46" s="12"/>
      <c r="C46" s="1"/>
      <c r="D46" s="11"/>
    </row>
    <row r="47" spans="1:28">
      <c r="B47" t="s">
        <v>2</v>
      </c>
      <c r="C47" s="2">
        <f>SUM(C29:C44)</f>
        <v>0</v>
      </c>
      <c r="D47" s="2">
        <f>SUM(D31:D46)</f>
        <v>0</v>
      </c>
      <c r="F47" t="s">
        <v>2</v>
      </c>
      <c r="G47" s="2">
        <f>SUM(G29:G44)</f>
        <v>1749.31</v>
      </c>
      <c r="H47" s="2">
        <f>SUM(H29:H45)</f>
        <v>449</v>
      </c>
      <c r="J47" t="s">
        <v>2</v>
      </c>
      <c r="K47" s="2">
        <f>SUM(K29:K44)</f>
        <v>3928.31</v>
      </c>
      <c r="L47" s="2">
        <f>SUM(L29:L45)</f>
        <v>4132.66</v>
      </c>
      <c r="N47" t="s">
        <v>2</v>
      </c>
      <c r="O47" s="2">
        <f>SUM(O29:O35)</f>
        <v>7768.7499999999991</v>
      </c>
      <c r="P47" s="2">
        <f>SUM(P29:P37)</f>
        <v>7768.75</v>
      </c>
    </row>
    <row r="48" spans="1:28">
      <c r="D48" s="2">
        <f>C47-D47</f>
        <v>0</v>
      </c>
      <c r="H48" s="2">
        <f>G47-H47</f>
        <v>1300.31</v>
      </c>
      <c r="L48" s="2">
        <f>K47-L47</f>
        <v>-204.34999999999991</v>
      </c>
      <c r="P48" s="2">
        <f>O47-P47</f>
        <v>0</v>
      </c>
      <c r="R48" s="2">
        <f>4926+3033.16</f>
        <v>7959.16</v>
      </c>
      <c r="AA48" t="s">
        <v>239</v>
      </c>
      <c r="AB48" s="1">
        <v>10261.049999999999</v>
      </c>
    </row>
    <row r="49" spans="2:28">
      <c r="B49" t="s">
        <v>282</v>
      </c>
      <c r="AA49" t="s">
        <v>240</v>
      </c>
      <c r="AB49" s="1">
        <v>7081.32</v>
      </c>
    </row>
    <row r="50" spans="2:28">
      <c r="AA50" t="s">
        <v>241</v>
      </c>
      <c r="AB50" s="1">
        <f>AB48-AB49</f>
        <v>3179.7299999999996</v>
      </c>
    </row>
    <row r="51" spans="2:28">
      <c r="E51" t="s">
        <v>235</v>
      </c>
      <c r="H51" s="2">
        <v>1300.31</v>
      </c>
      <c r="L51" s="2">
        <v>204.35</v>
      </c>
      <c r="P51" s="2">
        <v>2630.12</v>
      </c>
      <c r="V51" t="s">
        <v>114</v>
      </c>
      <c r="W51" t="s">
        <v>115</v>
      </c>
      <c r="X51" t="s">
        <v>116</v>
      </c>
      <c r="AA51" t="s">
        <v>242</v>
      </c>
      <c r="AB51" s="2">
        <f>AB50/2</f>
        <v>1589.8649999999998</v>
      </c>
    </row>
    <row r="53" spans="2:28">
      <c r="D53" t="s">
        <v>138</v>
      </c>
      <c r="E53" s="34" t="s">
        <v>120</v>
      </c>
      <c r="F53" s="41"/>
      <c r="G53" s="41"/>
      <c r="H53" s="51"/>
      <c r="I53" s="41"/>
      <c r="J53" s="41"/>
      <c r="K53" s="41"/>
      <c r="L53" s="51"/>
      <c r="M53" s="41"/>
      <c r="N53" s="41"/>
      <c r="O53" s="41"/>
      <c r="P53" s="53">
        <v>2630.12</v>
      </c>
      <c r="S53" s="1">
        <f>H51+L51+P51</f>
        <v>4134.78</v>
      </c>
      <c r="T53" t="s">
        <v>98</v>
      </c>
      <c r="V53" s="1">
        <f>Z55-Z56</f>
        <v>718.67999999999984</v>
      </c>
      <c r="W53" s="2">
        <f>S53-V53</f>
        <v>3416.1</v>
      </c>
      <c r="X53" s="2">
        <f>W53/2</f>
        <v>1708.05</v>
      </c>
    </row>
    <row r="54" spans="2:28">
      <c r="E54" s="36" t="s">
        <v>121</v>
      </c>
      <c r="F54" s="22"/>
      <c r="G54" s="22"/>
      <c r="H54" s="43"/>
      <c r="I54" s="22"/>
      <c r="J54" s="22"/>
      <c r="K54" s="22"/>
      <c r="L54" s="43"/>
      <c r="M54" s="22"/>
      <c r="N54" s="22"/>
      <c r="O54" s="22"/>
      <c r="P54" s="43"/>
      <c r="S54" s="1"/>
      <c r="Z54" t="s">
        <v>119</v>
      </c>
      <c r="AA54" t="s">
        <v>11</v>
      </c>
    </row>
    <row r="55" spans="2:28">
      <c r="E55" s="37" t="s">
        <v>122</v>
      </c>
      <c r="F55" s="44"/>
      <c r="G55" s="44"/>
      <c r="H55" s="45"/>
      <c r="I55" s="44"/>
      <c r="J55" s="44"/>
      <c r="K55" s="44"/>
      <c r="L55" s="45"/>
      <c r="M55" s="44"/>
      <c r="N55" s="44"/>
      <c r="O55" s="44"/>
      <c r="P55" s="45"/>
      <c r="W55" t="s">
        <v>117</v>
      </c>
      <c r="X55" s="2">
        <f>ABS(X53)</f>
        <v>1708.05</v>
      </c>
      <c r="Z55" s="1">
        <v>3900</v>
      </c>
      <c r="AA55" s="2">
        <f>X55+Z55</f>
        <v>5608.05</v>
      </c>
    </row>
    <row r="56" spans="2:28">
      <c r="E56" s="22"/>
      <c r="F56" s="22"/>
      <c r="G56" s="22"/>
      <c r="H56" s="25"/>
      <c r="I56" s="22"/>
      <c r="J56" s="22"/>
      <c r="K56" s="22"/>
      <c r="L56" s="25"/>
      <c r="M56" s="22"/>
      <c r="N56" s="22"/>
      <c r="O56" s="22"/>
      <c r="P56" s="25"/>
      <c r="W56" t="s">
        <v>118</v>
      </c>
      <c r="X56" s="1">
        <f>V53+ABS(X53)</f>
        <v>2426.7299999999996</v>
      </c>
      <c r="Z56" s="1">
        <v>3181.32</v>
      </c>
      <c r="AA56" s="2">
        <f>X56+Z56</f>
        <v>5608.0499999999993</v>
      </c>
    </row>
    <row r="57" spans="2:28">
      <c r="D57" t="s">
        <v>139</v>
      </c>
      <c r="H57" s="2"/>
      <c r="L57" s="2"/>
      <c r="P57" s="2"/>
    </row>
    <row r="58" spans="2:28">
      <c r="E58" s="34" t="s">
        <v>169</v>
      </c>
      <c r="F58" s="41"/>
      <c r="G58" s="41"/>
      <c r="H58" s="51"/>
      <c r="I58" s="41"/>
      <c r="J58" s="41"/>
      <c r="K58" s="41"/>
      <c r="L58" s="51"/>
      <c r="M58" s="41"/>
      <c r="N58" s="41"/>
      <c r="O58" s="41"/>
      <c r="P58" s="53"/>
      <c r="Z58" s="2"/>
    </row>
    <row r="59" spans="2:28">
      <c r="E59" s="36" t="s">
        <v>244</v>
      </c>
      <c r="F59" s="22"/>
      <c r="G59" s="22"/>
      <c r="H59" s="43"/>
      <c r="I59" s="22"/>
      <c r="J59" s="22"/>
      <c r="K59" s="22"/>
      <c r="L59" s="43"/>
      <c r="M59" s="22"/>
      <c r="N59" s="22"/>
      <c r="O59" s="22"/>
      <c r="P59" s="43"/>
    </row>
    <row r="60" spans="2:28">
      <c r="E60" s="37" t="s">
        <v>122</v>
      </c>
      <c r="F60" s="44"/>
      <c r="G60" s="44"/>
      <c r="H60" s="45">
        <f>IF(H59=0,H57-H58,)</f>
        <v>0</v>
      </c>
      <c r="I60" s="44"/>
      <c r="J60" s="44"/>
      <c r="K60" s="44"/>
      <c r="L60" s="45">
        <f>IF(L59=0,L57-L58,0)</f>
        <v>0</v>
      </c>
      <c r="M60" s="44"/>
      <c r="N60" s="44"/>
      <c r="O60" s="44"/>
      <c r="P60" s="45">
        <f>IF(P59=0,P57-P58,)</f>
        <v>0</v>
      </c>
      <c r="X60" s="1"/>
    </row>
    <row r="61" spans="2:28">
      <c r="L61" s="60"/>
      <c r="P61" s="27"/>
      <c r="X61" s="2"/>
    </row>
  </sheetData>
  <mergeCells count="8">
    <mergeCell ref="O28:P28"/>
    <mergeCell ref="O1:P1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103" priority="3" operator="lessThan">
      <formula>0</formula>
    </cfRule>
    <cfRule type="cellIs" dxfId="102" priority="4" operator="greaterThan">
      <formula>0</formula>
    </cfRule>
  </conditionalFormatting>
  <conditionalFormatting sqref="P25">
    <cfRule type="cellIs" dxfId="101" priority="1" operator="lessThan">
      <formula>0</formula>
    </cfRule>
    <cfRule type="cellIs" dxfId="10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AB65"/>
  <sheetViews>
    <sheetView workbookViewId="0">
      <selection activeCell="F15" sqref="F15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8" max="28" width="11.5703125" bestFit="1" customWidth="1"/>
  </cols>
  <sheetData>
    <row r="1" spans="2:16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/>
      <c r="P1" s="218"/>
    </row>
    <row r="2" spans="2:16">
      <c r="B2" s="18" t="s">
        <v>0</v>
      </c>
      <c r="C2" s="94">
        <f>2748.55 - 1715.26</f>
        <v>1033.2900000000002</v>
      </c>
      <c r="D2" s="74"/>
      <c r="E2" s="18"/>
      <c r="F2" s="18" t="s">
        <v>0</v>
      </c>
      <c r="G2" s="75">
        <v>1500</v>
      </c>
      <c r="H2" s="74"/>
      <c r="I2" s="18"/>
      <c r="J2" s="18" t="s">
        <v>0</v>
      </c>
      <c r="K2" s="73">
        <v>2357.5500000000002</v>
      </c>
      <c r="L2" s="74"/>
      <c r="N2" s="18"/>
      <c r="O2" s="73"/>
      <c r="P2" s="97"/>
    </row>
    <row r="3" spans="2:16">
      <c r="B3" s="18" t="s">
        <v>39</v>
      </c>
      <c r="C3" s="20">
        <v>619.28</v>
      </c>
      <c r="D3" s="11"/>
      <c r="E3" s="76"/>
      <c r="F3" s="18" t="s">
        <v>1</v>
      </c>
      <c r="G3" s="101">
        <v>3181.33</v>
      </c>
      <c r="H3" s="11"/>
      <c r="I3" s="18"/>
      <c r="J3" s="18" t="s">
        <v>10</v>
      </c>
      <c r="K3" s="20">
        <v>0</v>
      </c>
      <c r="L3" s="77"/>
      <c r="N3" s="18"/>
      <c r="O3" s="20"/>
      <c r="P3" s="11"/>
    </row>
    <row r="4" spans="2:16">
      <c r="B4" s="18" t="s">
        <v>40</v>
      </c>
      <c r="C4" s="20">
        <v>15647.31</v>
      </c>
      <c r="D4" s="11"/>
      <c r="E4" s="18"/>
      <c r="F4" s="18" t="s">
        <v>9</v>
      </c>
      <c r="G4" s="20"/>
      <c r="H4" s="11">
        <v>3181.33</v>
      </c>
      <c r="I4" s="18"/>
      <c r="J4" s="18" t="s">
        <v>201</v>
      </c>
      <c r="K4" s="20">
        <v>410.42</v>
      </c>
      <c r="L4" s="77"/>
      <c r="N4" s="18"/>
      <c r="O4" s="20"/>
      <c r="P4" s="11"/>
    </row>
    <row r="5" spans="2:16">
      <c r="B5" s="18" t="s">
        <v>333</v>
      </c>
      <c r="C5" s="20"/>
      <c r="D5" s="100">
        <v>1300.31</v>
      </c>
      <c r="E5" s="18"/>
      <c r="F5" s="18" t="s">
        <v>331</v>
      </c>
      <c r="G5" s="20">
        <v>2589.58</v>
      </c>
      <c r="H5" s="11"/>
      <c r="I5" s="18"/>
      <c r="J5" s="18"/>
      <c r="K5" s="20"/>
      <c r="L5" s="11"/>
      <c r="N5" s="18"/>
      <c r="O5" s="20"/>
      <c r="P5" s="11"/>
    </row>
    <row r="6" spans="2:16">
      <c r="B6" s="39" t="s">
        <v>308</v>
      </c>
      <c r="C6" s="18"/>
      <c r="D6" s="100">
        <v>204.35</v>
      </c>
      <c r="E6" s="18"/>
      <c r="F6" s="18" t="s">
        <v>106</v>
      </c>
      <c r="G6" s="20"/>
      <c r="H6" s="24">
        <v>4600</v>
      </c>
      <c r="I6" s="18"/>
      <c r="J6" s="18"/>
      <c r="K6" s="20"/>
      <c r="L6" s="77"/>
      <c r="N6" s="18"/>
      <c r="O6" s="20"/>
      <c r="P6" s="11"/>
    </row>
    <row r="7" spans="2:16">
      <c r="B7" s="39" t="s">
        <v>327</v>
      </c>
      <c r="C7" s="18"/>
      <c r="D7" s="100">
        <v>3033.16</v>
      </c>
      <c r="E7" s="76"/>
      <c r="F7" s="18" t="s">
        <v>346</v>
      </c>
      <c r="G7" s="23">
        <v>4600</v>
      </c>
      <c r="H7" s="11"/>
      <c r="I7" s="18"/>
      <c r="J7" s="18"/>
      <c r="K7" s="20"/>
      <c r="L7" s="77"/>
      <c r="N7" s="18"/>
      <c r="O7" s="20"/>
      <c r="P7" s="77"/>
    </row>
    <row r="8" spans="2:16">
      <c r="B8" s="39" t="s">
        <v>201</v>
      </c>
      <c r="C8" s="20"/>
      <c r="D8" s="103">
        <v>0</v>
      </c>
      <c r="E8" s="18"/>
      <c r="F8" s="39" t="s">
        <v>350</v>
      </c>
      <c r="G8" s="20"/>
      <c r="H8" s="11">
        <v>2589.58</v>
      </c>
      <c r="I8" s="18"/>
      <c r="J8" s="18"/>
      <c r="K8" s="20"/>
      <c r="L8" s="39"/>
      <c r="N8" s="18"/>
      <c r="O8" s="20"/>
      <c r="P8" s="39"/>
    </row>
    <row r="9" spans="2:16">
      <c r="B9" s="64" t="s">
        <v>1</v>
      </c>
      <c r="C9" s="79"/>
      <c r="D9" s="100">
        <v>3181.33</v>
      </c>
      <c r="E9" s="18"/>
      <c r="F9" s="18"/>
      <c r="G9" s="20"/>
      <c r="H9" s="11"/>
      <c r="I9" s="18"/>
      <c r="J9" s="18"/>
      <c r="K9" s="18"/>
      <c r="L9" s="18"/>
      <c r="N9" s="18"/>
      <c r="O9" s="18"/>
      <c r="P9" s="18"/>
    </row>
    <row r="10" spans="2:16">
      <c r="B10" s="66" t="s">
        <v>76</v>
      </c>
      <c r="C10" s="39"/>
      <c r="D10" s="11">
        <v>300</v>
      </c>
      <c r="E10" s="76"/>
      <c r="F10" s="18"/>
      <c r="G10" s="20"/>
      <c r="H10" s="11"/>
      <c r="I10" s="18"/>
      <c r="J10" s="18"/>
      <c r="K10" s="18"/>
      <c r="L10" s="18"/>
      <c r="N10" s="18"/>
      <c r="O10" s="18"/>
      <c r="P10" s="18"/>
    </row>
    <row r="11" spans="2:16">
      <c r="B11" s="67"/>
      <c r="C11" s="82"/>
      <c r="D11" s="11"/>
      <c r="E11" s="39"/>
      <c r="F11" s="91"/>
      <c r="G11" s="20"/>
      <c r="H11" s="11"/>
      <c r="I11" s="18"/>
      <c r="J11" s="18"/>
      <c r="K11" s="18"/>
      <c r="L11" s="18"/>
    </row>
    <row r="12" spans="2:16">
      <c r="B12" s="39" t="s">
        <v>317</v>
      </c>
      <c r="C12" s="20"/>
      <c r="D12" s="100">
        <v>2589.58</v>
      </c>
      <c r="E12" s="39"/>
      <c r="F12" s="18"/>
      <c r="G12" s="20"/>
      <c r="H12" s="11"/>
      <c r="I12" s="18"/>
      <c r="J12" s="18"/>
      <c r="K12" s="18"/>
      <c r="L12" s="18"/>
    </row>
    <row r="13" spans="2:16">
      <c r="B13" s="39" t="s">
        <v>329</v>
      </c>
      <c r="C13" s="20">
        <v>0</v>
      </c>
      <c r="D13" s="11"/>
      <c r="E13" s="39"/>
      <c r="F13" s="18"/>
      <c r="G13" s="20"/>
      <c r="H13" s="11"/>
      <c r="I13" s="18"/>
      <c r="J13" s="18"/>
      <c r="K13" s="18"/>
      <c r="L13" s="18"/>
    </row>
    <row r="14" spans="2:16">
      <c r="B14" s="39" t="s">
        <v>330</v>
      </c>
      <c r="C14" s="20"/>
      <c r="D14" s="100">
        <v>67.5</v>
      </c>
      <c r="E14" s="39"/>
      <c r="F14" s="18"/>
      <c r="G14" s="20"/>
      <c r="H14" s="11"/>
      <c r="I14" s="18"/>
      <c r="J14" s="18"/>
      <c r="K14" s="18"/>
      <c r="L14" s="18"/>
    </row>
    <row r="15" spans="2:16">
      <c r="B15" s="39" t="s">
        <v>342</v>
      </c>
      <c r="C15" s="10">
        <v>2100</v>
      </c>
      <c r="D15" s="11"/>
      <c r="E15" s="39"/>
      <c r="F15" s="18"/>
      <c r="G15" s="20"/>
      <c r="H15" s="11"/>
      <c r="I15" s="18"/>
      <c r="J15" s="18"/>
      <c r="K15" s="18"/>
      <c r="L15" s="18"/>
    </row>
    <row r="16" spans="2:16">
      <c r="B16" s="39" t="s">
        <v>332</v>
      </c>
      <c r="C16" s="23">
        <v>311</v>
      </c>
      <c r="D16" s="11"/>
      <c r="E16" s="39"/>
      <c r="F16" s="18"/>
      <c r="G16" s="20"/>
      <c r="H16" s="11"/>
      <c r="I16" s="18"/>
      <c r="J16" s="18"/>
      <c r="K16" s="18"/>
      <c r="L16" s="18"/>
    </row>
    <row r="17" spans="2:24">
      <c r="B17" s="39" t="s">
        <v>339</v>
      </c>
      <c r="C17" s="1"/>
      <c r="D17" s="24">
        <v>165</v>
      </c>
      <c r="E17" s="39"/>
      <c r="F17" s="18"/>
      <c r="G17" s="20"/>
      <c r="H17" s="11"/>
      <c r="I17" s="18"/>
      <c r="J17" s="18"/>
      <c r="K17" s="18"/>
      <c r="L17" s="18"/>
    </row>
    <row r="18" spans="2:24">
      <c r="B18" s="39" t="s">
        <v>340</v>
      </c>
      <c r="C18" s="72"/>
      <c r="D18" s="24">
        <v>500</v>
      </c>
      <c r="G18" s="20"/>
      <c r="H18" s="11"/>
    </row>
    <row r="19" spans="2:24">
      <c r="B19" s="39" t="s">
        <v>341</v>
      </c>
      <c r="C19" s="1"/>
      <c r="D19" s="11">
        <v>1120</v>
      </c>
      <c r="E19" s="96"/>
      <c r="G19" s="20"/>
      <c r="H19" s="11"/>
    </row>
    <row r="20" spans="2:24">
      <c r="B20" s="39" t="s">
        <v>343</v>
      </c>
      <c r="C20" s="72">
        <v>2000</v>
      </c>
      <c r="D20" s="11"/>
      <c r="F20" t="s">
        <v>321</v>
      </c>
      <c r="G20" s="20"/>
      <c r="H20" s="19"/>
    </row>
    <row r="21" spans="2:24">
      <c r="B21" s="39"/>
      <c r="C21" s="1"/>
      <c r="D21" s="24">
        <v>4600</v>
      </c>
      <c r="G21" s="20"/>
      <c r="H21" s="19"/>
    </row>
    <row r="22" spans="2:24">
      <c r="B22" s="39"/>
      <c r="C22" s="1"/>
      <c r="D22" s="24">
        <v>200</v>
      </c>
      <c r="G22" s="20"/>
      <c r="H22" s="19"/>
    </row>
    <row r="23" spans="2:24">
      <c r="B23" s="39"/>
      <c r="C23" s="1"/>
      <c r="D23" s="24">
        <v>2500</v>
      </c>
      <c r="G23" s="20"/>
      <c r="H23" s="19"/>
    </row>
    <row r="24" spans="2:24">
      <c r="B24" s="39" t="s">
        <v>352</v>
      </c>
      <c r="C24" s="1"/>
      <c r="D24" s="100">
        <v>225</v>
      </c>
      <c r="G24" s="20"/>
      <c r="H24" s="19"/>
    </row>
    <row r="25" spans="2:24">
      <c r="B25" s="39"/>
      <c r="C25" s="1"/>
      <c r="D25" s="11"/>
      <c r="G25" s="20"/>
      <c r="H25" s="19"/>
    </row>
    <row r="26" spans="2:24">
      <c r="B26" s="39"/>
      <c r="C26" s="1"/>
      <c r="D26" s="11"/>
      <c r="G26" s="20"/>
      <c r="H26" s="19"/>
    </row>
    <row r="27" spans="2:24">
      <c r="B27" s="39"/>
      <c r="C27" s="1"/>
      <c r="D27" s="11"/>
      <c r="G27" s="20"/>
      <c r="H27" s="19"/>
    </row>
    <row r="28" spans="2:24">
      <c r="B28" t="s">
        <v>2</v>
      </c>
      <c r="C28" s="2">
        <f>SUM(C2:C27)</f>
        <v>21710.880000000001</v>
      </c>
      <c r="D28" s="2">
        <f>SUM(D3:D27)</f>
        <v>19986.23</v>
      </c>
      <c r="F28" t="s">
        <v>2</v>
      </c>
      <c r="G28" s="2">
        <f>SUM(G2:G18)</f>
        <v>11870.91</v>
      </c>
      <c r="H28" s="2">
        <f>SUM(H3:H19)</f>
        <v>10370.91</v>
      </c>
      <c r="J28" t="s">
        <v>2</v>
      </c>
      <c r="K28" s="2">
        <f>SUM(K1:K10)</f>
        <v>2767.9700000000003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2:24">
      <c r="D29" s="2">
        <f>C28-D28</f>
        <v>1724.6500000000015</v>
      </c>
      <c r="H29" s="2">
        <f>G28-H28</f>
        <v>1500</v>
      </c>
      <c r="L29" s="2">
        <f>K28-L28</f>
        <v>2767.9700000000003</v>
      </c>
      <c r="P29" s="2">
        <f>O28-P28</f>
        <v>0</v>
      </c>
    </row>
    <row r="31" spans="2:24">
      <c r="V31" s="102">
        <v>42600</v>
      </c>
    </row>
    <row r="32" spans="2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1:24">
      <c r="B33" t="s">
        <v>0</v>
      </c>
      <c r="C33" s="3">
        <v>0</v>
      </c>
      <c r="D33" s="4"/>
      <c r="F33" t="s">
        <v>0</v>
      </c>
      <c r="G33" s="3">
        <v>-1300.31</v>
      </c>
      <c r="H33" s="4"/>
      <c r="J33" t="s">
        <v>0</v>
      </c>
      <c r="K33" s="3">
        <v>-3237.81</v>
      </c>
      <c r="L33" s="4"/>
      <c r="M33" s="33"/>
      <c r="N33" t="s">
        <v>0</v>
      </c>
      <c r="O33" s="89">
        <v>0</v>
      </c>
      <c r="P33" s="90" t="s">
        <v>334</v>
      </c>
      <c r="S33" s="1">
        <v>-4998</v>
      </c>
      <c r="T33">
        <v>18</v>
      </c>
      <c r="U33" s="2">
        <f>S33/T33</f>
        <v>-277.66666666666669</v>
      </c>
      <c r="V33">
        <v>4</v>
      </c>
      <c r="W33" s="2">
        <f>U33*V33</f>
        <v>-1110.6666666666667</v>
      </c>
      <c r="X33" s="2">
        <f>S33-W33</f>
        <v>-3887.333333333333</v>
      </c>
    </row>
    <row r="34" spans="1:24">
      <c r="B34" s="39" t="s">
        <v>344</v>
      </c>
      <c r="C34" s="1">
        <v>200</v>
      </c>
      <c r="D34" s="1"/>
      <c r="G34" s="87"/>
      <c r="H34" s="88"/>
      <c r="K34" s="85"/>
      <c r="L34" s="86"/>
      <c r="M34" s="29"/>
      <c r="N34" s="39" t="s">
        <v>209</v>
      </c>
      <c r="O34" s="1"/>
      <c r="P34" s="11" t="s">
        <v>80</v>
      </c>
      <c r="Q34" s="93"/>
      <c r="S34" s="1">
        <v>-3144</v>
      </c>
      <c r="T34">
        <v>6</v>
      </c>
      <c r="U34" s="2">
        <f>S34/T34</f>
        <v>-524</v>
      </c>
      <c r="V34">
        <v>4</v>
      </c>
      <c r="W34" s="2">
        <f>U34*V34</f>
        <v>-2096</v>
      </c>
      <c r="X34" s="2">
        <f>S34-W34</f>
        <v>-1048</v>
      </c>
    </row>
    <row r="35" spans="1:24">
      <c r="B35" s="39" t="s">
        <v>106</v>
      </c>
      <c r="C35" s="1">
        <v>2500</v>
      </c>
      <c r="D35" s="11"/>
      <c r="F35" t="s">
        <v>169</v>
      </c>
      <c r="G35" s="23">
        <v>1300.31</v>
      </c>
      <c r="H35" s="11"/>
      <c r="J35" t="s">
        <v>315</v>
      </c>
      <c r="K35" s="1">
        <v>3033.16</v>
      </c>
      <c r="L35" s="11"/>
      <c r="N35" s="39" t="s">
        <v>210</v>
      </c>
      <c r="O35" s="1"/>
      <c r="P35" s="11">
        <v>524</v>
      </c>
      <c r="S35" s="1">
        <v>-18198.95</v>
      </c>
      <c r="T35">
        <v>6</v>
      </c>
      <c r="U35" s="2">
        <f>S35/T35</f>
        <v>-3033.1583333333333</v>
      </c>
      <c r="V35">
        <v>2</v>
      </c>
      <c r="W35" s="2">
        <f>U35*V35</f>
        <v>-6066.3166666666666</v>
      </c>
      <c r="X35" s="2">
        <f>S35-W35</f>
        <v>-12132.633333333335</v>
      </c>
    </row>
    <row r="36" spans="1:24">
      <c r="B36" s="39" t="s">
        <v>328</v>
      </c>
      <c r="C36" s="1"/>
      <c r="D36" s="11">
        <v>1000</v>
      </c>
      <c r="F36" s="12" t="s">
        <v>172</v>
      </c>
      <c r="G36" s="21"/>
      <c r="H36" s="11">
        <v>75</v>
      </c>
      <c r="J36" t="s">
        <v>94</v>
      </c>
      <c r="K36" s="1">
        <v>204.65</v>
      </c>
      <c r="L36" s="11"/>
      <c r="N36" s="39" t="s">
        <v>281</v>
      </c>
      <c r="O36" s="1"/>
      <c r="P36" s="11">
        <v>3033.16</v>
      </c>
      <c r="S36" s="1">
        <v>-7768.75</v>
      </c>
      <c r="T36">
        <v>3</v>
      </c>
      <c r="U36" s="2">
        <f>S36/T36</f>
        <v>-2589.5833333333335</v>
      </c>
      <c r="V36">
        <v>1</v>
      </c>
      <c r="W36" s="2">
        <f>U36*V36</f>
        <v>-2589.5833333333335</v>
      </c>
      <c r="X36" s="2">
        <f>S36-W36</f>
        <v>-5179.1666666666661</v>
      </c>
    </row>
    <row r="37" spans="1:24">
      <c r="A37" t="s">
        <v>276</v>
      </c>
      <c r="B37" s="39" t="s">
        <v>76</v>
      </c>
      <c r="C37" s="20"/>
      <c r="D37" s="11">
        <v>1000</v>
      </c>
      <c r="F37" t="s">
        <v>18</v>
      </c>
      <c r="G37" s="20"/>
      <c r="H37" s="11">
        <v>646</v>
      </c>
      <c r="K37" s="20"/>
      <c r="L37" s="11"/>
      <c r="N37" s="39" t="s">
        <v>331</v>
      </c>
      <c r="O37" s="60"/>
      <c r="P37" s="11">
        <v>2589.58</v>
      </c>
    </row>
    <row r="38" spans="1:24">
      <c r="B38" s="12" t="s">
        <v>48</v>
      </c>
      <c r="C38" s="20"/>
      <c r="D38" s="11">
        <v>200</v>
      </c>
      <c r="F38" t="s">
        <v>20</v>
      </c>
      <c r="G38" s="20"/>
      <c r="H38" s="11">
        <v>99</v>
      </c>
      <c r="J38" t="s">
        <v>314</v>
      </c>
      <c r="K38" s="1"/>
      <c r="L38" s="11">
        <v>3033.16</v>
      </c>
      <c r="M38" s="29"/>
      <c r="N38" s="39" t="s">
        <v>351</v>
      </c>
      <c r="O38" s="1">
        <v>2589.58</v>
      </c>
      <c r="P38" s="24"/>
      <c r="Q38" s="29"/>
      <c r="R38" t="s">
        <v>11</v>
      </c>
      <c r="S38" s="2">
        <f>SUM(S33:S36)</f>
        <v>-34109.699999999997</v>
      </c>
      <c r="X38" s="2">
        <f>SUM(X33:X36)</f>
        <v>-22247.133333333331</v>
      </c>
    </row>
    <row r="39" spans="1:24">
      <c r="B39" s="39" t="s">
        <v>345</v>
      </c>
      <c r="C39" s="20"/>
      <c r="D39" s="11">
        <v>400</v>
      </c>
      <c r="F39" t="s">
        <v>347</v>
      </c>
      <c r="G39" s="13"/>
      <c r="H39" s="14">
        <v>2240.2600000000002</v>
      </c>
      <c r="J39" t="s">
        <v>259</v>
      </c>
      <c r="K39" s="1"/>
      <c r="L39" s="11">
        <v>199.5</v>
      </c>
      <c r="M39" s="29"/>
      <c r="N39" s="39" t="s">
        <v>354</v>
      </c>
      <c r="O39" s="60"/>
      <c r="P39" s="11">
        <v>1014.99</v>
      </c>
      <c r="Q39" s="29"/>
    </row>
    <row r="40" spans="1:24">
      <c r="B40" s="12"/>
      <c r="C40" s="20"/>
      <c r="D40" s="11"/>
      <c r="F40" t="s">
        <v>349</v>
      </c>
      <c r="G40" s="1">
        <v>1279.6300000000001</v>
      </c>
      <c r="H40" s="11"/>
      <c r="J40" t="s">
        <v>229</v>
      </c>
      <c r="L40" s="11">
        <v>25.9</v>
      </c>
      <c r="N40" s="39" t="s">
        <v>355</v>
      </c>
      <c r="O40" s="1">
        <v>1015</v>
      </c>
      <c r="P40" s="11"/>
    </row>
    <row r="41" spans="1:24">
      <c r="B41" s="12"/>
      <c r="C41" s="20"/>
      <c r="D41" s="11"/>
      <c r="F41" t="s">
        <v>353</v>
      </c>
      <c r="G41" s="13"/>
      <c r="H41" s="14">
        <v>202.43</v>
      </c>
      <c r="J41" t="s">
        <v>348</v>
      </c>
      <c r="L41" s="11">
        <v>153</v>
      </c>
      <c r="O41" s="19"/>
      <c r="P41" s="11" t="s">
        <v>80</v>
      </c>
      <c r="S41" s="2"/>
    </row>
    <row r="42" spans="1:24">
      <c r="B42" s="12"/>
      <c r="C42" s="20"/>
      <c r="D42" s="11"/>
      <c r="G42" s="13"/>
      <c r="H42" s="14"/>
      <c r="J42" t="s">
        <v>172</v>
      </c>
      <c r="L42" s="11">
        <v>55</v>
      </c>
      <c r="O42" s="19"/>
      <c r="P42" s="11"/>
      <c r="S42" s="2"/>
    </row>
    <row r="43" spans="1:24">
      <c r="B43" s="12"/>
      <c r="C43" s="20"/>
      <c r="D43" s="11"/>
      <c r="G43" s="13"/>
      <c r="H43" s="14"/>
      <c r="L43" s="11"/>
      <c r="O43" s="19"/>
      <c r="P43" s="11"/>
      <c r="S43" s="2"/>
    </row>
    <row r="44" spans="1:24">
      <c r="B44" s="12"/>
      <c r="C44" s="20"/>
      <c r="D44" s="11"/>
      <c r="G44" s="13"/>
      <c r="H44" s="14"/>
      <c r="L44" s="11"/>
      <c r="O44" s="19"/>
      <c r="P44" s="11"/>
      <c r="S44" s="2"/>
    </row>
    <row r="45" spans="1:24">
      <c r="B45" s="12"/>
      <c r="C45" s="20"/>
      <c r="D45" s="11"/>
      <c r="G45" s="13"/>
      <c r="H45" s="14"/>
      <c r="L45" s="11"/>
      <c r="N45" s="44"/>
      <c r="O45" s="44"/>
      <c r="P45" s="92"/>
      <c r="S45" s="2"/>
    </row>
    <row r="46" spans="1:24">
      <c r="B46" s="12"/>
      <c r="C46" s="20"/>
      <c r="D46" s="11"/>
      <c r="G46" s="1"/>
      <c r="H46" s="11"/>
      <c r="L46" s="11"/>
      <c r="M46" t="s">
        <v>286</v>
      </c>
    </row>
    <row r="47" spans="1:24">
      <c r="B47" s="12"/>
      <c r="C47" s="20"/>
      <c r="D47" s="11"/>
      <c r="G47" s="12"/>
      <c r="H47" s="14"/>
      <c r="L47" s="11"/>
      <c r="M47" s="33"/>
    </row>
    <row r="48" spans="1:24">
      <c r="B48" s="12"/>
      <c r="C48" s="1"/>
      <c r="D48" s="11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2700</v>
      </c>
      <c r="D51" s="2">
        <f>SUM(D35:D50)</f>
        <v>2600</v>
      </c>
      <c r="F51" t="s">
        <v>2</v>
      </c>
      <c r="G51" s="2">
        <f>SUM(G33:G48)</f>
        <v>1279.6300000000001</v>
      </c>
      <c r="H51" s="2">
        <f>SUM(H33:H49)</f>
        <v>3262.69</v>
      </c>
      <c r="J51" t="s">
        <v>2</v>
      </c>
      <c r="K51" s="2">
        <f>SUM(K33:K48)</f>
        <v>0</v>
      </c>
      <c r="L51" s="2">
        <f>SUM(L33:L49)</f>
        <v>3466.56</v>
      </c>
      <c r="N51" t="s">
        <v>2</v>
      </c>
      <c r="O51" s="2">
        <f>SUM(O33:O39)</f>
        <v>2589.58</v>
      </c>
      <c r="P51" s="2">
        <f>SUM(P33:P41)</f>
        <v>7161.73</v>
      </c>
    </row>
    <row r="52" spans="2:28">
      <c r="D52" s="2">
        <f>C51-D51</f>
        <v>100</v>
      </c>
      <c r="H52" s="2">
        <f>G51-H51</f>
        <v>-1983.06</v>
      </c>
      <c r="L52" s="2">
        <f>K51-L51</f>
        <v>-3466.56</v>
      </c>
      <c r="P52" s="2">
        <f>O51-P51</f>
        <v>-4572.1499999999996</v>
      </c>
      <c r="R52" s="2"/>
      <c r="AA52" t="s">
        <v>239</v>
      </c>
      <c r="AB52" s="1">
        <v>10261.049999999999</v>
      </c>
    </row>
    <row r="53" spans="2:28">
      <c r="AA53" t="s">
        <v>240</v>
      </c>
      <c r="AB53" s="1">
        <v>7081.32</v>
      </c>
    </row>
    <row r="54" spans="2:28">
      <c r="B54" t="s">
        <v>282</v>
      </c>
      <c r="L54">
        <v>3033.16</v>
      </c>
      <c r="P54">
        <f>3033.16+2589.58</f>
        <v>5622.74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-1983.06</v>
      </c>
      <c r="L55" s="2">
        <f>L52+L54</f>
        <v>-433.40000000000009</v>
      </c>
      <c r="P55" s="2">
        <f>-6424.41+P54</f>
        <v>-801.67000000000007</v>
      </c>
      <c r="V55" t="s">
        <v>114</v>
      </c>
      <c r="W55" t="s">
        <v>115</v>
      </c>
      <c r="X55" t="s">
        <v>116</v>
      </c>
      <c r="AA55" t="s">
        <v>242</v>
      </c>
      <c r="AB55" s="2">
        <f>AB54/2</f>
        <v>1589.8649999999998</v>
      </c>
    </row>
    <row r="57" spans="2:28">
      <c r="D57" t="s">
        <v>138</v>
      </c>
      <c r="E57" s="34" t="s">
        <v>120</v>
      </c>
      <c r="F57" s="41"/>
      <c r="G57" s="41"/>
      <c r="H57" s="51"/>
      <c r="I57" s="41"/>
      <c r="J57" s="41"/>
      <c r="K57" s="41"/>
      <c r="L57" s="51"/>
      <c r="M57" s="41"/>
      <c r="N57" s="41"/>
      <c r="O57" s="41"/>
      <c r="P57" s="53"/>
      <c r="S57" s="1">
        <f>ABS(H55+L55+P55)</f>
        <v>3218.13</v>
      </c>
      <c r="T57" t="s">
        <v>98</v>
      </c>
      <c r="V57" s="1">
        <f>Z59-Z60</f>
        <v>718.67999999999984</v>
      </c>
      <c r="W57" s="2">
        <f>S57-V57</f>
        <v>2499.4500000000003</v>
      </c>
      <c r="X57" s="2">
        <f>W57/2</f>
        <v>1249.7250000000001</v>
      </c>
    </row>
    <row r="58" spans="2:28">
      <c r="E58" s="36" t="s">
        <v>121</v>
      </c>
      <c r="F58" s="22"/>
      <c r="G58" s="22"/>
      <c r="H58" s="43"/>
      <c r="I58" s="22"/>
      <c r="J58" s="22"/>
      <c r="K58" s="22"/>
      <c r="L58" s="43"/>
      <c r="M58" s="22"/>
      <c r="N58" s="22"/>
      <c r="O58" s="22"/>
      <c r="P58" s="43"/>
      <c r="S58" s="1"/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/>
      <c r="I59" s="44"/>
      <c r="J59" s="44"/>
      <c r="K59" s="44"/>
      <c r="L59" s="45"/>
      <c r="M59" s="44"/>
      <c r="N59" s="44"/>
      <c r="O59" s="44"/>
      <c r="P59" s="45"/>
      <c r="W59" t="s">
        <v>117</v>
      </c>
      <c r="X59" s="2">
        <f>ABS(X57)</f>
        <v>1249.7250000000001</v>
      </c>
      <c r="Z59" s="1">
        <v>3900</v>
      </c>
      <c r="AA59" s="2">
        <f>X59+Z59</f>
        <v>5149.7250000000004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118</v>
      </c>
      <c r="X60" s="1">
        <f>V57+ABS(X57)</f>
        <v>1968.405</v>
      </c>
      <c r="Z60" s="1">
        <v>3181.32</v>
      </c>
      <c r="AA60" s="2">
        <f>X60+Z60</f>
        <v>5149.7250000000004</v>
      </c>
    </row>
    <row r="61" spans="2:28">
      <c r="D61" t="s">
        <v>139</v>
      </c>
      <c r="H61" s="2"/>
      <c r="L61" s="2"/>
      <c r="P61" s="2"/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>
        <f>IF(H63=0,H61-H62,)</f>
        <v>0</v>
      </c>
      <c r="I64" s="44"/>
      <c r="J64" s="44"/>
      <c r="K64" s="44"/>
      <c r="L64" s="45">
        <f>IF(L63=0,L61-L62,0)</f>
        <v>0</v>
      </c>
      <c r="M64" s="44"/>
      <c r="N64" s="44"/>
      <c r="O64" s="44"/>
      <c r="P64" s="45">
        <f>IF(P63=0,P61-P62,)</f>
        <v>0</v>
      </c>
      <c r="X64" s="1"/>
    </row>
    <row r="65" spans="12:24">
      <c r="L65" s="60"/>
      <c r="P65" s="27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99" priority="3" operator="lessThan">
      <formula>0</formula>
    </cfRule>
    <cfRule type="cellIs" dxfId="98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AB65"/>
  <sheetViews>
    <sheetView workbookViewId="0">
      <selection activeCell="B5" sqref="B5:D5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8" max="28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/>
      <c r="P1" s="218"/>
    </row>
    <row r="2" spans="1:16">
      <c r="B2" s="18" t="s">
        <v>0</v>
      </c>
      <c r="C2" s="94">
        <v>0</v>
      </c>
      <c r="D2" s="74"/>
      <c r="E2" s="18"/>
      <c r="F2" s="18" t="s">
        <v>0</v>
      </c>
      <c r="G2" s="75">
        <v>1500.01</v>
      </c>
      <c r="H2" s="74"/>
      <c r="I2" s="18"/>
      <c r="J2" s="18" t="s">
        <v>0</v>
      </c>
      <c r="K2" s="73">
        <v>0</v>
      </c>
      <c r="L2" s="74"/>
      <c r="N2" s="18"/>
      <c r="O2" s="73"/>
      <c r="P2" s="97"/>
    </row>
    <row r="3" spans="1:16">
      <c r="B3" s="18" t="s">
        <v>39</v>
      </c>
      <c r="C3" s="20">
        <v>600.64</v>
      </c>
      <c r="D3" s="11"/>
      <c r="E3" s="76"/>
      <c r="F3" s="18" t="s">
        <v>230</v>
      </c>
      <c r="G3" s="23">
        <v>3033.16</v>
      </c>
      <c r="H3" s="11"/>
      <c r="I3" s="18"/>
      <c r="J3" s="18" t="s">
        <v>10</v>
      </c>
      <c r="K3" s="20">
        <v>0</v>
      </c>
      <c r="L3" s="77"/>
      <c r="N3" s="18"/>
      <c r="O3" s="20"/>
      <c r="P3" s="11"/>
    </row>
    <row r="4" spans="1:16">
      <c r="B4" s="18" t="s">
        <v>40</v>
      </c>
      <c r="C4" s="20">
        <v>15695.72</v>
      </c>
      <c r="D4" s="11"/>
      <c r="E4" s="18"/>
      <c r="F4" s="18" t="s">
        <v>222</v>
      </c>
      <c r="G4" s="23">
        <v>802</v>
      </c>
      <c r="H4" s="11"/>
      <c r="I4" s="18"/>
      <c r="J4" s="18" t="s">
        <v>201</v>
      </c>
      <c r="K4" s="20">
        <v>3000</v>
      </c>
      <c r="L4" s="77"/>
      <c r="N4" s="18"/>
      <c r="O4" s="20"/>
      <c r="P4" s="11"/>
    </row>
    <row r="5" spans="1:16">
      <c r="B5" s="18" t="s">
        <v>357</v>
      </c>
      <c r="C5" s="20"/>
      <c r="D5" s="24">
        <v>3033.16</v>
      </c>
      <c r="E5" s="18"/>
      <c r="F5" s="18" t="s">
        <v>366</v>
      </c>
      <c r="G5" s="20"/>
      <c r="H5" s="11">
        <v>3033.16</v>
      </c>
      <c r="I5" s="18"/>
      <c r="J5" s="18"/>
      <c r="K5" s="20"/>
      <c r="L5" s="11"/>
      <c r="N5" s="18"/>
      <c r="O5" s="20"/>
      <c r="P5" s="11"/>
    </row>
    <row r="6" spans="1:16">
      <c r="B6" s="39"/>
      <c r="C6" s="20"/>
      <c r="D6" s="11"/>
      <c r="E6" s="18"/>
      <c r="F6" s="18" t="s">
        <v>94</v>
      </c>
      <c r="G6" s="20"/>
      <c r="H6" s="11">
        <v>802</v>
      </c>
      <c r="I6" s="18"/>
      <c r="J6" s="18"/>
      <c r="K6" s="20"/>
      <c r="L6" s="77"/>
      <c r="N6" s="18"/>
      <c r="O6" s="20"/>
      <c r="P6" s="11"/>
    </row>
    <row r="7" spans="1:16">
      <c r="B7" s="39" t="s">
        <v>358</v>
      </c>
      <c r="C7" s="20"/>
      <c r="D7" s="24">
        <v>3900</v>
      </c>
      <c r="E7" s="76"/>
      <c r="F7" s="18" t="s">
        <v>367</v>
      </c>
      <c r="G7" s="20"/>
      <c r="H7" s="11">
        <v>1000</v>
      </c>
      <c r="I7" s="18"/>
      <c r="J7" s="18"/>
      <c r="K7" s="20"/>
      <c r="L7" s="77"/>
      <c r="N7" s="18"/>
      <c r="O7" s="20"/>
      <c r="P7" s="77"/>
    </row>
    <row r="8" spans="1:16">
      <c r="B8" s="39" t="s">
        <v>76</v>
      </c>
      <c r="C8" s="20"/>
      <c r="D8" s="24">
        <v>1500</v>
      </c>
      <c r="E8" s="18"/>
      <c r="F8" s="39"/>
      <c r="G8" s="20"/>
      <c r="H8" s="11"/>
      <c r="I8" s="18"/>
      <c r="J8" s="18"/>
      <c r="K8" s="20"/>
      <c r="L8" s="39"/>
      <c r="N8" s="18"/>
      <c r="O8" s="20"/>
      <c r="P8" s="39"/>
    </row>
    <row r="9" spans="1:16">
      <c r="B9" s="64" t="s">
        <v>201</v>
      </c>
      <c r="C9" s="20"/>
      <c r="D9" s="24">
        <v>3000.63</v>
      </c>
      <c r="E9" s="18"/>
      <c r="F9" s="18"/>
      <c r="G9" s="20"/>
      <c r="H9" s="11"/>
      <c r="I9" s="18"/>
      <c r="J9" s="18"/>
      <c r="K9" s="18"/>
      <c r="L9" s="18"/>
      <c r="N9" s="18"/>
      <c r="O9" s="18"/>
      <c r="P9" s="18"/>
    </row>
    <row r="10" spans="1:16">
      <c r="B10" s="66" t="s">
        <v>359</v>
      </c>
      <c r="C10" s="23">
        <v>139.4</v>
      </c>
      <c r="D10" s="11"/>
      <c r="E10" s="76"/>
      <c r="F10" s="18"/>
      <c r="G10" s="20"/>
      <c r="H10" s="11"/>
      <c r="I10" s="18"/>
      <c r="J10" s="18"/>
      <c r="K10" s="18"/>
      <c r="L10" s="18"/>
      <c r="N10" s="18"/>
      <c r="O10" s="18"/>
      <c r="P10" s="18"/>
    </row>
    <row r="11" spans="1:16">
      <c r="A11" t="s">
        <v>361</v>
      </c>
      <c r="B11" s="104" t="s">
        <v>230</v>
      </c>
      <c r="C11" s="105"/>
      <c r="D11" s="58">
        <v>802</v>
      </c>
      <c r="E11" s="39"/>
      <c r="F11" s="91"/>
      <c r="G11" s="20"/>
      <c r="H11" s="11"/>
      <c r="I11" s="18"/>
      <c r="J11" s="18"/>
      <c r="K11" s="18"/>
      <c r="L11" s="18"/>
    </row>
    <row r="12" spans="1:16">
      <c r="B12" s="67" t="s">
        <v>360</v>
      </c>
      <c r="C12" s="106"/>
      <c r="D12" s="61">
        <v>525</v>
      </c>
      <c r="E12" s="39"/>
      <c r="F12" s="18"/>
      <c r="G12" s="20"/>
      <c r="H12" s="11"/>
      <c r="I12" s="18"/>
      <c r="J12" s="18"/>
      <c r="K12" s="18"/>
      <c r="L12" s="18"/>
    </row>
    <row r="13" spans="1:16">
      <c r="B13" s="39" t="s">
        <v>362</v>
      </c>
      <c r="C13" s="20"/>
      <c r="D13" s="11">
        <v>1500</v>
      </c>
      <c r="E13" s="39"/>
      <c r="F13" s="18"/>
      <c r="G13" s="20"/>
      <c r="H13" s="11"/>
      <c r="I13" s="18"/>
      <c r="J13" s="18"/>
      <c r="K13" s="18"/>
      <c r="L13" s="18"/>
    </row>
    <row r="14" spans="1:16">
      <c r="B14" s="39" t="s">
        <v>363</v>
      </c>
      <c r="C14" s="20">
        <v>43</v>
      </c>
      <c r="D14" s="11"/>
      <c r="E14" s="39"/>
      <c r="F14" s="18"/>
      <c r="G14" s="20"/>
      <c r="H14" s="11"/>
      <c r="I14" s="18"/>
      <c r="J14" s="18"/>
      <c r="K14" s="18"/>
      <c r="L14" s="18"/>
    </row>
    <row r="15" spans="1:16">
      <c r="B15" s="39" t="s">
        <v>364</v>
      </c>
      <c r="C15" s="20"/>
      <c r="D15" s="11">
        <v>245</v>
      </c>
      <c r="E15" s="39"/>
      <c r="F15" s="18"/>
      <c r="G15" s="20"/>
      <c r="H15" s="11"/>
      <c r="I15" s="18"/>
      <c r="J15" s="18"/>
      <c r="K15" s="18"/>
      <c r="L15" s="18"/>
    </row>
    <row r="16" spans="1:16">
      <c r="B16" s="39" t="s">
        <v>365</v>
      </c>
      <c r="C16" s="20"/>
      <c r="D16" s="11">
        <v>630</v>
      </c>
      <c r="E16" s="39"/>
      <c r="F16" s="18"/>
      <c r="G16" s="20"/>
      <c r="H16" s="11"/>
      <c r="I16" s="18"/>
      <c r="J16" s="18"/>
      <c r="K16" s="18"/>
      <c r="L16" s="18"/>
    </row>
    <row r="17" spans="2:24">
      <c r="B17" s="39"/>
      <c r="C17" s="20"/>
      <c r="D17" s="11"/>
      <c r="E17" s="39"/>
      <c r="F17" s="18"/>
      <c r="G17" s="20"/>
      <c r="H17" s="11"/>
      <c r="I17" s="18"/>
      <c r="J17" s="18"/>
      <c r="K17" s="18"/>
      <c r="L17" s="18"/>
    </row>
    <row r="18" spans="2:24">
      <c r="B18" s="39"/>
      <c r="C18" s="20"/>
      <c r="D18" s="11"/>
      <c r="G18" s="20"/>
      <c r="H18" s="11"/>
    </row>
    <row r="19" spans="2:24">
      <c r="B19" s="39"/>
      <c r="C19" s="20"/>
      <c r="D19" s="11"/>
      <c r="E19" s="96"/>
      <c r="G19" s="20"/>
      <c r="H19" s="11"/>
    </row>
    <row r="20" spans="2:24">
      <c r="B20" s="39"/>
      <c r="C20" s="20"/>
      <c r="D20" s="11"/>
      <c r="G20" s="20"/>
      <c r="H20" s="19"/>
    </row>
    <row r="21" spans="2:24">
      <c r="B21" s="39"/>
      <c r="C21" s="20"/>
      <c r="D21" s="11"/>
      <c r="G21" s="20"/>
      <c r="H21" s="19"/>
    </row>
    <row r="22" spans="2:24">
      <c r="B22" s="39"/>
      <c r="C22" s="20"/>
      <c r="D22" s="11"/>
      <c r="G22" s="20"/>
      <c r="H22" s="19"/>
    </row>
    <row r="23" spans="2:24">
      <c r="B23" s="39"/>
      <c r="C23" s="20"/>
      <c r="D23" s="11"/>
      <c r="G23" s="20"/>
      <c r="H23" s="19"/>
    </row>
    <row r="24" spans="2:24">
      <c r="B24" s="39"/>
      <c r="C24" s="20"/>
      <c r="D24" s="11"/>
      <c r="G24" s="20"/>
      <c r="H24" s="19"/>
    </row>
    <row r="25" spans="2:24">
      <c r="B25" s="39"/>
      <c r="C25" s="1"/>
      <c r="D25" s="11"/>
      <c r="G25" s="20"/>
      <c r="H25" s="19"/>
    </row>
    <row r="26" spans="2:24">
      <c r="B26" s="39"/>
      <c r="C26" s="1"/>
      <c r="D26" s="11"/>
      <c r="G26" s="20"/>
      <c r="H26" s="19"/>
    </row>
    <row r="27" spans="2:24">
      <c r="B27" s="39"/>
      <c r="C27" s="1"/>
      <c r="D27" s="11"/>
      <c r="G27" s="20"/>
      <c r="H27" s="19"/>
    </row>
    <row r="28" spans="2:24">
      <c r="B28" t="s">
        <v>2</v>
      </c>
      <c r="C28" s="2">
        <f>SUM(C2:C27)</f>
        <v>16478.759999999998</v>
      </c>
      <c r="D28" s="2">
        <f>SUM(D3:D27)</f>
        <v>15135.79</v>
      </c>
      <c r="F28" t="s">
        <v>2</v>
      </c>
      <c r="G28" s="2">
        <f>SUM(G2:G18)</f>
        <v>5335.17</v>
      </c>
      <c r="H28" s="2">
        <f>SUM(H3:H19)</f>
        <v>4835.16</v>
      </c>
      <c r="J28" t="s">
        <v>2</v>
      </c>
      <c r="K28" s="2">
        <f>SUM(K1:K10)</f>
        <v>3000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2:24">
      <c r="D29" s="2">
        <f>C28-D28</f>
        <v>1342.9699999999975</v>
      </c>
      <c r="H29" s="2">
        <f>G28-H28</f>
        <v>500.01000000000022</v>
      </c>
      <c r="L29" s="2">
        <f>K28-L28</f>
        <v>3000</v>
      </c>
      <c r="P29" s="2">
        <f>O28-P28</f>
        <v>0</v>
      </c>
    </row>
    <row r="31" spans="2:24">
      <c r="V31" s="102">
        <v>42600</v>
      </c>
    </row>
    <row r="32" spans="2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1:24">
      <c r="B33" t="s">
        <v>0</v>
      </c>
      <c r="C33" s="3">
        <v>0</v>
      </c>
      <c r="D33" s="4"/>
      <c r="F33" t="s">
        <v>0</v>
      </c>
      <c r="G33" s="3">
        <v>-2136.7600000000002</v>
      </c>
      <c r="H33" s="4"/>
      <c r="J33" t="s">
        <v>0</v>
      </c>
      <c r="K33" s="3">
        <v>-233.9</v>
      </c>
      <c r="L33" s="4"/>
      <c r="M33" s="33"/>
      <c r="N33" t="s">
        <v>0</v>
      </c>
      <c r="O33" s="3">
        <v>-6424.43</v>
      </c>
      <c r="P33" s="4"/>
      <c r="S33" s="1">
        <v>-4998</v>
      </c>
      <c r="T33">
        <v>18</v>
      </c>
      <c r="U33" s="2">
        <f>S33/T33</f>
        <v>-277.66666666666669</v>
      </c>
      <c r="V33">
        <v>4</v>
      </c>
      <c r="W33" s="2">
        <f>U33*V33</f>
        <v>-1110.6666666666667</v>
      </c>
      <c r="X33" s="2">
        <f>S33-W33</f>
        <v>-3887.333333333333</v>
      </c>
    </row>
    <row r="34" spans="1:24">
      <c r="B34" s="39"/>
      <c r="C34" s="1"/>
      <c r="D34" s="1"/>
      <c r="G34" s="87"/>
      <c r="H34" s="88"/>
      <c r="K34" s="85"/>
      <c r="L34" s="86"/>
      <c r="M34" s="29"/>
      <c r="O34" s="85"/>
      <c r="P34" s="86"/>
      <c r="Q34" s="93"/>
      <c r="S34" s="1">
        <v>-3144</v>
      </c>
      <c r="T34">
        <v>6</v>
      </c>
      <c r="U34" s="2">
        <f>S34/T34</f>
        <v>-524</v>
      </c>
      <c r="V34">
        <v>4</v>
      </c>
      <c r="W34" s="2">
        <f>U34*V34</f>
        <v>-2096</v>
      </c>
      <c r="X34" s="2">
        <f>S34-W34</f>
        <v>-1048</v>
      </c>
    </row>
    <row r="35" spans="1:24">
      <c r="B35" s="39"/>
      <c r="C35" s="1"/>
      <c r="D35" s="11"/>
      <c r="F35" t="s">
        <v>94</v>
      </c>
      <c r="G35" s="20">
        <v>525</v>
      </c>
      <c r="H35" s="11"/>
      <c r="J35" t="s">
        <v>281</v>
      </c>
      <c r="K35" s="1"/>
      <c r="L35" s="11">
        <v>3033.16</v>
      </c>
      <c r="N35" t="s">
        <v>351</v>
      </c>
      <c r="O35" s="60">
        <v>2589.58</v>
      </c>
      <c r="P35" s="11"/>
      <c r="S35" s="1">
        <v>-18198.95</v>
      </c>
      <c r="T35">
        <v>6</v>
      </c>
      <c r="U35" s="2">
        <f>S35/T35</f>
        <v>-3033.1583333333333</v>
      </c>
      <c r="V35">
        <v>2</v>
      </c>
      <c r="W35" s="2">
        <f>U35*V35</f>
        <v>-6066.3166666666666</v>
      </c>
      <c r="X35" s="2">
        <f>S35-W35</f>
        <v>-12132.633333333335</v>
      </c>
    </row>
    <row r="36" spans="1:24">
      <c r="B36" s="39"/>
      <c r="C36" s="1"/>
      <c r="D36" s="11"/>
      <c r="F36" s="12"/>
      <c r="G36" s="20"/>
      <c r="H36" s="11"/>
      <c r="J36" t="s">
        <v>65</v>
      </c>
      <c r="K36" s="1"/>
      <c r="L36" s="11">
        <v>199.5</v>
      </c>
      <c r="N36" t="s">
        <v>86</v>
      </c>
      <c r="O36" s="1"/>
      <c r="P36" s="24">
        <v>1014.74</v>
      </c>
      <c r="S36" s="1">
        <v>-7768.75</v>
      </c>
      <c r="T36">
        <v>3</v>
      </c>
      <c r="U36" s="2">
        <f>S36/T36</f>
        <v>-2589.5833333333335</v>
      </c>
      <c r="V36">
        <v>1</v>
      </c>
      <c r="W36" s="2">
        <f>U36*V36</f>
        <v>-2589.5833333333335</v>
      </c>
      <c r="X36" s="2">
        <f>S36-W36</f>
        <v>-5179.1666666666661</v>
      </c>
    </row>
    <row r="37" spans="1:24">
      <c r="A37" t="s">
        <v>276</v>
      </c>
      <c r="B37" s="39"/>
      <c r="C37" s="20"/>
      <c r="D37" s="11"/>
      <c r="G37" s="20"/>
      <c r="H37" s="11"/>
      <c r="K37" s="20"/>
      <c r="L37" s="11"/>
      <c r="N37" t="s">
        <v>356</v>
      </c>
      <c r="O37" s="60">
        <v>1015</v>
      </c>
      <c r="P37" s="11"/>
    </row>
    <row r="38" spans="1:24">
      <c r="B38" s="12"/>
      <c r="C38" s="20"/>
      <c r="D38" s="11"/>
      <c r="G38" s="20"/>
      <c r="H38" s="11"/>
      <c r="K38" s="1"/>
      <c r="L38" s="11"/>
      <c r="M38" s="29"/>
      <c r="N38" t="s">
        <v>284</v>
      </c>
      <c r="O38" s="60">
        <v>3033.16</v>
      </c>
      <c r="P38" s="11"/>
      <c r="Q38" s="29"/>
      <c r="R38" t="s">
        <v>11</v>
      </c>
      <c r="S38" s="2">
        <f>SUM(S33:S36)</f>
        <v>-34109.699999999997</v>
      </c>
      <c r="X38" s="2">
        <f>SUM(X33:X36)</f>
        <v>-22247.133333333331</v>
      </c>
    </row>
    <row r="39" spans="1:24">
      <c r="B39" s="39"/>
      <c r="C39" s="20"/>
      <c r="D39" s="11"/>
      <c r="G39" s="20"/>
      <c r="H39" s="14"/>
      <c r="K39" s="1"/>
      <c r="L39" s="11"/>
      <c r="M39" s="29"/>
      <c r="N39" s="39" t="s">
        <v>94</v>
      </c>
      <c r="O39" s="60">
        <v>802</v>
      </c>
      <c r="P39" s="11"/>
      <c r="Q39" s="29"/>
    </row>
    <row r="40" spans="1:24">
      <c r="B40" s="12"/>
      <c r="C40" s="20"/>
      <c r="D40" s="11"/>
      <c r="G40" s="20"/>
      <c r="H40" s="11"/>
      <c r="L40" s="11"/>
      <c r="N40" s="39"/>
      <c r="O40" s="1"/>
      <c r="P40" s="11"/>
    </row>
    <row r="41" spans="1:24">
      <c r="B41" s="12"/>
      <c r="C41" s="20"/>
      <c r="D41" s="11"/>
      <c r="G41" s="20"/>
      <c r="H41" s="14"/>
      <c r="L41" s="11"/>
      <c r="O41" s="19"/>
      <c r="P41" s="11" t="s">
        <v>80</v>
      </c>
      <c r="S41" s="2"/>
    </row>
    <row r="42" spans="1:24">
      <c r="B42" s="12"/>
      <c r="C42" s="20"/>
      <c r="D42" s="11"/>
      <c r="G42" s="20"/>
      <c r="H42" s="14"/>
      <c r="L42" s="11"/>
      <c r="O42" s="19"/>
      <c r="P42" s="11"/>
      <c r="S42" s="2"/>
    </row>
    <row r="43" spans="1:24">
      <c r="B43" s="12"/>
      <c r="C43" s="20"/>
      <c r="D43" s="11"/>
      <c r="G43" s="20"/>
      <c r="H43" s="14"/>
      <c r="L43" s="11"/>
      <c r="O43" s="19"/>
      <c r="P43" s="11"/>
      <c r="S43" s="2"/>
    </row>
    <row r="44" spans="1:24">
      <c r="B44" s="12"/>
      <c r="C44" s="20"/>
      <c r="D44" s="11"/>
      <c r="G44" s="20"/>
      <c r="H44" s="14"/>
      <c r="L44" s="11"/>
      <c r="O44" s="19"/>
      <c r="P44" s="11"/>
      <c r="S44" s="2"/>
    </row>
    <row r="45" spans="1:24">
      <c r="B45" s="12"/>
      <c r="C45" s="20"/>
      <c r="D45" s="11"/>
      <c r="G45" s="20"/>
      <c r="H45" s="14"/>
      <c r="L45" s="11"/>
      <c r="N45" s="44"/>
      <c r="O45" s="44"/>
      <c r="P45" s="92"/>
      <c r="S45" s="2"/>
    </row>
    <row r="46" spans="1:24">
      <c r="B46" s="12"/>
      <c r="C46" s="20"/>
      <c r="D46" s="11"/>
      <c r="G46" s="20"/>
      <c r="H46" s="11"/>
      <c r="L46" s="11"/>
      <c r="M46" t="s">
        <v>286</v>
      </c>
    </row>
    <row r="47" spans="1:24">
      <c r="B47" s="12"/>
      <c r="C47" s="20"/>
      <c r="D47" s="11"/>
      <c r="G47" s="20"/>
      <c r="H47" s="14"/>
      <c r="L47" s="11"/>
      <c r="M47" s="33"/>
    </row>
    <row r="48" spans="1:24">
      <c r="B48" s="12"/>
      <c r="C48" s="1"/>
      <c r="D48" s="11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0</v>
      </c>
      <c r="D51" s="2">
        <f>SUM(D35:D50)</f>
        <v>0</v>
      </c>
      <c r="F51" t="s">
        <v>2</v>
      </c>
      <c r="G51" s="2">
        <f>SUM(G33:G48)</f>
        <v>-1611.7600000000002</v>
      </c>
      <c r="H51" s="2">
        <f>SUM(H33:H49)</f>
        <v>0</v>
      </c>
      <c r="J51" t="s">
        <v>2</v>
      </c>
      <c r="K51" s="2">
        <f>SUM(K33:K48)</f>
        <v>-233.9</v>
      </c>
      <c r="L51" s="2">
        <f>SUM(L33:L49)</f>
        <v>3232.66</v>
      </c>
      <c r="N51" t="s">
        <v>2</v>
      </c>
      <c r="O51" s="2">
        <f>SUM(O33:O39)</f>
        <v>1015.3099999999995</v>
      </c>
      <c r="P51" s="2">
        <f>SUM(P33:P41)</f>
        <v>1014.74</v>
      </c>
    </row>
    <row r="52" spans="2:28">
      <c r="D52" s="2">
        <f>C51-D51</f>
        <v>0</v>
      </c>
      <c r="H52" s="2">
        <f>G51-H51</f>
        <v>-1611.7600000000002</v>
      </c>
      <c r="L52" s="2">
        <f>K51-L51</f>
        <v>-3466.56</v>
      </c>
      <c r="P52" s="2">
        <f>O51-P51</f>
        <v>0.56999999999948159</v>
      </c>
      <c r="R52" s="2"/>
      <c r="AA52" t="s">
        <v>239</v>
      </c>
      <c r="AB52" s="1">
        <v>10261.049999999999</v>
      </c>
    </row>
    <row r="53" spans="2:28">
      <c r="AA53" t="s">
        <v>240</v>
      </c>
      <c r="AB53" s="1">
        <v>7081.32</v>
      </c>
    </row>
    <row r="54" spans="2:28">
      <c r="B54" t="s">
        <v>282</v>
      </c>
      <c r="L54">
        <v>3033.16</v>
      </c>
      <c r="P54">
        <f>3033.16+2589.58+0.26</f>
        <v>5623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-2136.7600000000002</v>
      </c>
      <c r="L55" s="2">
        <f>L52+L54</f>
        <v>-433.40000000000009</v>
      </c>
      <c r="P55" s="2">
        <f>-6424.41+P54</f>
        <v>-801.40999999999985</v>
      </c>
      <c r="V55" t="s">
        <v>114</v>
      </c>
      <c r="W55" t="s">
        <v>115</v>
      </c>
      <c r="X55" t="s">
        <v>116</v>
      </c>
      <c r="AA55" t="s">
        <v>242</v>
      </c>
      <c r="AB55" s="2">
        <f>AB54/2</f>
        <v>1589.8649999999998</v>
      </c>
    </row>
    <row r="57" spans="2:28">
      <c r="D57" t="s">
        <v>138</v>
      </c>
      <c r="E57" s="34" t="s">
        <v>120</v>
      </c>
      <c r="F57" s="41"/>
      <c r="G57" s="41"/>
      <c r="H57" s="51">
        <v>525</v>
      </c>
      <c r="I57" s="41"/>
      <c r="J57" s="41"/>
      <c r="K57" s="41"/>
      <c r="L57" s="51"/>
      <c r="M57" s="41"/>
      <c r="N57" s="41"/>
      <c r="O57" s="41"/>
      <c r="P57" s="53">
        <v>802</v>
      </c>
      <c r="S57" s="1">
        <f>ABS(H55+L55+P55)</f>
        <v>3371.57</v>
      </c>
      <c r="T57" t="s">
        <v>98</v>
      </c>
      <c r="V57" s="1">
        <f>Z59-Z60</f>
        <v>718.67999999999984</v>
      </c>
      <c r="W57" s="2">
        <f>S57-V57</f>
        <v>2652.8900000000003</v>
      </c>
      <c r="X57" s="2">
        <f>W57/2</f>
        <v>1326.4450000000002</v>
      </c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/>
      <c r="M58" s="22"/>
      <c r="N58" s="22"/>
      <c r="O58" s="22"/>
      <c r="P58" s="43">
        <f>U59-P57</f>
        <v>525</v>
      </c>
      <c r="S58" s="1"/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-1611.7600000000002</v>
      </c>
      <c r="I59" s="44"/>
      <c r="J59" s="44"/>
      <c r="K59" s="44"/>
      <c r="L59" s="45"/>
      <c r="M59" s="44"/>
      <c r="N59" s="44"/>
      <c r="O59" s="44"/>
      <c r="P59" s="45"/>
      <c r="U59">
        <v>1327</v>
      </c>
      <c r="W59" t="s">
        <v>117</v>
      </c>
      <c r="X59" s="2">
        <f>ABS(X57)</f>
        <v>1326.4450000000002</v>
      </c>
      <c r="Z59" s="1">
        <v>3900</v>
      </c>
      <c r="AA59" s="2">
        <f>X59+Z59</f>
        <v>5226.4449999999997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118</v>
      </c>
      <c r="X60" s="1">
        <f>V57+ABS(X57)</f>
        <v>2045.125</v>
      </c>
      <c r="Z60" s="1">
        <v>3181.32</v>
      </c>
      <c r="AA60" s="2">
        <f>X60+Z60</f>
        <v>5226.4449999999997</v>
      </c>
    </row>
    <row r="61" spans="2:28">
      <c r="D61" t="s">
        <v>139</v>
      </c>
      <c r="H61" s="2"/>
      <c r="L61" s="2"/>
      <c r="P61" s="2"/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>
        <f>IF(H63=0,H61-H62,)</f>
        <v>0</v>
      </c>
      <c r="I64" s="44"/>
      <c r="J64" s="44"/>
      <c r="K64" s="44"/>
      <c r="L64" s="45">
        <f>IF(L63=0,L61-L62,0)</f>
        <v>0</v>
      </c>
      <c r="M64" s="44"/>
      <c r="N64" s="44"/>
      <c r="O64" s="44"/>
      <c r="P64" s="45">
        <f>IF(P63=0,P61-P62,)</f>
        <v>0</v>
      </c>
      <c r="X64" s="1"/>
    </row>
    <row r="65" spans="12:24">
      <c r="L65" s="60"/>
      <c r="P65" s="27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97" priority="1" operator="lessThan">
      <formula>0</formula>
    </cfRule>
    <cfRule type="cellIs" dxfId="9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AB65"/>
  <sheetViews>
    <sheetView topLeftCell="A22" workbookViewId="0">
      <selection activeCell="C2" sqref="C2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8" max="28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/>
      <c r="P1" s="218"/>
    </row>
    <row r="2" spans="1:16">
      <c r="B2" s="18" t="s">
        <v>0</v>
      </c>
      <c r="C2" s="94">
        <v>1342.97</v>
      </c>
      <c r="D2" s="74"/>
      <c r="E2" s="18"/>
      <c r="F2" s="18" t="s">
        <v>0</v>
      </c>
      <c r="G2" s="75">
        <v>500.01</v>
      </c>
      <c r="H2" s="74"/>
      <c r="I2" s="18"/>
      <c r="J2" s="18" t="s">
        <v>0</v>
      </c>
      <c r="K2" s="73">
        <v>0</v>
      </c>
      <c r="L2" s="74"/>
      <c r="N2" s="18"/>
      <c r="O2" s="73"/>
      <c r="P2" s="97"/>
    </row>
    <row r="3" spans="1:16">
      <c r="B3" s="18" t="s">
        <v>39</v>
      </c>
      <c r="C3" s="23">
        <v>528.75</v>
      </c>
      <c r="D3" s="11"/>
      <c r="E3" s="76"/>
      <c r="F3" s="18" t="s">
        <v>369</v>
      </c>
      <c r="G3" s="23">
        <v>999.99</v>
      </c>
      <c r="H3" s="11"/>
      <c r="I3" s="18"/>
      <c r="J3" s="18" t="s">
        <v>10</v>
      </c>
      <c r="K3" s="20">
        <v>0</v>
      </c>
      <c r="L3" s="77"/>
      <c r="N3" s="18"/>
      <c r="O3" s="20"/>
      <c r="P3" s="11"/>
    </row>
    <row r="4" spans="1:16">
      <c r="B4" s="18" t="s">
        <v>40</v>
      </c>
      <c r="C4" s="23">
        <v>15647.31</v>
      </c>
      <c r="D4" s="11"/>
      <c r="E4" s="18"/>
      <c r="F4" s="18" t="s">
        <v>1</v>
      </c>
      <c r="G4" s="23">
        <v>3181.32</v>
      </c>
      <c r="H4" s="11"/>
      <c r="I4" s="18"/>
      <c r="J4" s="18" t="s">
        <v>201</v>
      </c>
      <c r="K4" s="20">
        <v>3000</v>
      </c>
      <c r="L4" s="77"/>
      <c r="N4" s="18"/>
      <c r="O4" s="20"/>
      <c r="P4" s="11"/>
    </row>
    <row r="5" spans="1:16">
      <c r="B5" s="18" t="s">
        <v>368</v>
      </c>
      <c r="C5" s="20"/>
      <c r="D5" s="24">
        <v>999.99</v>
      </c>
      <c r="E5" s="18"/>
      <c r="F5" s="18" t="s">
        <v>331</v>
      </c>
      <c r="G5" s="23">
        <v>2589.58</v>
      </c>
      <c r="H5" s="11"/>
      <c r="I5" s="18"/>
      <c r="J5" s="18"/>
      <c r="K5" s="20"/>
      <c r="L5" s="11"/>
      <c r="N5" s="18"/>
      <c r="O5" s="20"/>
      <c r="P5" s="11"/>
    </row>
    <row r="6" spans="1:16">
      <c r="B6" s="39" t="s">
        <v>327</v>
      </c>
      <c r="C6" s="20"/>
      <c r="D6" s="24">
        <v>3033.16</v>
      </c>
      <c r="E6" s="18"/>
      <c r="F6" s="18"/>
      <c r="G6" s="20"/>
      <c r="H6" s="11"/>
      <c r="I6" s="18"/>
      <c r="J6" s="18"/>
      <c r="K6" s="20"/>
      <c r="L6" s="77"/>
      <c r="N6" s="18"/>
      <c r="O6" s="20"/>
      <c r="P6" s="11"/>
    </row>
    <row r="7" spans="1:16">
      <c r="B7" s="39" t="s">
        <v>372</v>
      </c>
      <c r="C7" s="20"/>
      <c r="D7" s="24">
        <v>433.4</v>
      </c>
      <c r="E7" s="76"/>
      <c r="F7" s="18"/>
      <c r="G7" s="20"/>
      <c r="H7" s="11"/>
      <c r="I7" s="18"/>
      <c r="J7" s="18"/>
      <c r="K7" s="20"/>
      <c r="L7" s="77"/>
      <c r="N7" s="18"/>
      <c r="O7" s="20"/>
      <c r="P7" s="77"/>
    </row>
    <row r="8" spans="1:16">
      <c r="B8" s="39" t="s">
        <v>219</v>
      </c>
      <c r="C8" s="20"/>
      <c r="D8" s="24">
        <v>1611.76</v>
      </c>
      <c r="E8" s="18"/>
      <c r="F8" s="39"/>
      <c r="G8" s="20"/>
      <c r="H8" s="11"/>
      <c r="I8" s="18"/>
      <c r="J8" s="18"/>
      <c r="K8" s="20"/>
      <c r="L8" s="39"/>
      <c r="N8" s="18"/>
      <c r="O8" s="20"/>
      <c r="P8" s="39"/>
    </row>
    <row r="9" spans="1:16">
      <c r="B9" s="39" t="s">
        <v>1</v>
      </c>
      <c r="C9" s="20"/>
      <c r="D9" s="24">
        <v>3181.32</v>
      </c>
      <c r="E9" s="18"/>
      <c r="F9" s="18"/>
      <c r="G9" s="20"/>
      <c r="H9" s="11"/>
      <c r="I9" s="18"/>
      <c r="J9" s="18"/>
      <c r="K9" s="18"/>
      <c r="L9" s="18"/>
      <c r="N9" s="18"/>
      <c r="O9" s="18"/>
      <c r="P9" s="18"/>
    </row>
    <row r="10" spans="1:16">
      <c r="B10" s="39" t="s">
        <v>331</v>
      </c>
      <c r="C10" s="20"/>
      <c r="D10" s="24">
        <v>2589.58</v>
      </c>
      <c r="E10" s="76"/>
      <c r="F10" s="18"/>
      <c r="G10" s="20"/>
      <c r="H10" s="11"/>
      <c r="I10" s="18"/>
      <c r="J10" s="18"/>
      <c r="K10" s="18"/>
      <c r="L10" s="18"/>
      <c r="N10" s="18"/>
      <c r="O10" s="18"/>
      <c r="P10" s="18"/>
    </row>
    <row r="11" spans="1:16">
      <c r="A11" t="s">
        <v>361</v>
      </c>
      <c r="B11" s="39" t="s">
        <v>76</v>
      </c>
      <c r="C11" s="20"/>
      <c r="D11" s="11">
        <v>1700</v>
      </c>
      <c r="E11" s="39"/>
      <c r="F11" s="91"/>
      <c r="G11" s="20"/>
      <c r="H11" s="11"/>
      <c r="I11" s="18"/>
      <c r="J11" s="18"/>
      <c r="K11" s="18"/>
      <c r="L11" s="18"/>
    </row>
    <row r="12" spans="1:16">
      <c r="B12" s="39" t="s">
        <v>47</v>
      </c>
      <c r="C12" s="20"/>
      <c r="D12" s="11">
        <v>600</v>
      </c>
      <c r="E12" s="39"/>
      <c r="F12" s="18"/>
      <c r="G12" s="20"/>
      <c r="H12" s="11"/>
      <c r="I12" s="18"/>
      <c r="J12" s="18"/>
      <c r="K12" s="18"/>
      <c r="L12" s="18"/>
    </row>
    <row r="13" spans="1:16">
      <c r="B13" s="39"/>
      <c r="C13" s="20"/>
      <c r="D13" s="11"/>
      <c r="E13" s="39"/>
      <c r="F13" s="18"/>
      <c r="G13" s="20"/>
      <c r="H13" s="11"/>
      <c r="I13" s="18"/>
      <c r="J13" s="18"/>
      <c r="K13" s="18"/>
      <c r="L13" s="18"/>
    </row>
    <row r="14" spans="1:16">
      <c r="B14" s="39"/>
      <c r="C14" s="20"/>
      <c r="D14" s="11"/>
      <c r="E14" s="39"/>
      <c r="F14" s="18"/>
      <c r="G14" s="20"/>
      <c r="H14" s="11"/>
      <c r="I14" s="18"/>
      <c r="J14" s="18"/>
      <c r="K14" s="18"/>
      <c r="L14" s="18"/>
    </row>
    <row r="15" spans="1:16">
      <c r="B15" s="39"/>
      <c r="C15" s="20"/>
      <c r="D15" s="11"/>
      <c r="E15" s="39"/>
      <c r="F15" s="18"/>
      <c r="G15" s="20"/>
      <c r="H15" s="11"/>
      <c r="I15" s="18"/>
      <c r="J15" s="18"/>
      <c r="K15" s="18"/>
      <c r="L15" s="18"/>
    </row>
    <row r="16" spans="1:16">
      <c r="B16" s="39"/>
      <c r="C16" s="20"/>
      <c r="D16" s="11"/>
      <c r="E16" s="39"/>
      <c r="F16" s="18"/>
      <c r="G16" s="20"/>
      <c r="H16" s="11"/>
      <c r="I16" s="18"/>
      <c r="J16" s="18"/>
      <c r="K16" s="18"/>
      <c r="L16" s="18"/>
    </row>
    <row r="17" spans="2:24">
      <c r="B17" s="39"/>
      <c r="C17" s="20"/>
      <c r="D17" s="11"/>
      <c r="E17" s="39"/>
      <c r="F17" s="18"/>
      <c r="G17" s="20"/>
      <c r="H17" s="11"/>
      <c r="I17" s="18"/>
      <c r="J17" s="18"/>
      <c r="K17" s="18"/>
      <c r="L17" s="18"/>
    </row>
    <row r="18" spans="2:24">
      <c r="B18" s="39"/>
      <c r="C18" s="20"/>
      <c r="D18" s="11"/>
      <c r="G18" s="20"/>
      <c r="H18" s="11"/>
    </row>
    <row r="19" spans="2:24">
      <c r="B19" s="39"/>
      <c r="C19" s="20"/>
      <c r="D19" s="11"/>
      <c r="E19" s="96"/>
      <c r="G19" s="20"/>
      <c r="H19" s="11"/>
    </row>
    <row r="20" spans="2:24">
      <c r="B20" s="39"/>
      <c r="C20" s="20"/>
      <c r="D20" s="11"/>
      <c r="G20" s="20"/>
      <c r="H20" s="19"/>
    </row>
    <row r="21" spans="2:24">
      <c r="B21" s="39"/>
      <c r="C21" s="20"/>
      <c r="D21" s="11"/>
      <c r="G21" s="20"/>
      <c r="H21" s="19"/>
    </row>
    <row r="22" spans="2:24">
      <c r="B22" s="39"/>
      <c r="C22" s="20"/>
      <c r="D22" s="11"/>
      <c r="G22" s="20"/>
      <c r="H22" s="19"/>
    </row>
    <row r="23" spans="2:24">
      <c r="B23" s="39"/>
      <c r="C23" s="20"/>
      <c r="D23" s="11"/>
      <c r="G23" s="20"/>
      <c r="H23" s="19"/>
    </row>
    <row r="24" spans="2:24">
      <c r="B24" s="39"/>
      <c r="C24" s="20"/>
      <c r="D24" s="11"/>
      <c r="G24" s="20"/>
      <c r="H24" s="19"/>
    </row>
    <row r="25" spans="2:24">
      <c r="B25" s="39"/>
      <c r="C25" s="1"/>
      <c r="D25" s="11"/>
      <c r="G25" s="20"/>
      <c r="H25" s="19"/>
    </row>
    <row r="26" spans="2:24">
      <c r="B26" s="39"/>
      <c r="C26" s="1"/>
      <c r="D26" s="11"/>
      <c r="G26" s="20"/>
      <c r="H26" s="19"/>
    </row>
    <row r="27" spans="2:24">
      <c r="B27" s="39"/>
      <c r="C27" s="1"/>
      <c r="D27" s="11"/>
      <c r="G27" s="20"/>
      <c r="H27" s="19"/>
    </row>
    <row r="28" spans="2:24">
      <c r="B28" t="s">
        <v>2</v>
      </c>
      <c r="C28" s="2">
        <f>SUM(C2:C27)</f>
        <v>17519.03</v>
      </c>
      <c r="D28" s="2">
        <f>SUM(D3:D27)</f>
        <v>14149.21</v>
      </c>
      <c r="F28" t="s">
        <v>2</v>
      </c>
      <c r="G28" s="2">
        <f>SUM(G2:G18)</f>
        <v>7270.9</v>
      </c>
      <c r="H28" s="2">
        <f>SUM(H3:H19)</f>
        <v>0</v>
      </c>
      <c r="J28" t="s">
        <v>2</v>
      </c>
      <c r="K28" s="2">
        <f>SUM(K1:K10)</f>
        <v>3000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2:24">
      <c r="D29" s="2">
        <f>C28-D28</f>
        <v>3369.8199999999997</v>
      </c>
      <c r="H29" s="2">
        <f>G28-H28</f>
        <v>7270.9</v>
      </c>
      <c r="L29" s="2">
        <f>K28-L28</f>
        <v>3000</v>
      </c>
      <c r="P29" s="2">
        <f>O28-P28</f>
        <v>0</v>
      </c>
    </row>
    <row r="31" spans="2:24">
      <c r="V31" s="102">
        <v>42631</v>
      </c>
    </row>
    <row r="32" spans="2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1:24">
      <c r="B33" t="s">
        <v>0</v>
      </c>
      <c r="C33" s="3">
        <v>0</v>
      </c>
      <c r="D33" s="4"/>
      <c r="F33" t="s">
        <v>0</v>
      </c>
      <c r="G33" s="3">
        <v>-1611.76</v>
      </c>
      <c r="H33" s="4"/>
      <c r="J33" t="s">
        <v>0</v>
      </c>
      <c r="K33" s="3">
        <v>-3466.56</v>
      </c>
      <c r="L33" s="4"/>
      <c r="M33" s="33"/>
      <c r="N33" t="s">
        <v>0</v>
      </c>
      <c r="O33" s="3">
        <v>0.56999999999999995</v>
      </c>
      <c r="P33" s="4"/>
      <c r="S33" s="1">
        <v>-4998</v>
      </c>
      <c r="T33">
        <v>18</v>
      </c>
      <c r="U33" s="2">
        <f>S33/T33</f>
        <v>-277.66666666666669</v>
      </c>
      <c r="V33">
        <v>5</v>
      </c>
      <c r="W33" s="2">
        <f>U33*V33</f>
        <v>-1388.3333333333335</v>
      </c>
      <c r="X33" s="2">
        <f>S33-W33</f>
        <v>-3609.6666666666665</v>
      </c>
    </row>
    <row r="34" spans="1:24">
      <c r="B34" s="39"/>
      <c r="C34" s="1"/>
      <c r="D34" s="1"/>
      <c r="G34" s="87"/>
      <c r="H34" s="88"/>
      <c r="K34" s="85"/>
      <c r="L34" s="86"/>
      <c r="M34" s="29"/>
      <c r="O34" s="85"/>
      <c r="P34" s="86"/>
      <c r="Q34" s="93"/>
      <c r="S34" s="1">
        <v>-3144</v>
      </c>
      <c r="T34">
        <v>6</v>
      </c>
      <c r="U34" s="2">
        <f>S34/T34</f>
        <v>-524</v>
      </c>
      <c r="V34">
        <v>5</v>
      </c>
      <c r="W34" s="2">
        <f>U34*V34</f>
        <v>-2620</v>
      </c>
      <c r="X34" s="2">
        <f>S34-W34</f>
        <v>-524</v>
      </c>
    </row>
    <row r="35" spans="1:24">
      <c r="B35" s="39"/>
      <c r="C35" s="1"/>
      <c r="D35" s="11"/>
      <c r="F35" t="s">
        <v>370</v>
      </c>
      <c r="G35" s="20"/>
      <c r="H35" s="24">
        <v>169</v>
      </c>
      <c r="J35" t="s">
        <v>284</v>
      </c>
      <c r="K35" s="1">
        <v>3033.16</v>
      </c>
      <c r="L35" s="11"/>
      <c r="N35" t="s">
        <v>373</v>
      </c>
      <c r="O35" s="18"/>
      <c r="P35" s="11">
        <v>2589.59</v>
      </c>
      <c r="S35" s="1">
        <v>-18198.95</v>
      </c>
      <c r="T35">
        <v>6</v>
      </c>
      <c r="U35" s="2">
        <f>S35/T35</f>
        <v>-3033.1583333333333</v>
      </c>
      <c r="V35">
        <v>3</v>
      </c>
      <c r="W35" s="2">
        <f>U35*V35</f>
        <v>-9099.4750000000004</v>
      </c>
      <c r="X35" s="2">
        <f>S35-W35</f>
        <v>-9099.4750000000004</v>
      </c>
    </row>
    <row r="36" spans="1:24">
      <c r="B36" s="39"/>
      <c r="C36" s="1"/>
      <c r="D36" s="11"/>
      <c r="F36" s="12" t="s">
        <v>213</v>
      </c>
      <c r="G36" s="20"/>
      <c r="H36" s="24">
        <v>696</v>
      </c>
      <c r="J36" t="s">
        <v>229</v>
      </c>
      <c r="K36" s="1"/>
      <c r="L36" s="11">
        <v>27.73</v>
      </c>
      <c r="N36" t="s">
        <v>374</v>
      </c>
      <c r="O36" s="19"/>
      <c r="P36" s="11">
        <v>3033.16</v>
      </c>
      <c r="S36" s="1">
        <v>-7768.75</v>
      </c>
      <c r="T36">
        <v>3</v>
      </c>
      <c r="U36" s="2">
        <f>S36/T36</f>
        <v>-2589.5833333333335</v>
      </c>
      <c r="V36">
        <v>2</v>
      </c>
      <c r="W36" s="2">
        <f>U36*V36</f>
        <v>-5179.166666666667</v>
      </c>
      <c r="X36" s="2">
        <f>S36-W36</f>
        <v>-2589.583333333333</v>
      </c>
    </row>
    <row r="37" spans="1:24">
      <c r="A37" t="s">
        <v>276</v>
      </c>
      <c r="B37" s="39"/>
      <c r="C37" s="20"/>
      <c r="D37" s="11"/>
      <c r="F37" t="s">
        <v>20</v>
      </c>
      <c r="G37" s="20"/>
      <c r="H37" s="24">
        <v>99</v>
      </c>
      <c r="J37" t="s">
        <v>261</v>
      </c>
      <c r="K37" s="20"/>
      <c r="L37" s="11">
        <v>475.54</v>
      </c>
      <c r="N37" t="s">
        <v>375</v>
      </c>
      <c r="O37" s="19"/>
      <c r="P37" s="11">
        <v>277.67</v>
      </c>
    </row>
    <row r="38" spans="1:24">
      <c r="B38" s="12"/>
      <c r="C38" s="20"/>
      <c r="D38" s="11"/>
      <c r="F38" t="s">
        <v>371</v>
      </c>
      <c r="G38" s="20"/>
      <c r="H38" s="24">
        <v>758</v>
      </c>
      <c r="J38" t="s">
        <v>94</v>
      </c>
      <c r="K38" s="1">
        <v>433.4</v>
      </c>
      <c r="L38" s="11"/>
      <c r="M38" s="29"/>
      <c r="N38" t="s">
        <v>376</v>
      </c>
      <c r="O38" s="19"/>
      <c r="P38" s="11">
        <v>524</v>
      </c>
      <c r="Q38" s="29"/>
      <c r="R38" t="s">
        <v>11</v>
      </c>
      <c r="S38" s="2">
        <f>SUM(S33:S36)</f>
        <v>-34109.699999999997</v>
      </c>
      <c r="X38" s="2">
        <f>SUM(X33:X36)</f>
        <v>-15822.724999999999</v>
      </c>
    </row>
    <row r="39" spans="1:24">
      <c r="B39" s="39"/>
      <c r="C39" s="20"/>
      <c r="D39" s="11"/>
      <c r="F39" t="s">
        <v>169</v>
      </c>
      <c r="G39" s="23">
        <v>1611.76</v>
      </c>
      <c r="H39" s="14"/>
      <c r="K39" s="1"/>
      <c r="L39" s="11"/>
      <c r="M39" s="29"/>
      <c r="N39" s="39" t="s">
        <v>377</v>
      </c>
      <c r="O39" s="19">
        <v>2589.59</v>
      </c>
      <c r="P39" s="11"/>
      <c r="Q39" s="29"/>
    </row>
    <row r="40" spans="1:24">
      <c r="B40" s="12"/>
      <c r="C40" s="20"/>
      <c r="D40" s="11"/>
      <c r="G40" s="20"/>
      <c r="H40" s="11"/>
      <c r="L40" s="11"/>
      <c r="N40" s="39" t="s">
        <v>378</v>
      </c>
      <c r="O40" s="1">
        <v>3033.16</v>
      </c>
      <c r="P40" s="11"/>
      <c r="Q40" s="29">
        <v>11202</v>
      </c>
    </row>
    <row r="41" spans="1:24">
      <c r="B41" s="12"/>
      <c r="C41" s="20"/>
      <c r="D41" s="11"/>
      <c r="G41" s="20"/>
      <c r="H41" s="14"/>
      <c r="L41" s="11"/>
      <c r="N41" s="39" t="s">
        <v>94</v>
      </c>
      <c r="O41" s="19">
        <v>801.1</v>
      </c>
      <c r="P41" s="11" t="s">
        <v>80</v>
      </c>
      <c r="Q41" s="29">
        <v>11202</v>
      </c>
      <c r="S41" s="2"/>
    </row>
    <row r="42" spans="1:24">
      <c r="B42" s="12"/>
      <c r="C42" s="20"/>
      <c r="D42" s="11"/>
      <c r="G42" s="20"/>
      <c r="H42" s="14"/>
      <c r="L42" s="11"/>
      <c r="O42" s="19"/>
      <c r="P42" s="11"/>
      <c r="S42" s="2"/>
    </row>
    <row r="43" spans="1:24">
      <c r="B43" s="12"/>
      <c r="C43" s="20"/>
      <c r="D43" s="11"/>
      <c r="G43" s="20"/>
      <c r="H43" s="14"/>
      <c r="L43" s="11"/>
      <c r="O43" s="19"/>
      <c r="P43" s="11"/>
      <c r="S43" s="2"/>
    </row>
    <row r="44" spans="1:24">
      <c r="B44" s="12"/>
      <c r="C44" s="20"/>
      <c r="D44" s="11"/>
      <c r="G44" s="20"/>
      <c r="H44" s="14"/>
      <c r="L44" s="11"/>
      <c r="O44" s="19"/>
      <c r="P44" s="11"/>
      <c r="S44" s="2"/>
    </row>
    <row r="45" spans="1:24">
      <c r="B45" s="12"/>
      <c r="C45" s="20"/>
      <c r="D45" s="11"/>
      <c r="G45" s="20"/>
      <c r="H45" s="14"/>
      <c r="L45" s="11"/>
      <c r="N45" s="44"/>
      <c r="O45" s="44"/>
      <c r="P45" s="92"/>
      <c r="S45" s="2"/>
    </row>
    <row r="46" spans="1:24">
      <c r="B46" s="12"/>
      <c r="C46" s="20"/>
      <c r="D46" s="11"/>
      <c r="G46" s="20"/>
      <c r="H46" s="11"/>
      <c r="L46" s="11"/>
      <c r="M46" t="s">
        <v>286</v>
      </c>
    </row>
    <row r="47" spans="1:24">
      <c r="B47" s="12"/>
      <c r="C47" s="20"/>
      <c r="D47" s="11"/>
      <c r="G47" s="20"/>
      <c r="H47" s="14"/>
      <c r="L47" s="11"/>
      <c r="M47" s="33"/>
    </row>
    <row r="48" spans="1:24">
      <c r="B48" s="12"/>
      <c r="C48" s="1"/>
      <c r="D48" s="11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0</v>
      </c>
      <c r="D51" s="2">
        <f>SUM(D35:D50)</f>
        <v>0</v>
      </c>
      <c r="F51" t="s">
        <v>2</v>
      </c>
      <c r="G51" s="2">
        <f>SUM(G33:G48)</f>
        <v>0</v>
      </c>
      <c r="H51" s="2">
        <f>SUM(H33:H49)</f>
        <v>1722</v>
      </c>
      <c r="J51" t="s">
        <v>2</v>
      </c>
      <c r="K51" s="2">
        <f>SUM(K33:K48)</f>
        <v>0</v>
      </c>
      <c r="L51" s="2">
        <f>SUM(L33:L49)</f>
        <v>503.27000000000004</v>
      </c>
      <c r="N51" t="s">
        <v>2</v>
      </c>
      <c r="O51" s="2">
        <f>SUM(O33:O41)</f>
        <v>6424.42</v>
      </c>
      <c r="P51" s="2">
        <f>SUM(P33:P41)</f>
        <v>6424.42</v>
      </c>
    </row>
    <row r="52" spans="2:28">
      <c r="D52" s="2">
        <f>C51-D51</f>
        <v>0</v>
      </c>
      <c r="H52" s="2">
        <f>G51-H51</f>
        <v>-1722</v>
      </c>
      <c r="L52" s="2">
        <f>K51-L51</f>
        <v>-503.27000000000004</v>
      </c>
      <c r="P52" s="2">
        <f>O51-P51</f>
        <v>0</v>
      </c>
      <c r="R52" s="2"/>
      <c r="AA52" t="s">
        <v>239</v>
      </c>
      <c r="AB52" s="1">
        <v>10261.049999999999</v>
      </c>
    </row>
    <row r="53" spans="2:28">
      <c r="AA53" t="s">
        <v>240</v>
      </c>
      <c r="AB53" s="1">
        <v>7081.32</v>
      </c>
    </row>
    <row r="54" spans="2:28">
      <c r="B54" t="s">
        <v>282</v>
      </c>
      <c r="L54">
        <v>-3033.16</v>
      </c>
      <c r="P54">
        <f>3033.16+2589.58+0.26</f>
        <v>5623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-2136.7600000000002</v>
      </c>
      <c r="L55" s="2">
        <v>-433.4</v>
      </c>
      <c r="P55" s="2">
        <f>-6424.41+P54</f>
        <v>-801.40999999999985</v>
      </c>
      <c r="V55" t="s">
        <v>114</v>
      </c>
      <c r="W55" t="s">
        <v>115</v>
      </c>
      <c r="X55" t="s">
        <v>116</v>
      </c>
      <c r="AA55" t="s">
        <v>242</v>
      </c>
      <c r="AB55" s="2">
        <f>AB54/2</f>
        <v>1589.8649999999998</v>
      </c>
    </row>
    <row r="57" spans="2:28">
      <c r="D57" t="s">
        <v>138</v>
      </c>
      <c r="E57" s="34" t="s">
        <v>120</v>
      </c>
      <c r="F57" s="41"/>
      <c r="G57" s="41"/>
      <c r="H57" s="51">
        <v>525</v>
      </c>
      <c r="I57" s="41"/>
      <c r="J57" s="41"/>
      <c r="K57" s="41"/>
      <c r="L57" s="51"/>
      <c r="M57" s="41"/>
      <c r="N57" s="41"/>
      <c r="O57" s="41"/>
      <c r="P57" s="53">
        <v>802</v>
      </c>
      <c r="S57" s="1">
        <f>ABS(H55+L55+P55)</f>
        <v>3371.57</v>
      </c>
      <c r="T57" t="s">
        <v>98</v>
      </c>
      <c r="V57" s="1">
        <f>Z59-Z60</f>
        <v>718.67999999999984</v>
      </c>
      <c r="W57" s="2">
        <f>S57-V57</f>
        <v>2652.8900000000003</v>
      </c>
      <c r="X57" s="2">
        <f>W57/2</f>
        <v>1326.4450000000002</v>
      </c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/>
      <c r="M58" s="22"/>
      <c r="N58" s="22"/>
      <c r="O58" s="22"/>
      <c r="P58" s="43">
        <f>U59-P57</f>
        <v>525</v>
      </c>
      <c r="S58" s="1"/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-1611.7600000000002</v>
      </c>
      <c r="I59" s="44"/>
      <c r="J59" s="44"/>
      <c r="K59" s="44"/>
      <c r="L59" s="45"/>
      <c r="M59" s="44"/>
      <c r="N59" s="44"/>
      <c r="O59" s="44"/>
      <c r="P59" s="45"/>
      <c r="U59">
        <v>1327</v>
      </c>
      <c r="W59" t="s">
        <v>117</v>
      </c>
      <c r="X59" s="2">
        <f>ABS(X57)</f>
        <v>1326.4450000000002</v>
      </c>
      <c r="Z59" s="1">
        <v>3900</v>
      </c>
      <c r="AA59" s="2">
        <f>X59+Z59</f>
        <v>5226.4449999999997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118</v>
      </c>
      <c r="X60" s="1">
        <f>V57+ABS(X57)</f>
        <v>2045.125</v>
      </c>
      <c r="Z60" s="1">
        <v>3181.32</v>
      </c>
      <c r="AA60" s="2">
        <f>X60+Z60</f>
        <v>5226.4449999999997</v>
      </c>
    </row>
    <row r="61" spans="2:28">
      <c r="D61" t="s">
        <v>139</v>
      </c>
      <c r="H61" s="2"/>
      <c r="L61" s="2"/>
      <c r="P61" s="2"/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>
        <f>IF(H63=0,H61-H62,)</f>
        <v>0</v>
      </c>
      <c r="I64" s="44"/>
      <c r="J64" s="44"/>
      <c r="K64" s="44"/>
      <c r="L64" s="45">
        <f>IF(L63=0,L61-L62,0)</f>
        <v>0</v>
      </c>
      <c r="M64" s="44"/>
      <c r="N64" s="44"/>
      <c r="O64" s="44"/>
      <c r="P64" s="45">
        <f>IF(P63=0,P61-P62,)</f>
        <v>0</v>
      </c>
      <c r="X64" s="1"/>
    </row>
    <row r="65" spans="12:24">
      <c r="L65" s="60"/>
      <c r="P65" s="27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95" priority="1" operator="lessThan">
      <formula>0</formula>
    </cfRule>
    <cfRule type="cellIs" dxfId="94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:AB65"/>
  <sheetViews>
    <sheetView topLeftCell="A19" workbookViewId="0">
      <selection activeCell="G26" sqref="G26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/>
      <c r="P1" s="218"/>
    </row>
    <row r="2" spans="1:16">
      <c r="B2" s="18" t="s">
        <v>0</v>
      </c>
      <c r="C2" s="94">
        <v>507.08</v>
      </c>
      <c r="D2" s="74"/>
      <c r="E2" s="18"/>
      <c r="F2" s="18" t="s">
        <v>0</v>
      </c>
      <c r="G2" s="75">
        <v>7270.9</v>
      </c>
      <c r="H2" s="74"/>
      <c r="I2" s="18"/>
      <c r="J2" s="18" t="s">
        <v>0</v>
      </c>
      <c r="K2" s="73">
        <v>3000</v>
      </c>
      <c r="L2" s="74"/>
      <c r="N2" s="18"/>
      <c r="O2" s="73"/>
      <c r="P2" s="97"/>
    </row>
    <row r="3" spans="1:16">
      <c r="B3" s="18" t="s">
        <v>39</v>
      </c>
      <c r="C3" s="23">
        <v>549.47</v>
      </c>
      <c r="D3" s="11"/>
      <c r="E3" s="76"/>
      <c r="F3" s="18" t="s">
        <v>9</v>
      </c>
      <c r="G3" s="20"/>
      <c r="H3" s="24">
        <v>3181.33</v>
      </c>
      <c r="I3" s="18"/>
      <c r="J3" s="18" t="s">
        <v>10</v>
      </c>
      <c r="K3" s="20">
        <v>18.190000000000001</v>
      </c>
      <c r="L3" s="77"/>
      <c r="N3" s="18"/>
      <c r="O3" s="20"/>
      <c r="P3" s="11"/>
    </row>
    <row r="4" spans="1:16">
      <c r="B4" s="18" t="s">
        <v>40</v>
      </c>
      <c r="C4" s="23">
        <v>15695.72</v>
      </c>
      <c r="D4" s="11"/>
      <c r="E4" s="18"/>
      <c r="F4" s="18" t="s">
        <v>384</v>
      </c>
      <c r="G4" s="20"/>
      <c r="H4" s="24">
        <v>100</v>
      </c>
      <c r="I4" s="18"/>
      <c r="J4" s="18" t="s">
        <v>201</v>
      </c>
      <c r="K4" s="23">
        <v>2997.36</v>
      </c>
      <c r="L4" s="77"/>
      <c r="N4" s="18"/>
      <c r="O4" s="20"/>
      <c r="P4" s="11"/>
    </row>
    <row r="5" spans="1:16">
      <c r="B5" s="18" t="s">
        <v>379</v>
      </c>
      <c r="C5" s="20"/>
      <c r="D5" s="24">
        <v>1000</v>
      </c>
      <c r="E5" s="18"/>
      <c r="F5" s="18" t="s">
        <v>318</v>
      </c>
      <c r="G5" s="23">
        <v>3033.16</v>
      </c>
      <c r="H5" s="11"/>
      <c r="I5" s="18"/>
      <c r="J5" s="18"/>
      <c r="K5" s="20"/>
      <c r="L5" s="11"/>
      <c r="N5" s="18"/>
      <c r="O5" s="20"/>
      <c r="P5" s="11"/>
    </row>
    <row r="6" spans="1:16">
      <c r="B6" s="39" t="s">
        <v>384</v>
      </c>
      <c r="C6" s="20"/>
      <c r="D6" s="24">
        <v>100</v>
      </c>
      <c r="E6" s="18"/>
      <c r="F6" s="18" t="s">
        <v>385</v>
      </c>
      <c r="G6" s="20"/>
      <c r="H6" s="24">
        <v>1575.1</v>
      </c>
      <c r="I6" s="76">
        <v>39356</v>
      </c>
      <c r="J6" s="18"/>
      <c r="K6" s="20"/>
      <c r="L6" s="77"/>
      <c r="N6" s="18"/>
      <c r="O6" s="20"/>
      <c r="P6" s="11"/>
    </row>
    <row r="7" spans="1:16">
      <c r="A7" s="1">
        <v>2055.6999999999998</v>
      </c>
      <c r="B7" s="74" t="s">
        <v>380</v>
      </c>
      <c r="C7" s="23">
        <v>286.24</v>
      </c>
      <c r="D7" s="11"/>
      <c r="E7" s="76"/>
      <c r="F7" s="18" t="s">
        <v>377</v>
      </c>
      <c r="G7" s="20"/>
      <c r="H7" s="24">
        <v>2589.59</v>
      </c>
      <c r="I7" s="76">
        <v>39356</v>
      </c>
      <c r="J7" s="18"/>
      <c r="K7" s="20"/>
      <c r="L7" s="77"/>
      <c r="N7" s="18"/>
      <c r="O7" s="20"/>
      <c r="P7" s="77"/>
    </row>
    <row r="8" spans="1:16">
      <c r="B8" s="77" t="s">
        <v>381</v>
      </c>
      <c r="C8" s="23">
        <v>838.04</v>
      </c>
      <c r="D8" s="11"/>
      <c r="E8" s="18"/>
      <c r="F8" s="39" t="s">
        <v>386</v>
      </c>
      <c r="G8" s="20"/>
      <c r="H8" s="24">
        <v>3033.16</v>
      </c>
      <c r="I8" s="76">
        <v>39356</v>
      </c>
      <c r="J8" s="18"/>
      <c r="K8" s="20"/>
      <c r="L8" s="39"/>
      <c r="N8" s="18"/>
      <c r="O8" s="20"/>
      <c r="P8" s="39"/>
    </row>
    <row r="9" spans="1:16">
      <c r="B9" s="77" t="s">
        <v>382</v>
      </c>
      <c r="C9" s="115">
        <v>162.4</v>
      </c>
      <c r="D9" s="11"/>
      <c r="E9" s="18"/>
      <c r="F9" s="39" t="s">
        <v>384</v>
      </c>
      <c r="G9" s="23">
        <v>100</v>
      </c>
      <c r="H9" s="11"/>
      <c r="I9" s="18"/>
      <c r="J9" s="18"/>
      <c r="K9" s="18"/>
      <c r="L9" s="18"/>
      <c r="N9" s="18"/>
      <c r="O9" s="18"/>
      <c r="P9" s="18"/>
    </row>
    <row r="10" spans="1:16">
      <c r="B10" s="109" t="s">
        <v>383</v>
      </c>
      <c r="C10" s="23">
        <v>769.09</v>
      </c>
      <c r="D10" s="11"/>
      <c r="E10" s="76"/>
      <c r="F10" s="39" t="s">
        <v>387</v>
      </c>
      <c r="G10" s="23">
        <v>75.12</v>
      </c>
      <c r="H10" s="11"/>
      <c r="I10" s="18"/>
      <c r="J10" s="18"/>
      <c r="K10" s="18"/>
      <c r="L10" s="18"/>
      <c r="N10" s="18"/>
      <c r="O10" s="18"/>
      <c r="P10" s="18"/>
    </row>
    <row r="11" spans="1:16">
      <c r="B11" s="18" t="s">
        <v>318</v>
      </c>
      <c r="C11" s="20"/>
      <c r="D11" s="24">
        <v>3033.16</v>
      </c>
      <c r="E11" s="39"/>
      <c r="F11" s="91" t="s">
        <v>230</v>
      </c>
      <c r="G11" s="23">
        <v>801.67</v>
      </c>
      <c r="H11" s="11"/>
      <c r="I11" s="18"/>
      <c r="J11" s="18"/>
      <c r="K11" s="18"/>
      <c r="L11" s="18"/>
    </row>
    <row r="12" spans="1:16">
      <c r="B12" s="39" t="s">
        <v>43</v>
      </c>
      <c r="C12" s="20"/>
      <c r="D12" s="24">
        <v>3900</v>
      </c>
      <c r="E12" s="39"/>
      <c r="F12" s="39" t="s">
        <v>222</v>
      </c>
      <c r="G12" s="20"/>
      <c r="H12" s="11">
        <v>801.67</v>
      </c>
      <c r="I12" s="16">
        <v>42661</v>
      </c>
      <c r="J12" s="18"/>
      <c r="K12" s="18"/>
      <c r="L12" s="18"/>
    </row>
    <row r="13" spans="1:16">
      <c r="B13" s="39" t="s">
        <v>4</v>
      </c>
      <c r="C13" s="20"/>
      <c r="D13" s="24">
        <v>1700</v>
      </c>
      <c r="E13" s="39"/>
      <c r="F13" s="18"/>
      <c r="G13" s="20"/>
      <c r="H13" s="11"/>
      <c r="I13" s="18"/>
      <c r="J13" s="18"/>
      <c r="K13" s="18"/>
      <c r="L13" s="18"/>
    </row>
    <row r="14" spans="1:16">
      <c r="A14">
        <v>1575.12</v>
      </c>
      <c r="B14" s="74" t="s">
        <v>399</v>
      </c>
      <c r="C14" s="111"/>
      <c r="D14" s="24">
        <v>75.12</v>
      </c>
      <c r="E14" s="39"/>
      <c r="F14" s="18"/>
      <c r="G14" s="20"/>
      <c r="H14" s="11"/>
      <c r="I14" s="18"/>
      <c r="J14" s="18"/>
      <c r="K14" s="18"/>
      <c r="L14" s="18"/>
    </row>
    <row r="15" spans="1:16">
      <c r="B15" s="77" t="s">
        <v>397</v>
      </c>
      <c r="C15" s="108"/>
      <c r="D15" s="24">
        <v>1024.46</v>
      </c>
      <c r="E15" s="39" t="s">
        <v>388</v>
      </c>
      <c r="F15" s="18"/>
      <c r="G15" s="20"/>
      <c r="H15" s="11"/>
      <c r="I15" s="18"/>
      <c r="J15" s="18"/>
      <c r="K15" s="18"/>
      <c r="L15" s="18"/>
    </row>
    <row r="16" spans="1:16">
      <c r="B16" s="109" t="s">
        <v>258</v>
      </c>
      <c r="C16" s="112"/>
      <c r="D16" s="24">
        <v>475.54</v>
      </c>
      <c r="E16" s="39" t="s">
        <v>396</v>
      </c>
      <c r="F16" s="18"/>
      <c r="G16" s="20"/>
      <c r="H16" s="11"/>
      <c r="I16" s="18"/>
      <c r="J16" s="18"/>
      <c r="K16" s="18"/>
      <c r="L16" s="18"/>
    </row>
    <row r="17" spans="1:24">
      <c r="B17" s="39"/>
      <c r="C17" s="20"/>
      <c r="D17" s="11"/>
      <c r="E17" s="39"/>
      <c r="F17" s="18"/>
      <c r="G17" s="20"/>
      <c r="H17" s="11"/>
      <c r="I17" s="18"/>
      <c r="J17" s="18"/>
      <c r="K17" s="18"/>
      <c r="L17" s="18"/>
    </row>
    <row r="18" spans="1:24">
      <c r="B18" s="39"/>
      <c r="C18" s="20"/>
      <c r="D18" s="11"/>
      <c r="G18" s="20"/>
      <c r="H18" s="11"/>
    </row>
    <row r="19" spans="1:24">
      <c r="B19" s="39" t="s">
        <v>389</v>
      </c>
      <c r="C19" s="20"/>
      <c r="D19" s="24">
        <v>756.46</v>
      </c>
      <c r="E19" s="96"/>
      <c r="G19" s="20"/>
      <c r="H19" s="11"/>
    </row>
    <row r="20" spans="1:24">
      <c r="B20" s="74" t="s">
        <v>16</v>
      </c>
      <c r="C20" s="107"/>
      <c r="D20" s="24">
        <v>591.64</v>
      </c>
      <c r="G20" s="20"/>
      <c r="H20" s="19"/>
    </row>
    <row r="21" spans="1:24">
      <c r="A21" s="39" t="s">
        <v>400</v>
      </c>
      <c r="B21" s="114" t="s">
        <v>230</v>
      </c>
      <c r="C21" s="110"/>
      <c r="D21" s="24">
        <v>801.67</v>
      </c>
      <c r="G21" s="20"/>
      <c r="H21" s="19"/>
    </row>
    <row r="22" spans="1:24">
      <c r="B22" s="39" t="s">
        <v>201</v>
      </c>
      <c r="C22" s="20"/>
      <c r="D22" s="24">
        <v>2997.36</v>
      </c>
      <c r="G22" s="20"/>
      <c r="H22" s="19"/>
    </row>
    <row r="23" spans="1:24">
      <c r="B23" s="39" t="s">
        <v>401</v>
      </c>
      <c r="C23" s="20"/>
      <c r="D23" s="24">
        <v>500</v>
      </c>
      <c r="G23" s="20"/>
      <c r="H23" s="19"/>
    </row>
    <row r="24" spans="1:24">
      <c r="B24" s="39" t="s">
        <v>404</v>
      </c>
      <c r="C24" s="20"/>
      <c r="D24" s="11">
        <v>89.1</v>
      </c>
      <c r="G24" s="20"/>
      <c r="H24" s="19"/>
    </row>
    <row r="25" spans="1:24">
      <c r="B25" s="39" t="s">
        <v>405</v>
      </c>
      <c r="C25" s="1"/>
      <c r="D25" s="11">
        <v>550</v>
      </c>
      <c r="G25" s="20"/>
      <c r="H25" s="19"/>
    </row>
    <row r="26" spans="1:24">
      <c r="B26" s="39" t="s">
        <v>91</v>
      </c>
      <c r="C26" s="1"/>
      <c r="D26" s="11">
        <v>294</v>
      </c>
      <c r="G26" s="20"/>
      <c r="H26" s="19"/>
    </row>
    <row r="27" spans="1:24">
      <c r="B27" s="39" t="s">
        <v>86</v>
      </c>
      <c r="C27" s="1"/>
      <c r="D27" s="11">
        <v>880.09</v>
      </c>
      <c r="G27" s="20"/>
      <c r="H27" s="19"/>
    </row>
    <row r="28" spans="1:24">
      <c r="B28" t="s">
        <v>2</v>
      </c>
      <c r="C28" s="2">
        <f>SUM(C2:C27)</f>
        <v>18808.040000000005</v>
      </c>
      <c r="D28" s="2">
        <f>SUM(D3:D27)</f>
        <v>18768.599999999999</v>
      </c>
      <c r="F28" t="s">
        <v>2</v>
      </c>
      <c r="G28" s="2">
        <f>SUM(G2:G18)</f>
        <v>11280.85</v>
      </c>
      <c r="H28" s="2">
        <f>SUM(H3:H19)</f>
        <v>11280.85</v>
      </c>
      <c r="J28" t="s">
        <v>2</v>
      </c>
      <c r="K28" s="2">
        <f>SUM(K1:K10)</f>
        <v>6015.55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39.440000000005966</v>
      </c>
      <c r="H29" s="2">
        <f>G28-H28</f>
        <v>0</v>
      </c>
      <c r="L29" s="2">
        <f>K28-L28</f>
        <v>6015.55</v>
      </c>
      <c r="P29" s="2">
        <f>O28-P28</f>
        <v>0</v>
      </c>
    </row>
    <row r="31" spans="1:24">
      <c r="V31" s="102">
        <v>42661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1:24">
      <c r="B33" t="s">
        <v>0</v>
      </c>
      <c r="C33" s="3">
        <v>0</v>
      </c>
      <c r="D33" s="4"/>
      <c r="F33" t="s">
        <v>0</v>
      </c>
      <c r="G33" s="3">
        <v>-1722</v>
      </c>
      <c r="H33" s="4"/>
      <c r="J33" t="s">
        <v>0</v>
      </c>
      <c r="K33" s="3">
        <v>-503.27</v>
      </c>
      <c r="L33" s="4"/>
      <c r="M33" s="33"/>
      <c r="N33" t="s">
        <v>0</v>
      </c>
      <c r="O33" s="3">
        <v>0</v>
      </c>
      <c r="P33" s="4"/>
      <c r="S33" s="1">
        <v>-4998</v>
      </c>
      <c r="T33">
        <v>18</v>
      </c>
      <c r="U33" s="2">
        <f>S33/T33</f>
        <v>-277.66666666666669</v>
      </c>
      <c r="V33">
        <v>6</v>
      </c>
      <c r="W33" s="2">
        <f>U33*V33</f>
        <v>-1666</v>
      </c>
      <c r="X33" s="2">
        <f>S33-W33</f>
        <v>-3332</v>
      </c>
    </row>
    <row r="34" spans="1:24">
      <c r="B34" s="39"/>
      <c r="C34" s="1"/>
      <c r="D34" s="1"/>
      <c r="G34" s="87"/>
      <c r="H34" s="88"/>
      <c r="K34" s="85"/>
      <c r="L34" s="86"/>
      <c r="M34" s="29"/>
      <c r="O34" s="85"/>
      <c r="P34" s="86"/>
      <c r="Q34" s="93"/>
      <c r="S34" s="1">
        <v>-3144</v>
      </c>
      <c r="T34">
        <v>6</v>
      </c>
      <c r="U34" s="2">
        <f>S34/T34</f>
        <v>-524</v>
      </c>
      <c r="V34">
        <v>6</v>
      </c>
      <c r="W34" s="2">
        <f>U34*V34</f>
        <v>-3144</v>
      </c>
      <c r="X34" s="2">
        <f>S34-W34</f>
        <v>0</v>
      </c>
    </row>
    <row r="35" spans="1:24">
      <c r="B35" s="39"/>
      <c r="C35" s="1"/>
      <c r="D35" s="11"/>
      <c r="G35" s="20"/>
      <c r="H35" s="24"/>
      <c r="J35" t="s">
        <v>259</v>
      </c>
      <c r="K35" s="1"/>
      <c r="L35" s="11">
        <v>199</v>
      </c>
      <c r="N35" t="s">
        <v>373</v>
      </c>
      <c r="O35" s="18"/>
      <c r="P35" s="24">
        <v>2589.59</v>
      </c>
      <c r="S35" s="1">
        <v>-18198.95</v>
      </c>
      <c r="T35">
        <v>6</v>
      </c>
      <c r="U35" s="2">
        <f>S35/T35</f>
        <v>-3033.1583333333333</v>
      </c>
      <c r="V35">
        <v>4</v>
      </c>
      <c r="W35" s="2">
        <f>U35*V35</f>
        <v>-12132.633333333333</v>
      </c>
      <c r="X35" s="2">
        <f>S35-W35</f>
        <v>-6066.3166666666675</v>
      </c>
    </row>
    <row r="36" spans="1:24">
      <c r="B36" s="39"/>
      <c r="C36" s="1"/>
      <c r="D36" s="11"/>
      <c r="F36" s="12" t="s">
        <v>390</v>
      </c>
      <c r="G36" s="20"/>
      <c r="H36" s="24">
        <v>50</v>
      </c>
      <c r="J36" t="s">
        <v>281</v>
      </c>
      <c r="K36" s="1"/>
      <c r="L36" s="11">
        <v>3033.16</v>
      </c>
      <c r="N36" t="s">
        <v>374</v>
      </c>
      <c r="O36" s="19"/>
      <c r="P36" s="24">
        <v>3033.16</v>
      </c>
      <c r="S36" s="1">
        <v>-7768.75</v>
      </c>
      <c r="T36">
        <v>3</v>
      </c>
      <c r="U36" s="2">
        <f>S36/T36</f>
        <v>-2589.5833333333335</v>
      </c>
      <c r="V36">
        <v>3</v>
      </c>
      <c r="W36" s="2">
        <f>U36*V36</f>
        <v>-7768.75</v>
      </c>
      <c r="X36" s="2">
        <f>S36-W36</f>
        <v>0</v>
      </c>
    </row>
    <row r="37" spans="1:24">
      <c r="A37" t="s">
        <v>276</v>
      </c>
      <c r="B37" s="39"/>
      <c r="C37" s="20"/>
      <c r="D37" s="11"/>
      <c r="F37" t="s">
        <v>391</v>
      </c>
      <c r="G37" s="20"/>
      <c r="H37" s="24">
        <v>149</v>
      </c>
      <c r="J37" t="s">
        <v>258</v>
      </c>
      <c r="K37" s="23">
        <v>475.54</v>
      </c>
      <c r="L37" s="11"/>
      <c r="N37" t="s">
        <v>375</v>
      </c>
      <c r="O37" s="19"/>
      <c r="P37" s="24">
        <v>277.67</v>
      </c>
    </row>
    <row r="38" spans="1:24">
      <c r="B38" s="12"/>
      <c r="C38" s="20"/>
      <c r="D38" s="11"/>
      <c r="F38" t="s">
        <v>47</v>
      </c>
      <c r="G38" s="20"/>
      <c r="H38" s="24">
        <v>500</v>
      </c>
      <c r="K38" s="1"/>
      <c r="L38" s="11"/>
      <c r="M38" s="29"/>
      <c r="N38" t="s">
        <v>376</v>
      </c>
      <c r="O38" s="19"/>
      <c r="P38" s="24">
        <v>524</v>
      </c>
      <c r="Q38" s="29"/>
      <c r="R38" t="s">
        <v>11</v>
      </c>
      <c r="S38" s="2">
        <f>SUM(S33:S36)</f>
        <v>-34109.699999999997</v>
      </c>
      <c r="X38" s="2">
        <f>SUM(X33:X36)</f>
        <v>-9398.3166666666675</v>
      </c>
    </row>
    <row r="39" spans="1:24">
      <c r="B39" s="39"/>
      <c r="C39" s="20"/>
      <c r="D39" s="11"/>
      <c r="F39" t="s">
        <v>21</v>
      </c>
      <c r="G39" s="23"/>
      <c r="H39" s="24">
        <v>319.83999999999997</v>
      </c>
      <c r="K39" s="1"/>
      <c r="L39" s="11"/>
      <c r="M39" s="29"/>
      <c r="N39" s="39" t="s">
        <v>347</v>
      </c>
      <c r="O39" s="19"/>
      <c r="P39" s="24">
        <v>1575.1</v>
      </c>
      <c r="Q39" s="29"/>
    </row>
    <row r="40" spans="1:24">
      <c r="B40" s="12"/>
      <c r="C40" s="20"/>
      <c r="D40" s="11"/>
      <c r="F40" t="s">
        <v>392</v>
      </c>
      <c r="G40" s="20"/>
      <c r="H40" s="24">
        <v>756.46</v>
      </c>
      <c r="L40" s="11"/>
      <c r="N40" s="39" t="s">
        <v>349</v>
      </c>
      <c r="O40" s="23">
        <v>1575.1</v>
      </c>
      <c r="P40" s="11"/>
      <c r="Q40" s="29"/>
    </row>
    <row r="41" spans="1:24">
      <c r="B41" s="12"/>
      <c r="C41" s="20"/>
      <c r="D41" s="11"/>
      <c r="F41" t="s">
        <v>393</v>
      </c>
      <c r="G41" s="20"/>
      <c r="H41" s="24">
        <v>173.7</v>
      </c>
      <c r="L41" s="11"/>
      <c r="N41" s="39" t="s">
        <v>402</v>
      </c>
      <c r="O41" s="19">
        <v>801.67</v>
      </c>
      <c r="P41" s="11" t="s">
        <v>80</v>
      </c>
      <c r="Q41" s="8">
        <v>42661</v>
      </c>
      <c r="S41" s="2"/>
    </row>
    <row r="42" spans="1:24">
      <c r="B42" s="12"/>
      <c r="C42" s="20"/>
      <c r="D42" s="11"/>
      <c r="F42" t="s">
        <v>393</v>
      </c>
      <c r="G42" s="20"/>
      <c r="H42" s="113">
        <v>119</v>
      </c>
      <c r="L42" s="11"/>
      <c r="N42" s="39" t="s">
        <v>284</v>
      </c>
      <c r="O42" s="27">
        <v>3033.16</v>
      </c>
      <c r="P42" s="11"/>
      <c r="S42" s="2"/>
    </row>
    <row r="43" spans="1:24">
      <c r="B43" s="12"/>
      <c r="C43" s="20"/>
      <c r="D43" s="11"/>
      <c r="F43" t="s">
        <v>394</v>
      </c>
      <c r="G43" s="23">
        <v>756.46</v>
      </c>
      <c r="H43" s="14"/>
      <c r="L43" s="11"/>
      <c r="N43" s="39" t="s">
        <v>403</v>
      </c>
      <c r="O43" s="27">
        <v>2589.59</v>
      </c>
      <c r="P43" s="11"/>
      <c r="S43" s="2"/>
    </row>
    <row r="44" spans="1:24">
      <c r="B44" s="12"/>
      <c r="C44" s="20"/>
      <c r="D44" s="11"/>
      <c r="F44" t="s">
        <v>395</v>
      </c>
      <c r="G44" s="20"/>
      <c r="H44" s="113">
        <v>418</v>
      </c>
      <c r="L44" s="11"/>
      <c r="O44" s="19"/>
      <c r="P44" s="11"/>
      <c r="S44" s="2"/>
    </row>
    <row r="45" spans="1:24">
      <c r="B45" s="12"/>
      <c r="C45" s="20"/>
      <c r="D45" s="11"/>
      <c r="F45" t="s">
        <v>398</v>
      </c>
      <c r="G45" s="23">
        <v>1024.46</v>
      </c>
      <c r="H45" s="14"/>
      <c r="L45" s="11"/>
      <c r="N45" s="44"/>
      <c r="O45" s="44"/>
      <c r="P45" s="92"/>
      <c r="S45" s="2"/>
    </row>
    <row r="46" spans="1:24">
      <c r="B46" s="12"/>
      <c r="C46" s="20"/>
      <c r="D46" s="11"/>
      <c r="F46" t="s">
        <v>94</v>
      </c>
      <c r="G46" s="23">
        <v>591.64</v>
      </c>
      <c r="H46" s="11"/>
      <c r="L46" s="11"/>
      <c r="M46" t="s">
        <v>286</v>
      </c>
    </row>
    <row r="47" spans="1:24">
      <c r="B47" s="12"/>
      <c r="C47" s="20"/>
      <c r="D47" s="11"/>
      <c r="G47" s="20"/>
      <c r="H47" s="14"/>
      <c r="L47" s="11"/>
      <c r="M47" s="33"/>
    </row>
    <row r="48" spans="1:24">
      <c r="B48" s="12"/>
      <c r="C48" s="1"/>
      <c r="D48" s="11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0</v>
      </c>
      <c r="D51" s="2">
        <f>SUM(D35:D50)</f>
        <v>0</v>
      </c>
      <c r="F51" t="s">
        <v>2</v>
      </c>
      <c r="G51" s="2">
        <f>SUM(G33:G48)</f>
        <v>650.56000000000006</v>
      </c>
      <c r="H51" s="2">
        <f>SUM(H33:H49)</f>
        <v>2486</v>
      </c>
      <c r="J51" t="s">
        <v>2</v>
      </c>
      <c r="K51" s="2">
        <f>SUM(K33:K48)</f>
        <v>-27.729999999999961</v>
      </c>
      <c r="L51" s="2">
        <f>SUM(L33:L49)</f>
        <v>3232.16</v>
      </c>
      <c r="N51" t="s">
        <v>2</v>
      </c>
      <c r="O51" s="2">
        <f>SUM(O33:O43)</f>
        <v>7999.52</v>
      </c>
      <c r="P51" s="2">
        <f>SUM(P33:P42)</f>
        <v>7999.52</v>
      </c>
    </row>
    <row r="52" spans="2:28">
      <c r="D52" s="2">
        <f>C51-D51</f>
        <v>0</v>
      </c>
      <c r="H52" s="2">
        <f>G51-H51</f>
        <v>-1835.44</v>
      </c>
      <c r="L52" s="2">
        <f>K51-L51</f>
        <v>-3259.89</v>
      </c>
      <c r="P52" s="2">
        <f>O51-P51</f>
        <v>0</v>
      </c>
      <c r="R52" s="2"/>
      <c r="AA52" t="s">
        <v>239</v>
      </c>
      <c r="AB52" s="1">
        <v>10261.049999999999</v>
      </c>
    </row>
    <row r="53" spans="2:28">
      <c r="AA53" t="s">
        <v>240</v>
      </c>
      <c r="AB53" s="1">
        <v>7081.32</v>
      </c>
    </row>
    <row r="54" spans="2:28">
      <c r="B54" t="s">
        <v>282</v>
      </c>
      <c r="L54">
        <v>-3033.16</v>
      </c>
      <c r="P54">
        <f>3033.16+2589.58</f>
        <v>5622.74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-2427.08</v>
      </c>
      <c r="L55" s="2">
        <f>(3033.16+199-475.54-3033.16)</f>
        <v>-276.53999999999996</v>
      </c>
      <c r="P55" s="2">
        <f>-6424.41+P54</f>
        <v>-801.67000000000007</v>
      </c>
      <c r="V55" t="s">
        <v>114</v>
      </c>
      <c r="W55" t="s">
        <v>115</v>
      </c>
      <c r="X55" t="s">
        <v>116</v>
      </c>
      <c r="AA55" t="s">
        <v>242</v>
      </c>
      <c r="AB55" s="2">
        <f>AB54/2</f>
        <v>1589.8649999999998</v>
      </c>
    </row>
    <row r="57" spans="2:28">
      <c r="D57" t="s">
        <v>138</v>
      </c>
      <c r="E57" s="34" t="s">
        <v>120</v>
      </c>
      <c r="F57" s="41"/>
      <c r="G57" s="41"/>
      <c r="H57" s="51">
        <v>591.64</v>
      </c>
      <c r="I57" s="41"/>
      <c r="J57" s="41"/>
      <c r="K57" s="41"/>
      <c r="L57" s="51">
        <v>0</v>
      </c>
      <c r="M57" s="41"/>
      <c r="N57" s="41"/>
      <c r="O57" s="41"/>
      <c r="P57" s="53">
        <v>801.67</v>
      </c>
      <c r="S57" s="1">
        <f>ABS(H55+L55+P55)</f>
        <v>3505.29</v>
      </c>
      <c r="T57" t="s">
        <v>98</v>
      </c>
      <c r="V57" s="1">
        <f>Z59-Z60</f>
        <v>718.67999999999984</v>
      </c>
      <c r="W57" s="2">
        <f>S57-V57</f>
        <v>2786.61</v>
      </c>
      <c r="X57" s="2">
        <f>W57/2</f>
        <v>1393.3050000000001</v>
      </c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>
        <f>U59-P57</f>
        <v>591.64</v>
      </c>
      <c r="S58" s="1"/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-1835.44</v>
      </c>
      <c r="I59" s="44"/>
      <c r="J59" s="44"/>
      <c r="K59" s="44"/>
      <c r="L59" s="45">
        <f>L57+L55</f>
        <v>-276.53999999999996</v>
      </c>
      <c r="M59" s="44"/>
      <c r="N59" s="44"/>
      <c r="O59" s="44"/>
      <c r="P59" s="45"/>
      <c r="U59">
        <v>1393.31</v>
      </c>
      <c r="W59" t="s">
        <v>117</v>
      </c>
      <c r="X59" s="2">
        <f>ABS(X57)</f>
        <v>1393.3050000000001</v>
      </c>
      <c r="Z59" s="1">
        <v>3900</v>
      </c>
      <c r="AA59" s="2">
        <f>X59+Z59</f>
        <v>5293.3050000000003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118</v>
      </c>
      <c r="X60" s="1">
        <f>V57+ABS(X57)</f>
        <v>2111.9849999999997</v>
      </c>
      <c r="Z60" s="1">
        <v>3181.32</v>
      </c>
      <c r="AA60" s="2">
        <f>X60+Z60</f>
        <v>5293.3050000000003</v>
      </c>
    </row>
    <row r="61" spans="2:28">
      <c r="D61" t="s">
        <v>139</v>
      </c>
      <c r="H61" s="2"/>
      <c r="L61" s="2"/>
      <c r="P61" s="2"/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>
        <f>IF(H63=0,H61-H62,)</f>
        <v>0</v>
      </c>
      <c r="I64" s="44"/>
      <c r="J64" s="44"/>
      <c r="K64" s="44"/>
      <c r="L64" s="45">
        <f>IF(L63=0,L61-L62,0)</f>
        <v>0</v>
      </c>
      <c r="M64" s="44"/>
      <c r="N64" s="44"/>
      <c r="O64" s="44"/>
      <c r="P64" s="45">
        <f>IF(P63=0,P61-P62,)</f>
        <v>0</v>
      </c>
      <c r="X64" s="1"/>
    </row>
    <row r="65" spans="12:24">
      <c r="L65" s="60"/>
      <c r="P65" s="27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93" priority="1" operator="lessThan">
      <formula>0</formula>
    </cfRule>
    <cfRule type="cellIs" dxfId="9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:AB65"/>
  <sheetViews>
    <sheetView workbookViewId="0">
      <selection activeCell="F9" sqref="F9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/>
      <c r="P1" s="218"/>
    </row>
    <row r="2" spans="1:16">
      <c r="B2" s="18" t="s">
        <v>0</v>
      </c>
      <c r="C2" s="94">
        <v>39.44</v>
      </c>
      <c r="D2" s="74"/>
      <c r="E2" s="18"/>
      <c r="F2" s="18" t="s">
        <v>0</v>
      </c>
      <c r="G2" s="75">
        <v>0</v>
      </c>
      <c r="H2" s="74"/>
      <c r="I2" s="18"/>
      <c r="J2" s="18" t="s">
        <v>0</v>
      </c>
      <c r="K2" s="73">
        <v>6015.55</v>
      </c>
      <c r="L2" s="74"/>
      <c r="N2" s="18"/>
      <c r="O2" s="73"/>
      <c r="P2" s="97"/>
    </row>
    <row r="3" spans="1:16">
      <c r="B3" s="18" t="s">
        <v>39</v>
      </c>
      <c r="C3" s="23">
        <v>578.75</v>
      </c>
      <c r="D3" s="11"/>
      <c r="E3" s="76"/>
      <c r="F3" s="18" t="s">
        <v>331</v>
      </c>
      <c r="G3" s="20">
        <v>2589.98</v>
      </c>
      <c r="H3" s="11"/>
      <c r="I3" s="18"/>
      <c r="J3" s="18" t="s">
        <v>10</v>
      </c>
      <c r="K3" s="20">
        <v>12.72</v>
      </c>
      <c r="L3" s="77"/>
      <c r="N3" s="18"/>
      <c r="O3" s="20"/>
      <c r="P3" s="11"/>
    </row>
    <row r="4" spans="1:16">
      <c r="B4" s="18" t="s">
        <v>40</v>
      </c>
      <c r="C4" s="23">
        <v>15647.31</v>
      </c>
      <c r="D4" s="11"/>
      <c r="E4" s="18"/>
      <c r="F4" s="18" t="s">
        <v>1</v>
      </c>
      <c r="G4" s="20">
        <v>3181.32</v>
      </c>
      <c r="H4" s="11"/>
      <c r="I4" s="18"/>
      <c r="J4" s="18" t="s">
        <v>201</v>
      </c>
      <c r="K4" s="23">
        <v>0</v>
      </c>
      <c r="L4" s="77"/>
      <c r="N4" s="18"/>
      <c r="O4" s="20"/>
      <c r="P4" s="11"/>
    </row>
    <row r="5" spans="1:16">
      <c r="B5" s="18" t="s">
        <v>406</v>
      </c>
      <c r="C5" s="20"/>
      <c r="D5" s="24">
        <v>1250</v>
      </c>
      <c r="E5" s="18"/>
      <c r="F5" s="18" t="s">
        <v>9</v>
      </c>
      <c r="G5" s="20"/>
      <c r="H5" s="11">
        <v>3181.32</v>
      </c>
      <c r="I5" s="18"/>
      <c r="J5" s="18"/>
      <c r="K5" s="20"/>
      <c r="L5" s="11"/>
      <c r="N5" s="18"/>
      <c r="O5" s="20"/>
      <c r="P5" s="11"/>
    </row>
    <row r="6" spans="1:16">
      <c r="A6" t="s">
        <v>408</v>
      </c>
      <c r="B6" s="74" t="s">
        <v>17</v>
      </c>
      <c r="C6" s="107"/>
      <c r="D6" s="24">
        <v>1835.44</v>
      </c>
      <c r="E6" s="18"/>
      <c r="F6" s="18" t="s">
        <v>420</v>
      </c>
      <c r="G6" s="20">
        <v>801.67</v>
      </c>
      <c r="H6" s="11"/>
      <c r="I6" s="76"/>
      <c r="J6" s="18"/>
      <c r="K6" s="20"/>
      <c r="L6" s="77"/>
      <c r="N6" s="18"/>
      <c r="O6" s="20"/>
      <c r="P6" s="11"/>
    </row>
    <row r="7" spans="1:16">
      <c r="A7" s="1"/>
      <c r="B7" s="109" t="s">
        <v>308</v>
      </c>
      <c r="C7" s="110"/>
      <c r="D7" s="24">
        <v>276.54000000000002</v>
      </c>
      <c r="E7" s="76"/>
      <c r="F7" s="18"/>
      <c r="G7" s="20"/>
      <c r="H7" s="11"/>
      <c r="I7" s="76"/>
      <c r="J7" s="18"/>
      <c r="K7" s="20"/>
      <c r="L7" s="77"/>
      <c r="N7" s="18"/>
      <c r="O7" s="20"/>
      <c r="P7" s="77"/>
    </row>
    <row r="8" spans="1:16">
      <c r="B8" s="39" t="s">
        <v>331</v>
      </c>
      <c r="C8" s="20"/>
      <c r="D8" s="24">
        <v>2589.98</v>
      </c>
      <c r="E8" s="18"/>
      <c r="F8" s="39"/>
      <c r="G8" s="20"/>
      <c r="H8" s="11"/>
      <c r="I8" s="76"/>
      <c r="J8" s="18"/>
      <c r="K8" s="20"/>
      <c r="L8" s="39"/>
      <c r="N8" s="18"/>
      <c r="O8" s="20"/>
      <c r="P8" s="39"/>
    </row>
    <row r="9" spans="1:16">
      <c r="B9" s="39" t="s">
        <v>1</v>
      </c>
      <c r="C9" s="20"/>
      <c r="D9" s="24">
        <v>3181.32</v>
      </c>
      <c r="E9" s="18"/>
      <c r="F9" s="39"/>
      <c r="G9" s="20"/>
      <c r="H9" s="11"/>
      <c r="I9" s="18"/>
      <c r="J9" s="18"/>
      <c r="K9" s="18"/>
      <c r="L9" s="18"/>
      <c r="N9" s="18"/>
      <c r="O9" s="18"/>
      <c r="P9" s="18"/>
    </row>
    <row r="10" spans="1:16">
      <c r="B10" s="39" t="s">
        <v>409</v>
      </c>
      <c r="C10" s="20"/>
      <c r="D10" s="11">
        <v>1300</v>
      </c>
      <c r="E10" s="76"/>
      <c r="F10" s="39"/>
      <c r="G10" s="20"/>
      <c r="H10" s="11"/>
      <c r="I10" s="18"/>
      <c r="J10" s="18"/>
      <c r="K10" s="18"/>
      <c r="L10" s="18"/>
      <c r="N10" s="18"/>
      <c r="O10" s="18"/>
      <c r="P10" s="18"/>
    </row>
    <row r="11" spans="1:16">
      <c r="B11" s="39" t="s">
        <v>327</v>
      </c>
      <c r="C11" s="20"/>
      <c r="D11" s="24">
        <v>3033.16</v>
      </c>
      <c r="E11" s="39"/>
      <c r="F11" s="91"/>
      <c r="G11" s="20"/>
      <c r="H11" s="11"/>
      <c r="I11" s="18"/>
      <c r="J11" s="18"/>
      <c r="K11" s="18"/>
      <c r="L11" s="18"/>
    </row>
    <row r="12" spans="1:16">
      <c r="B12" s="39" t="s">
        <v>411</v>
      </c>
      <c r="C12" s="20"/>
      <c r="D12" s="24">
        <v>84</v>
      </c>
      <c r="E12" s="39"/>
      <c r="F12" s="39"/>
      <c r="G12" s="20"/>
      <c r="H12" s="11"/>
      <c r="I12" s="16"/>
      <c r="J12" s="18"/>
      <c r="K12" s="18"/>
      <c r="L12" s="18"/>
    </row>
    <row r="13" spans="1:16">
      <c r="B13" s="39" t="s">
        <v>410</v>
      </c>
      <c r="C13" s="20"/>
      <c r="D13" s="24">
        <v>48</v>
      </c>
      <c r="E13" s="39"/>
      <c r="F13" s="18"/>
      <c r="G13" s="20"/>
      <c r="H13" s="11"/>
      <c r="I13" s="18"/>
      <c r="J13" s="18"/>
      <c r="K13" s="18"/>
      <c r="L13" s="18"/>
    </row>
    <row r="14" spans="1:16">
      <c r="B14" s="39" t="s">
        <v>418</v>
      </c>
      <c r="C14" s="20"/>
      <c r="D14" s="24">
        <v>950</v>
      </c>
      <c r="E14" s="39"/>
      <c r="F14" s="18"/>
      <c r="G14" s="20"/>
      <c r="H14" s="11"/>
      <c r="I14" s="18"/>
      <c r="J14" s="18"/>
      <c r="K14" s="18"/>
      <c r="L14" s="18"/>
    </row>
    <row r="15" spans="1:16">
      <c r="B15" s="39" t="s">
        <v>419</v>
      </c>
      <c r="C15" s="23">
        <v>411</v>
      </c>
      <c r="D15" s="11"/>
      <c r="E15" s="39"/>
      <c r="F15" s="18"/>
      <c r="G15" s="20"/>
      <c r="H15" s="11"/>
      <c r="I15" s="18"/>
      <c r="J15" s="18"/>
      <c r="K15" s="18"/>
      <c r="L15" s="18"/>
    </row>
    <row r="16" spans="1:16">
      <c r="B16" s="39" t="s">
        <v>421</v>
      </c>
      <c r="C16" s="20"/>
      <c r="D16" s="24">
        <v>100</v>
      </c>
      <c r="E16" s="39"/>
      <c r="F16" s="18"/>
      <c r="G16" s="20"/>
      <c r="H16" s="11"/>
      <c r="I16" s="18"/>
      <c r="J16" s="18"/>
      <c r="K16" s="18"/>
      <c r="L16" s="18"/>
    </row>
    <row r="17" spans="1:24">
      <c r="B17" s="39" t="s">
        <v>422</v>
      </c>
      <c r="C17" s="23">
        <v>15.55</v>
      </c>
      <c r="D17" s="11"/>
      <c r="E17" s="39"/>
      <c r="F17" s="18"/>
      <c r="G17" s="20"/>
      <c r="H17" s="11"/>
      <c r="I17" s="18"/>
      <c r="J17" s="18"/>
      <c r="K17" s="18"/>
      <c r="L17" s="18"/>
    </row>
    <row r="18" spans="1:24">
      <c r="B18" s="39" t="s">
        <v>423</v>
      </c>
      <c r="C18" s="20"/>
      <c r="D18" s="24">
        <v>1494.12</v>
      </c>
      <c r="G18" s="20"/>
      <c r="H18" s="11"/>
    </row>
    <row r="19" spans="1:24">
      <c r="B19" s="39" t="s">
        <v>424</v>
      </c>
      <c r="C19" s="20"/>
      <c r="D19" s="24">
        <v>100</v>
      </c>
      <c r="E19" s="96"/>
      <c r="G19" s="20"/>
      <c r="H19" s="11"/>
    </row>
    <row r="20" spans="1:24">
      <c r="B20" s="39" t="s">
        <v>425</v>
      </c>
      <c r="C20" s="20"/>
      <c r="D20" s="24">
        <v>400</v>
      </c>
      <c r="G20" s="20"/>
      <c r="H20" s="19"/>
    </row>
    <row r="21" spans="1:24">
      <c r="A21" s="39"/>
      <c r="B21" s="39"/>
      <c r="C21" s="20"/>
      <c r="D21" s="11"/>
      <c r="G21" s="20"/>
      <c r="H21" s="19"/>
    </row>
    <row r="22" spans="1:24">
      <c r="B22" s="39"/>
      <c r="C22" s="20"/>
      <c r="D22" s="11"/>
      <c r="G22" s="20"/>
      <c r="H22" s="19"/>
    </row>
    <row r="23" spans="1:24">
      <c r="B23" s="39"/>
      <c r="C23" s="20"/>
      <c r="D23" s="11"/>
      <c r="G23" s="20"/>
      <c r="H23" s="19"/>
    </row>
    <row r="24" spans="1:24">
      <c r="B24" s="39"/>
      <c r="C24" s="20"/>
      <c r="D24" s="11"/>
      <c r="G24" s="20"/>
      <c r="H24" s="19"/>
    </row>
    <row r="25" spans="1:24">
      <c r="B25" s="39"/>
      <c r="C25" s="1"/>
      <c r="D25" s="11"/>
      <c r="G25" s="20"/>
      <c r="H25" s="19"/>
    </row>
    <row r="26" spans="1:24">
      <c r="B26" s="39"/>
      <c r="C26" s="1"/>
      <c r="D26" s="11"/>
      <c r="G26" s="20"/>
      <c r="H26" s="19"/>
    </row>
    <row r="27" spans="1:24">
      <c r="B27" s="39"/>
      <c r="C27" s="1"/>
      <c r="D27" s="11"/>
      <c r="G27" s="20"/>
      <c r="H27" s="19"/>
    </row>
    <row r="28" spans="1:24">
      <c r="B28" t="s">
        <v>2</v>
      </c>
      <c r="C28" s="2">
        <f>SUM(C2:C27)</f>
        <v>16692.05</v>
      </c>
      <c r="D28" s="2">
        <f>SUM(D3:D27)</f>
        <v>16642.560000000001</v>
      </c>
      <c r="F28" t="s">
        <v>2</v>
      </c>
      <c r="G28" s="2">
        <f>SUM(G2:G18)</f>
        <v>6572.97</v>
      </c>
      <c r="H28" s="2">
        <f>SUM(H3:H19)</f>
        <v>3181.32</v>
      </c>
      <c r="J28" t="s">
        <v>2</v>
      </c>
      <c r="K28" s="2">
        <f>SUM(K1:K10)</f>
        <v>6028.27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49.489999999997963</v>
      </c>
      <c r="H29" s="2">
        <f>G28-H28</f>
        <v>3391.65</v>
      </c>
      <c r="L29" s="2">
        <f>K28-L28</f>
        <v>6028.27</v>
      </c>
      <c r="P29" s="2">
        <f>O28-P28</f>
        <v>0</v>
      </c>
    </row>
    <row r="31" spans="1:24">
      <c r="V31" s="102">
        <v>42661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4">
      <c r="B33" t="s">
        <v>0</v>
      </c>
      <c r="C33" s="3">
        <v>0</v>
      </c>
      <c r="D33" s="4"/>
      <c r="F33" t="s">
        <v>0</v>
      </c>
      <c r="G33" s="3">
        <v>-1835.44</v>
      </c>
      <c r="H33" s="4"/>
      <c r="J33" t="s">
        <v>0</v>
      </c>
      <c r="K33" s="3">
        <v>-503.27</v>
      </c>
      <c r="L33" s="4"/>
      <c r="M33" s="33"/>
      <c r="N33" t="s">
        <v>0</v>
      </c>
      <c r="O33" s="3">
        <v>0</v>
      </c>
      <c r="P33" s="4"/>
      <c r="S33" s="1">
        <v>-4998</v>
      </c>
      <c r="T33">
        <v>18</v>
      </c>
      <c r="U33" s="2">
        <f>S33/T33</f>
        <v>-277.66666666666669</v>
      </c>
      <c r="V33">
        <v>6</v>
      </c>
      <c r="W33" s="2">
        <f>U33*V33</f>
        <v>-1666</v>
      </c>
      <c r="X33" s="2">
        <f>S33-W33</f>
        <v>-3332</v>
      </c>
    </row>
    <row r="34" spans="2:24">
      <c r="B34" s="39"/>
      <c r="C34" s="1">
        <v>1250</v>
      </c>
      <c r="D34" s="1"/>
      <c r="F34" t="s">
        <v>169</v>
      </c>
      <c r="G34" s="20">
        <v>1835.44</v>
      </c>
      <c r="H34" s="14"/>
      <c r="K34" s="85"/>
      <c r="L34" s="86"/>
      <c r="M34" s="29"/>
      <c r="O34" s="85"/>
      <c r="P34" s="86"/>
      <c r="Q34" s="93"/>
      <c r="S34" s="1">
        <v>-3144</v>
      </c>
      <c r="T34">
        <v>6</v>
      </c>
      <c r="U34" s="2">
        <f>S34/T34</f>
        <v>-524</v>
      </c>
      <c r="V34">
        <v>6</v>
      </c>
      <c r="W34" s="2">
        <f>U34*V34</f>
        <v>-3144</v>
      </c>
      <c r="X34" s="2">
        <f>S34-W34</f>
        <v>0</v>
      </c>
    </row>
    <row r="35" spans="2:24">
      <c r="B35" s="39" t="s">
        <v>407</v>
      </c>
      <c r="C35" s="1"/>
      <c r="D35" s="11">
        <v>145</v>
      </c>
      <c r="F35" t="s">
        <v>172</v>
      </c>
      <c r="G35" s="20"/>
      <c r="H35" s="14">
        <v>100</v>
      </c>
      <c r="J35" t="s">
        <v>259</v>
      </c>
      <c r="K35" s="1"/>
      <c r="L35" s="11">
        <v>199</v>
      </c>
      <c r="N35" t="s">
        <v>373</v>
      </c>
      <c r="O35" s="18"/>
      <c r="P35" s="24">
        <v>2589.59</v>
      </c>
      <c r="S35" s="1">
        <v>-18198.95</v>
      </c>
      <c r="T35">
        <v>6</v>
      </c>
      <c r="U35" s="2">
        <f>S35/T35</f>
        <v>-3033.1583333333333</v>
      </c>
      <c r="V35">
        <v>4</v>
      </c>
      <c r="W35" s="2">
        <f>U35*V35</f>
        <v>-12132.633333333333</v>
      </c>
      <c r="X35" s="2">
        <f>S35-W35</f>
        <v>-6066.3166666666675</v>
      </c>
    </row>
    <row r="36" spans="2:24">
      <c r="B36" s="39" t="s">
        <v>345</v>
      </c>
      <c r="C36" s="1"/>
      <c r="D36" s="11">
        <v>745</v>
      </c>
      <c r="F36" s="12" t="s">
        <v>426</v>
      </c>
      <c r="G36" s="20"/>
      <c r="H36" s="14">
        <v>698</v>
      </c>
      <c r="J36" t="s">
        <v>281</v>
      </c>
      <c r="K36" s="1"/>
      <c r="L36" s="11">
        <v>3033.16</v>
      </c>
      <c r="N36" t="s">
        <v>374</v>
      </c>
      <c r="O36" s="19"/>
      <c r="P36" s="24">
        <v>3033.16</v>
      </c>
      <c r="S36" s="1">
        <v>-7768.75</v>
      </c>
      <c r="T36">
        <v>3</v>
      </c>
      <c r="U36" s="2">
        <f>S36/T36</f>
        <v>-2589.5833333333335</v>
      </c>
      <c r="V36">
        <v>3</v>
      </c>
      <c r="W36" s="2">
        <f>U36*V36</f>
        <v>-7768.75</v>
      </c>
      <c r="X36" s="2">
        <f>S36-W36</f>
        <v>0</v>
      </c>
    </row>
    <row r="37" spans="2:24">
      <c r="B37" s="39" t="s">
        <v>48</v>
      </c>
      <c r="C37" s="20"/>
      <c r="D37" s="11">
        <v>260</v>
      </c>
      <c r="F37" t="s">
        <v>427</v>
      </c>
      <c r="H37" s="14">
        <v>719</v>
      </c>
      <c r="J37" t="s">
        <v>258</v>
      </c>
      <c r="K37" s="23">
        <v>475.54</v>
      </c>
      <c r="L37" s="11"/>
      <c r="N37" t="s">
        <v>375</v>
      </c>
      <c r="O37" s="19"/>
      <c r="P37" s="24">
        <v>277.67</v>
      </c>
    </row>
    <row r="38" spans="2:24">
      <c r="B38" s="39" t="s">
        <v>412</v>
      </c>
      <c r="C38" s="20">
        <v>650</v>
      </c>
      <c r="D38" s="11"/>
      <c r="F38" s="116" t="s">
        <v>428</v>
      </c>
      <c r="H38" s="14">
        <v>83</v>
      </c>
      <c r="K38" s="1"/>
      <c r="L38" s="11" t="s">
        <v>229</v>
      </c>
      <c r="M38" s="29"/>
      <c r="N38" t="s">
        <v>376</v>
      </c>
      <c r="O38" s="19"/>
      <c r="P38" s="24">
        <v>524</v>
      </c>
      <c r="Q38" s="29"/>
      <c r="R38" t="s">
        <v>11</v>
      </c>
      <c r="S38" s="2">
        <f>SUM(S33:S36)</f>
        <v>-34109.699999999997</v>
      </c>
      <c r="X38" s="2">
        <f>SUM(X33:X36)</f>
        <v>-9398.3166666666675</v>
      </c>
    </row>
    <row r="39" spans="2:24">
      <c r="B39" s="39" t="s">
        <v>413</v>
      </c>
      <c r="C39" s="20">
        <v>300</v>
      </c>
      <c r="D39" s="11"/>
      <c r="F39" t="s">
        <v>20</v>
      </c>
      <c r="H39" s="14">
        <v>129</v>
      </c>
      <c r="K39" s="1"/>
      <c r="L39" s="11">
        <v>27.85</v>
      </c>
      <c r="M39" s="29"/>
      <c r="N39" s="39" t="s">
        <v>347</v>
      </c>
      <c r="O39" s="19"/>
      <c r="P39" s="24">
        <v>1575.1</v>
      </c>
      <c r="Q39" s="29"/>
    </row>
    <row r="40" spans="2:24">
      <c r="B40" s="39" t="s">
        <v>414</v>
      </c>
      <c r="C40" s="20"/>
      <c r="D40" s="11">
        <v>240</v>
      </c>
      <c r="F40" t="s">
        <v>429</v>
      </c>
      <c r="H40" s="14">
        <v>149</v>
      </c>
      <c r="J40" t="s">
        <v>169</v>
      </c>
      <c r="K40">
        <v>276.54000000000002</v>
      </c>
      <c r="L40" s="11"/>
      <c r="N40" s="39" t="s">
        <v>349</v>
      </c>
      <c r="O40" s="23">
        <v>1575.1</v>
      </c>
      <c r="P40" s="11"/>
      <c r="Q40" s="29"/>
    </row>
    <row r="41" spans="2:24">
      <c r="B41" s="39" t="s">
        <v>4</v>
      </c>
      <c r="C41" s="20"/>
      <c r="D41" s="11">
        <v>400</v>
      </c>
      <c r="E41" t="s">
        <v>417</v>
      </c>
      <c r="F41" t="s">
        <v>21</v>
      </c>
      <c r="H41" s="14">
        <v>319.83999999999997</v>
      </c>
      <c r="J41" t="s">
        <v>284</v>
      </c>
      <c r="K41">
        <v>3033.16</v>
      </c>
      <c r="L41" s="11"/>
      <c r="N41" s="39" t="s">
        <v>402</v>
      </c>
      <c r="O41" s="19"/>
      <c r="P41" s="11" t="s">
        <v>80</v>
      </c>
      <c r="Q41" s="8">
        <v>42661</v>
      </c>
      <c r="S41" s="2"/>
    </row>
    <row r="42" spans="2:24">
      <c r="B42" s="39" t="s">
        <v>415</v>
      </c>
      <c r="C42" s="20"/>
      <c r="D42" s="11">
        <v>105</v>
      </c>
      <c r="F42" t="s">
        <v>430</v>
      </c>
      <c r="H42" s="14">
        <v>136.72</v>
      </c>
      <c r="L42" s="11"/>
      <c r="N42" s="39" t="s">
        <v>284</v>
      </c>
      <c r="O42" s="27">
        <v>3033.16</v>
      </c>
      <c r="P42" s="11"/>
      <c r="S42" s="2"/>
    </row>
    <row r="43" spans="2:24">
      <c r="B43" s="39" t="s">
        <v>416</v>
      </c>
      <c r="C43" s="20"/>
      <c r="D43" s="11">
        <v>205</v>
      </c>
      <c r="F43" t="s">
        <v>173</v>
      </c>
      <c r="H43" s="14">
        <v>245.7</v>
      </c>
      <c r="L43" s="11"/>
      <c r="N43" s="39" t="s">
        <v>403</v>
      </c>
      <c r="O43" s="27">
        <v>2589.59</v>
      </c>
      <c r="P43" s="11"/>
      <c r="S43" s="2"/>
    </row>
    <row r="44" spans="2:24">
      <c r="B44" s="12"/>
      <c r="C44" s="20"/>
      <c r="D44" s="11"/>
      <c r="F44" t="s">
        <v>431</v>
      </c>
      <c r="H44" s="14">
        <v>457</v>
      </c>
      <c r="L44" s="11"/>
      <c r="O44" s="19"/>
      <c r="P44" s="11"/>
      <c r="S44" s="2"/>
    </row>
    <row r="45" spans="2:24">
      <c r="B45" s="12"/>
      <c r="C45" s="20"/>
      <c r="D45" s="11"/>
      <c r="F45" t="s">
        <v>87</v>
      </c>
      <c r="H45" s="14">
        <v>134</v>
      </c>
      <c r="L45" s="11"/>
      <c r="N45" s="44"/>
      <c r="O45" s="44"/>
      <c r="P45" s="92"/>
      <c r="S45" s="2"/>
    </row>
    <row r="46" spans="2:24">
      <c r="B46" s="12"/>
      <c r="C46" s="20"/>
      <c r="D46" s="11"/>
      <c r="F46" t="s">
        <v>87</v>
      </c>
      <c r="H46" s="11">
        <v>429</v>
      </c>
      <c r="L46" s="11"/>
      <c r="M46" t="s">
        <v>286</v>
      </c>
    </row>
    <row r="47" spans="2:24">
      <c r="B47" s="12"/>
      <c r="C47" s="20"/>
      <c r="D47" s="11"/>
      <c r="F47" t="s">
        <v>87</v>
      </c>
      <c r="G47" s="20"/>
      <c r="H47" s="14">
        <v>127</v>
      </c>
      <c r="L47" s="11"/>
      <c r="M47" s="33"/>
    </row>
    <row r="48" spans="2:24">
      <c r="B48" s="12"/>
      <c r="C48" s="1"/>
      <c r="D48" s="11"/>
      <c r="F48" t="s">
        <v>169</v>
      </c>
      <c r="G48">
        <v>400</v>
      </c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2200</v>
      </c>
      <c r="D51" s="2">
        <f>SUM(D35:D50)</f>
        <v>2100</v>
      </c>
      <c r="F51" t="s">
        <v>2</v>
      </c>
      <c r="G51" s="2">
        <f>SUM(G33:G48)</f>
        <v>400</v>
      </c>
      <c r="H51" s="2">
        <f>SUM(H33:H49)</f>
        <v>3727.2599999999998</v>
      </c>
      <c r="J51" t="s">
        <v>2</v>
      </c>
      <c r="K51" s="2">
        <f>SUM(K33:K48)</f>
        <v>3281.97</v>
      </c>
      <c r="L51" s="2">
        <f>SUM(L33:L49)</f>
        <v>3260.0099999999998</v>
      </c>
      <c r="N51" t="s">
        <v>2</v>
      </c>
      <c r="O51" s="2">
        <f>SUM(O33:O43)</f>
        <v>7197.85</v>
      </c>
      <c r="P51" s="2">
        <f>SUM(P33:P42)</f>
        <v>7999.52</v>
      </c>
    </row>
    <row r="52" spans="2:28">
      <c r="D52" s="2">
        <f>C51-D51</f>
        <v>100</v>
      </c>
      <c r="H52" s="2">
        <f>G51-H51</f>
        <v>-3327.2599999999998</v>
      </c>
      <c r="L52" s="2">
        <f>K51-L51</f>
        <v>21.960000000000036</v>
      </c>
      <c r="P52" s="2">
        <f>O51-P51</f>
        <v>-801.67000000000007</v>
      </c>
      <c r="R52" s="2"/>
      <c r="AA52" t="s">
        <v>239</v>
      </c>
      <c r="AB52" s="1">
        <v>10261.049999999999</v>
      </c>
    </row>
    <row r="53" spans="2:28">
      <c r="AA53" t="s">
        <v>240</v>
      </c>
      <c r="AB53" s="1">
        <v>7081.32</v>
      </c>
    </row>
    <row r="54" spans="2:28">
      <c r="B54" t="s">
        <v>282</v>
      </c>
      <c r="L54">
        <v>-3033.16</v>
      </c>
      <c r="P54">
        <f>3033.16+2589.58</f>
        <v>5622.74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-2427.08</v>
      </c>
      <c r="L55" s="2">
        <f>(3033.16+199-475.54-3033.16)</f>
        <v>-276.53999999999996</v>
      </c>
      <c r="P55" s="2">
        <f>-6424.41+P54</f>
        <v>-801.67000000000007</v>
      </c>
      <c r="V55" t="s">
        <v>114</v>
      </c>
      <c r="W55" t="s">
        <v>115</v>
      </c>
      <c r="X55" t="s">
        <v>116</v>
      </c>
      <c r="AA55" t="s">
        <v>242</v>
      </c>
      <c r="AB55" s="2">
        <f>AB54/2</f>
        <v>1589.8649999999998</v>
      </c>
    </row>
    <row r="57" spans="2:28">
      <c r="D57" t="s">
        <v>138</v>
      </c>
      <c r="E57" s="34" t="s">
        <v>120</v>
      </c>
      <c r="F57" s="41"/>
      <c r="G57" s="41"/>
      <c r="H57" s="51">
        <v>591.64</v>
      </c>
      <c r="I57" s="41"/>
      <c r="J57" s="41"/>
      <c r="K57" s="41"/>
      <c r="L57" s="51">
        <v>0</v>
      </c>
      <c r="M57" s="41"/>
      <c r="N57" s="41"/>
      <c r="O57" s="41"/>
      <c r="P57" s="53">
        <v>801.67</v>
      </c>
      <c r="S57" s="1">
        <f>ABS(H55+L55+P55)</f>
        <v>3505.29</v>
      </c>
      <c r="T57" t="s">
        <v>98</v>
      </c>
      <c r="V57" s="1">
        <f>Z59-Z60</f>
        <v>718.67999999999984</v>
      </c>
      <c r="W57" s="2">
        <f>S57-V57</f>
        <v>2786.61</v>
      </c>
      <c r="X57" s="2">
        <f>W57/2</f>
        <v>1393.3050000000001</v>
      </c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>
        <f>U59-P57</f>
        <v>591.64</v>
      </c>
      <c r="S58" s="1"/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-1835.44</v>
      </c>
      <c r="I59" s="44"/>
      <c r="J59" s="44"/>
      <c r="K59" s="44"/>
      <c r="L59" s="45">
        <f>L57+L55</f>
        <v>-276.53999999999996</v>
      </c>
      <c r="M59" s="44"/>
      <c r="N59" s="44"/>
      <c r="O59" s="44"/>
      <c r="P59" s="45"/>
      <c r="U59">
        <v>1393.31</v>
      </c>
      <c r="W59" t="s">
        <v>117</v>
      </c>
      <c r="X59" s="2">
        <f>ABS(X57)</f>
        <v>1393.3050000000001</v>
      </c>
      <c r="Z59" s="1">
        <v>3900</v>
      </c>
      <c r="AA59" s="2">
        <f>X59+Z59</f>
        <v>5293.3050000000003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118</v>
      </c>
      <c r="X60" s="1">
        <f>V57+ABS(X57)</f>
        <v>2111.9849999999997</v>
      </c>
      <c r="Z60" s="1">
        <v>3181.32</v>
      </c>
      <c r="AA60" s="2">
        <f>X60+Z60</f>
        <v>5293.3050000000003</v>
      </c>
    </row>
    <row r="61" spans="2:28">
      <c r="D61" t="s">
        <v>139</v>
      </c>
      <c r="H61" s="2"/>
      <c r="L61" s="2"/>
      <c r="P61" s="2"/>
    </row>
    <row r="62" spans="2:28">
      <c r="E62" s="34" t="s">
        <v>169</v>
      </c>
      <c r="F62" s="41"/>
      <c r="G62" s="41"/>
      <c r="H62" s="51">
        <v>1835.44</v>
      </c>
      <c r="I62" s="41"/>
      <c r="J62" s="41"/>
      <c r="K62" s="41"/>
      <c r="L62" s="51">
        <v>276.54000000000002</v>
      </c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>
        <f>IF(H63=0,H61-H62,)</f>
        <v>-1835.44</v>
      </c>
      <c r="I64" s="44"/>
      <c r="J64" s="44"/>
      <c r="K64" s="44"/>
      <c r="L64" s="45">
        <f>IF(L63=0,L61-L62,0)</f>
        <v>-276.54000000000002</v>
      </c>
      <c r="M64" s="44"/>
      <c r="N64" s="44"/>
      <c r="O64" s="44"/>
      <c r="P64" s="45">
        <f>IF(P63=0,P61-P62,)</f>
        <v>0</v>
      </c>
      <c r="X64" s="1"/>
    </row>
    <row r="65" spans="12:24">
      <c r="L65" s="60"/>
      <c r="P65" s="27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91" priority="1" operator="lessThan">
      <formula>0</formula>
    </cfRule>
    <cfRule type="cellIs" dxfId="9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:AB65"/>
  <sheetViews>
    <sheetView workbookViewId="0">
      <selection activeCell="C3" sqref="C3:C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/>
      <c r="P1" s="218"/>
    </row>
    <row r="2" spans="1:16">
      <c r="B2" s="18" t="s">
        <v>0</v>
      </c>
      <c r="C2" s="94">
        <v>49.49</v>
      </c>
      <c r="D2" s="74"/>
      <c r="E2" s="18"/>
      <c r="F2" s="18" t="s">
        <v>0</v>
      </c>
      <c r="G2" s="75">
        <v>3391.65</v>
      </c>
      <c r="H2" s="74"/>
      <c r="I2" s="18"/>
      <c r="J2" s="18" t="s">
        <v>0</v>
      </c>
      <c r="K2" s="73">
        <v>6040</v>
      </c>
      <c r="L2" s="74"/>
      <c r="N2" s="18"/>
      <c r="O2" s="73"/>
      <c r="P2" s="97"/>
    </row>
    <row r="3" spans="1:16">
      <c r="B3" s="18" t="s">
        <v>39</v>
      </c>
      <c r="C3" s="23">
        <v>559.74</v>
      </c>
      <c r="D3" s="11"/>
      <c r="E3" s="76"/>
      <c r="F3" s="18" t="s">
        <v>281</v>
      </c>
      <c r="G3" s="23">
        <v>3033.16</v>
      </c>
      <c r="H3" s="11"/>
      <c r="I3" s="18"/>
      <c r="J3" s="18" t="s">
        <v>10</v>
      </c>
      <c r="K3" s="23">
        <v>8.5500000000000007</v>
      </c>
      <c r="L3" s="77"/>
      <c r="N3" s="18"/>
      <c r="O3" s="20"/>
      <c r="P3" s="11"/>
    </row>
    <row r="4" spans="1:16">
      <c r="B4" s="18" t="s">
        <v>40</v>
      </c>
      <c r="C4" s="23">
        <v>15695.72</v>
      </c>
      <c r="D4" s="11"/>
      <c r="E4" s="18"/>
      <c r="F4" s="18" t="s">
        <v>251</v>
      </c>
      <c r="G4" s="23">
        <v>801.67</v>
      </c>
      <c r="H4" s="11"/>
      <c r="I4" s="18"/>
      <c r="J4" s="18" t="s">
        <v>201</v>
      </c>
      <c r="K4" s="23">
        <v>2999.14</v>
      </c>
      <c r="L4" s="77"/>
      <c r="N4" s="18"/>
      <c r="O4" s="20"/>
      <c r="P4" s="11"/>
    </row>
    <row r="5" spans="1:16">
      <c r="B5" s="18" t="s">
        <v>432</v>
      </c>
      <c r="C5" s="23">
        <v>1000</v>
      </c>
      <c r="D5" s="11"/>
      <c r="E5" s="18"/>
      <c r="F5" s="18" t="s">
        <v>434</v>
      </c>
      <c r="G5" s="23">
        <v>2000</v>
      </c>
      <c r="H5" s="11"/>
      <c r="I5" s="18"/>
      <c r="J5" s="18"/>
      <c r="K5" s="20"/>
      <c r="L5" s="11"/>
      <c r="N5" s="18"/>
      <c r="O5" s="20"/>
      <c r="P5" s="11"/>
    </row>
    <row r="6" spans="1:16">
      <c r="B6" s="39" t="s">
        <v>433</v>
      </c>
      <c r="C6" s="20"/>
      <c r="D6" s="24">
        <v>3033.16</v>
      </c>
      <c r="E6" s="18"/>
      <c r="F6" s="18" t="s">
        <v>94</v>
      </c>
      <c r="G6" s="20"/>
      <c r="H6" s="11">
        <v>7225.5</v>
      </c>
      <c r="I6" s="76"/>
      <c r="J6" s="18"/>
      <c r="K6" s="20"/>
      <c r="L6" s="77"/>
      <c r="N6" s="18"/>
      <c r="O6" s="20"/>
      <c r="P6" s="11"/>
    </row>
    <row r="7" spans="1:16">
      <c r="A7" s="1" t="s">
        <v>94</v>
      </c>
      <c r="B7" s="64" t="s">
        <v>222</v>
      </c>
      <c r="C7" s="105"/>
      <c r="D7" s="58">
        <v>801.67</v>
      </c>
      <c r="E7" s="76"/>
      <c r="F7" s="18"/>
      <c r="G7" s="20"/>
      <c r="H7" s="11"/>
      <c r="I7" s="76"/>
      <c r="J7" s="18"/>
      <c r="K7" s="20"/>
      <c r="L7" s="77"/>
      <c r="N7" s="18"/>
      <c r="O7" s="20"/>
      <c r="P7" s="77"/>
    </row>
    <row r="8" spans="1:16">
      <c r="B8" s="67" t="s">
        <v>219</v>
      </c>
      <c r="C8" s="106"/>
      <c r="D8" s="61">
        <v>1041.73</v>
      </c>
      <c r="E8" s="18"/>
      <c r="F8" s="39"/>
      <c r="G8" s="20"/>
      <c r="H8" s="11"/>
      <c r="I8" s="76"/>
      <c r="J8" s="18"/>
      <c r="K8" s="20"/>
      <c r="L8" s="39"/>
      <c r="N8" s="18"/>
      <c r="O8" s="20"/>
      <c r="P8" s="39"/>
    </row>
    <row r="9" spans="1:16">
      <c r="B9" s="39" t="s">
        <v>43</v>
      </c>
      <c r="C9" s="20"/>
      <c r="D9" s="11">
        <v>3900</v>
      </c>
      <c r="E9" s="18"/>
      <c r="F9" s="39"/>
      <c r="G9" s="20"/>
      <c r="H9" s="11"/>
      <c r="I9" s="18"/>
      <c r="J9" s="18"/>
      <c r="K9" s="18"/>
      <c r="L9" s="18"/>
      <c r="N9" s="18"/>
      <c r="O9" s="18"/>
      <c r="P9" s="18"/>
    </row>
    <row r="10" spans="1:16">
      <c r="B10" s="39" t="s">
        <v>76</v>
      </c>
      <c r="C10" s="20"/>
      <c r="D10" s="11">
        <v>1100</v>
      </c>
      <c r="E10" s="76"/>
      <c r="F10" s="39"/>
      <c r="G10" s="20"/>
      <c r="H10" s="11"/>
      <c r="I10" s="18"/>
      <c r="J10" s="18"/>
      <c r="K10" s="18"/>
      <c r="L10" s="18"/>
      <c r="N10" s="18"/>
      <c r="O10" s="18"/>
      <c r="P10" s="18"/>
    </row>
    <row r="11" spans="1:16">
      <c r="B11" s="39" t="s">
        <v>201</v>
      </c>
      <c r="C11" s="20"/>
      <c r="D11" s="24">
        <v>2999.14</v>
      </c>
      <c r="E11" s="39"/>
      <c r="F11" s="91"/>
      <c r="G11" s="20"/>
      <c r="H11" s="11"/>
      <c r="I11" s="18"/>
      <c r="J11" s="18"/>
      <c r="K11" s="18"/>
      <c r="L11" s="18"/>
    </row>
    <row r="12" spans="1:16">
      <c r="B12" s="39" t="s">
        <v>435</v>
      </c>
      <c r="C12" s="20"/>
      <c r="D12" s="24">
        <v>2000</v>
      </c>
      <c r="E12" s="39" t="s">
        <v>437</v>
      </c>
      <c r="F12" s="39"/>
      <c r="G12" s="20"/>
      <c r="H12" s="11"/>
      <c r="I12" s="16"/>
      <c r="J12" s="18"/>
      <c r="K12" s="18"/>
      <c r="L12" s="18"/>
    </row>
    <row r="13" spans="1:16">
      <c r="B13" s="39" t="s">
        <v>436</v>
      </c>
      <c r="C13" s="20"/>
      <c r="D13" s="24">
        <v>1000</v>
      </c>
      <c r="E13" s="39"/>
      <c r="F13" s="18"/>
      <c r="G13" s="20"/>
      <c r="H13" s="11"/>
      <c r="I13" s="18"/>
      <c r="J13" s="18"/>
      <c r="K13" s="18"/>
      <c r="L13" s="18"/>
    </row>
    <row r="14" spans="1:16">
      <c r="B14" s="39" t="s">
        <v>439</v>
      </c>
      <c r="C14" s="20">
        <v>336.96</v>
      </c>
      <c r="D14" s="11"/>
      <c r="E14" s="39"/>
      <c r="F14" s="18"/>
      <c r="G14" s="20"/>
      <c r="H14" s="11"/>
      <c r="I14" s="18"/>
      <c r="J14" s="18"/>
      <c r="K14" s="18"/>
      <c r="L14" s="18"/>
    </row>
    <row r="15" spans="1:16">
      <c r="B15" s="39" t="s">
        <v>380</v>
      </c>
      <c r="C15" s="20">
        <v>2895</v>
      </c>
      <c r="D15" s="11"/>
      <c r="E15" s="39"/>
      <c r="F15" s="18"/>
      <c r="G15" s="20"/>
      <c r="H15" s="11"/>
      <c r="I15" s="18"/>
      <c r="J15" s="18"/>
      <c r="K15" s="18"/>
      <c r="L15" s="18"/>
    </row>
    <row r="16" spans="1:16">
      <c r="B16" s="39" t="s">
        <v>381</v>
      </c>
      <c r="C16">
        <v>462.82</v>
      </c>
      <c r="D16" s="20"/>
      <c r="E16" s="39"/>
      <c r="F16" s="18"/>
      <c r="G16" s="20"/>
      <c r="H16" s="11"/>
      <c r="I16" s="18"/>
      <c r="J16" s="18"/>
      <c r="K16" s="18"/>
      <c r="L16" s="18"/>
    </row>
    <row r="17" spans="1:24">
      <c r="B17" s="39" t="s">
        <v>440</v>
      </c>
      <c r="C17" s="20">
        <v>362.22</v>
      </c>
      <c r="D17" s="11"/>
      <c r="E17" s="39"/>
      <c r="F17" s="18"/>
      <c r="G17" s="20"/>
      <c r="H17" s="11"/>
      <c r="I17" s="18"/>
      <c r="J17" s="18"/>
      <c r="K17" s="18"/>
      <c r="L17" s="18"/>
    </row>
    <row r="18" spans="1:24">
      <c r="B18" s="39"/>
      <c r="C18" s="20"/>
      <c r="D18" s="11"/>
      <c r="G18" s="20"/>
      <c r="H18" s="11"/>
    </row>
    <row r="19" spans="1:24">
      <c r="B19" s="39"/>
      <c r="C19" s="20"/>
      <c r="D19" s="20">
        <v>4286.25</v>
      </c>
      <c r="E19" s="96"/>
      <c r="G19" s="20"/>
      <c r="H19" s="11"/>
    </row>
    <row r="20" spans="1:24">
      <c r="B20" s="39"/>
      <c r="C20" s="20"/>
      <c r="D20" s="11"/>
      <c r="G20" s="20"/>
      <c r="H20" s="19"/>
    </row>
    <row r="21" spans="1:24">
      <c r="A21" s="39"/>
      <c r="B21" s="39"/>
      <c r="C21" s="20"/>
      <c r="D21" s="11"/>
      <c r="G21" s="20"/>
      <c r="H21" s="19"/>
    </row>
    <row r="22" spans="1:24">
      <c r="B22" s="39"/>
      <c r="C22" s="20"/>
      <c r="D22" s="11"/>
      <c r="G22" s="20"/>
      <c r="H22" s="19"/>
    </row>
    <row r="23" spans="1:24">
      <c r="B23" s="39"/>
      <c r="C23" s="20"/>
      <c r="D23" s="11"/>
      <c r="G23" s="20"/>
      <c r="H23" s="19"/>
    </row>
    <row r="24" spans="1:24">
      <c r="B24" s="39"/>
      <c r="C24" s="20"/>
      <c r="D24" s="11"/>
      <c r="G24" s="20"/>
      <c r="H24" s="19"/>
    </row>
    <row r="25" spans="1:24">
      <c r="B25" s="39"/>
      <c r="C25" s="1"/>
      <c r="D25" s="11"/>
      <c r="G25" s="20"/>
      <c r="H25" s="19"/>
    </row>
    <row r="26" spans="1:24">
      <c r="B26" s="39"/>
      <c r="C26" s="1"/>
      <c r="D26" s="11"/>
      <c r="G26" s="20"/>
      <c r="H26" s="19"/>
    </row>
    <row r="27" spans="1:24">
      <c r="B27" s="39"/>
      <c r="C27" s="1"/>
      <c r="D27" s="11"/>
      <c r="G27" s="20"/>
      <c r="H27" s="19"/>
    </row>
    <row r="28" spans="1:24">
      <c r="B28" t="s">
        <v>2</v>
      </c>
      <c r="C28" s="2">
        <f>SUM(C2:C27)</f>
        <v>21361.949999999997</v>
      </c>
      <c r="D28" s="2">
        <f>SUM(D3:D27)</f>
        <v>20161.949999999997</v>
      </c>
      <c r="F28" t="s">
        <v>2</v>
      </c>
      <c r="G28" s="2">
        <f>SUM(G2:G18)</f>
        <v>9226.48</v>
      </c>
      <c r="H28" s="2">
        <f>SUM(H3:H19)</f>
        <v>7225.5</v>
      </c>
      <c r="J28" t="s">
        <v>2</v>
      </c>
      <c r="K28" s="2">
        <f>SUM(K1:K10)</f>
        <v>9047.69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1200</v>
      </c>
      <c r="H29" s="2">
        <f>G28-H28</f>
        <v>2000.9799999999996</v>
      </c>
      <c r="L29" s="2">
        <f>K28-L28</f>
        <v>9047.69</v>
      </c>
      <c r="P29" s="2">
        <f>O28-P28</f>
        <v>0</v>
      </c>
    </row>
    <row r="31" spans="1:24">
      <c r="V31" s="102">
        <v>42661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4">
      <c r="B33" t="s">
        <v>0</v>
      </c>
      <c r="C33" s="3">
        <v>0</v>
      </c>
      <c r="D33" s="4"/>
      <c r="F33" t="s">
        <v>0</v>
      </c>
      <c r="G33" s="3">
        <v>-1835.44</v>
      </c>
      <c r="H33" s="4"/>
      <c r="J33" t="s">
        <v>0</v>
      </c>
      <c r="K33" s="3">
        <v>-24</v>
      </c>
      <c r="L33" s="4"/>
      <c r="M33" s="33"/>
      <c r="N33" t="s">
        <v>0</v>
      </c>
      <c r="O33" s="3">
        <v>-801.67</v>
      </c>
      <c r="P33" s="4"/>
      <c r="S33" s="1">
        <v>-4998</v>
      </c>
      <c r="T33">
        <v>18</v>
      </c>
      <c r="U33" s="2">
        <f>S33/T33</f>
        <v>-277.66666666666669</v>
      </c>
      <c r="V33">
        <v>6</v>
      </c>
      <c r="W33" s="2">
        <f>U33*V33</f>
        <v>-1666</v>
      </c>
      <c r="X33" s="2">
        <f>S33-W33</f>
        <v>-3332</v>
      </c>
    </row>
    <row r="34" spans="2:24">
      <c r="B34" s="39" t="s">
        <v>106</v>
      </c>
      <c r="C34" s="1">
        <v>1000</v>
      </c>
      <c r="D34" s="1"/>
      <c r="F34" t="s">
        <v>169</v>
      </c>
      <c r="G34" s="20">
        <v>1835.44</v>
      </c>
      <c r="H34" s="14"/>
      <c r="K34" s="85"/>
      <c r="L34" s="86"/>
      <c r="M34" s="29"/>
      <c r="O34" s="85"/>
      <c r="P34" s="86"/>
      <c r="Q34" s="93"/>
      <c r="S34" s="1">
        <v>-3144</v>
      </c>
      <c r="T34">
        <v>6</v>
      </c>
      <c r="U34" s="2">
        <f>S34/T34</f>
        <v>-524</v>
      </c>
      <c r="V34">
        <v>6</v>
      </c>
      <c r="W34" s="2">
        <f>U34*V34</f>
        <v>-3144</v>
      </c>
      <c r="X34" s="2">
        <f>S34-W34</f>
        <v>0</v>
      </c>
    </row>
    <row r="35" spans="2:24">
      <c r="B35" s="39" t="s">
        <v>438</v>
      </c>
      <c r="C35" s="1">
        <v>1000</v>
      </c>
      <c r="D35" s="11"/>
      <c r="F35" t="s">
        <v>172</v>
      </c>
      <c r="G35" s="20"/>
      <c r="H35" s="14">
        <v>100</v>
      </c>
      <c r="J35" t="s">
        <v>259</v>
      </c>
      <c r="K35" s="1"/>
      <c r="L35" s="11">
        <v>199</v>
      </c>
      <c r="N35" t="s">
        <v>373</v>
      </c>
      <c r="O35" s="18"/>
      <c r="P35" s="24">
        <v>2589.5700000000002</v>
      </c>
      <c r="S35" s="1">
        <v>-18198.95</v>
      </c>
      <c r="T35">
        <v>6</v>
      </c>
      <c r="U35" s="2">
        <f>S35/T35</f>
        <v>-3033.1583333333333</v>
      </c>
      <c r="V35">
        <v>4</v>
      </c>
      <c r="W35" s="2">
        <f>U35*V35</f>
        <v>-12132.633333333333</v>
      </c>
      <c r="X35" s="2">
        <f>S35-W35</f>
        <v>-6066.3166666666675</v>
      </c>
    </row>
    <row r="36" spans="2:24">
      <c r="B36" s="39" t="s">
        <v>436</v>
      </c>
      <c r="C36" s="1"/>
      <c r="D36" s="11">
        <v>1200</v>
      </c>
      <c r="F36" s="12" t="s">
        <v>426</v>
      </c>
      <c r="G36" s="20"/>
      <c r="H36" s="14">
        <v>698</v>
      </c>
      <c r="J36" t="s">
        <v>281</v>
      </c>
      <c r="K36" s="1"/>
      <c r="L36" s="11">
        <v>3033.16</v>
      </c>
      <c r="N36" t="s">
        <v>374</v>
      </c>
      <c r="O36" s="19"/>
      <c r="P36" s="24">
        <v>3033.16</v>
      </c>
      <c r="S36" s="1">
        <v>-7768.75</v>
      </c>
      <c r="T36">
        <v>3</v>
      </c>
      <c r="U36" s="2">
        <f>S36/T36</f>
        <v>-2589.5833333333335</v>
      </c>
      <c r="V36">
        <v>3</v>
      </c>
      <c r="W36" s="2">
        <f>U36*V36</f>
        <v>-7768.75</v>
      </c>
      <c r="X36" s="2">
        <f>S36-W36</f>
        <v>0</v>
      </c>
    </row>
    <row r="37" spans="2:24">
      <c r="B37" s="39" t="s">
        <v>76</v>
      </c>
      <c r="C37" s="20"/>
      <c r="D37" s="11">
        <v>700</v>
      </c>
      <c r="F37" t="s">
        <v>427</v>
      </c>
      <c r="H37" s="14">
        <v>719</v>
      </c>
      <c r="K37" s="23"/>
      <c r="L37" s="11"/>
      <c r="N37" t="s">
        <v>375</v>
      </c>
      <c r="O37" s="19"/>
      <c r="P37" s="24">
        <v>277.67</v>
      </c>
    </row>
    <row r="38" spans="2:24">
      <c r="B38" s="39"/>
      <c r="C38" s="20"/>
      <c r="D38" s="11"/>
      <c r="F38" s="116" t="s">
        <v>428</v>
      </c>
      <c r="H38" s="14">
        <v>83</v>
      </c>
      <c r="K38" s="1"/>
      <c r="L38" s="11"/>
      <c r="M38" s="29"/>
      <c r="N38" t="s">
        <v>376</v>
      </c>
      <c r="O38" s="19"/>
      <c r="P38" s="24">
        <v>523.42999999999995</v>
      </c>
      <c r="Q38" s="29"/>
      <c r="R38" t="s">
        <v>11</v>
      </c>
      <c r="S38" s="2">
        <f>SUM(S33:S36)</f>
        <v>-34109.699999999997</v>
      </c>
      <c r="X38" s="2">
        <f>SUM(X33:X36)</f>
        <v>-9398.3166666666675</v>
      </c>
    </row>
    <row r="39" spans="2:24">
      <c r="B39" s="39"/>
      <c r="C39" s="20"/>
      <c r="D39" s="11"/>
      <c r="F39" t="s">
        <v>20</v>
      </c>
      <c r="H39" s="14">
        <v>129</v>
      </c>
      <c r="K39" s="1"/>
      <c r="L39" s="11"/>
      <c r="M39" s="29"/>
      <c r="N39" s="39" t="s">
        <v>165</v>
      </c>
      <c r="O39" s="19">
        <v>7225.5</v>
      </c>
      <c r="P39" s="24"/>
      <c r="Q39" s="29"/>
    </row>
    <row r="40" spans="2:24">
      <c r="B40" s="39"/>
      <c r="C40" s="20"/>
      <c r="D40" s="11"/>
      <c r="F40" t="s">
        <v>429</v>
      </c>
      <c r="H40" s="14">
        <v>149</v>
      </c>
      <c r="L40" s="11"/>
      <c r="N40" s="39" t="s">
        <v>441</v>
      </c>
      <c r="O40" s="19"/>
      <c r="P40" s="11">
        <v>406.5</v>
      </c>
      <c r="Q40" s="29"/>
    </row>
    <row r="41" spans="2:24">
      <c r="B41" s="39"/>
      <c r="C41" s="20"/>
      <c r="D41" s="11"/>
      <c r="F41" t="s">
        <v>21</v>
      </c>
      <c r="H41" s="14">
        <v>319.83999999999997</v>
      </c>
      <c r="L41" s="11"/>
      <c r="N41" s="39" t="s">
        <v>442</v>
      </c>
      <c r="O41" s="19"/>
      <c r="P41" s="11">
        <v>5934</v>
      </c>
      <c r="Q41" s="8"/>
      <c r="S41" s="2"/>
    </row>
    <row r="42" spans="2:24">
      <c r="B42" s="39"/>
      <c r="C42" s="20"/>
      <c r="D42" s="11"/>
      <c r="F42" t="s">
        <v>430</v>
      </c>
      <c r="H42" s="14">
        <v>136.72</v>
      </c>
      <c r="L42" s="11"/>
      <c r="N42" s="39"/>
      <c r="O42" s="19"/>
      <c r="P42" s="11"/>
      <c r="S42" s="2"/>
    </row>
    <row r="43" spans="2:24">
      <c r="B43" s="39"/>
      <c r="C43" s="20"/>
      <c r="D43" s="11"/>
      <c r="F43" t="s">
        <v>173</v>
      </c>
      <c r="H43" s="14">
        <v>245.7</v>
      </c>
      <c r="L43" s="11"/>
      <c r="N43" s="39"/>
      <c r="O43" s="19"/>
      <c r="P43" s="11"/>
      <c r="S43" s="2"/>
    </row>
    <row r="44" spans="2:24">
      <c r="B44" s="12"/>
      <c r="C44" s="20"/>
      <c r="D44" s="11"/>
      <c r="F44" t="s">
        <v>431</v>
      </c>
      <c r="H44" s="14">
        <v>457</v>
      </c>
      <c r="L44" s="11"/>
      <c r="O44" s="19"/>
      <c r="P44" s="11"/>
      <c r="S44" s="2"/>
    </row>
    <row r="45" spans="2:24">
      <c r="B45" s="12"/>
      <c r="C45" s="20"/>
      <c r="D45" s="11"/>
      <c r="F45" t="s">
        <v>87</v>
      </c>
      <c r="H45" s="14">
        <v>134</v>
      </c>
      <c r="L45" s="11"/>
      <c r="N45" s="44"/>
      <c r="O45" s="44"/>
      <c r="P45" s="92"/>
      <c r="S45" s="2"/>
    </row>
    <row r="46" spans="2:24">
      <c r="B46" s="12"/>
      <c r="C46" s="20"/>
      <c r="D46" s="11"/>
      <c r="F46" t="s">
        <v>87</v>
      </c>
      <c r="H46" s="11">
        <v>429</v>
      </c>
      <c r="L46" s="11"/>
      <c r="M46" t="s">
        <v>286</v>
      </c>
    </row>
    <row r="47" spans="2:24">
      <c r="B47" s="12"/>
      <c r="C47" s="20"/>
      <c r="D47" s="11"/>
      <c r="F47" t="s">
        <v>87</v>
      </c>
      <c r="G47" s="20"/>
      <c r="H47" s="14">
        <v>127</v>
      </c>
      <c r="L47" s="11"/>
      <c r="M47" s="33"/>
    </row>
    <row r="48" spans="2:24">
      <c r="B48" s="12"/>
      <c r="C48" s="1"/>
      <c r="D48" s="11"/>
      <c r="F48" t="s">
        <v>169</v>
      </c>
      <c r="G48">
        <v>400</v>
      </c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2000</v>
      </c>
      <c r="D51" s="2">
        <f>SUM(D35:D50)</f>
        <v>1900</v>
      </c>
      <c r="F51" t="s">
        <v>2</v>
      </c>
      <c r="G51" s="2">
        <f>SUM(G33:G50)</f>
        <v>400</v>
      </c>
      <c r="H51" s="2">
        <f>SUM(H33:H49)</f>
        <v>3727.2599999999998</v>
      </c>
      <c r="J51" t="s">
        <v>2</v>
      </c>
      <c r="K51" s="2">
        <f>SUM(K33:K48)</f>
        <v>-24</v>
      </c>
      <c r="L51" s="2">
        <f>SUM(L33:L49)</f>
        <v>3232.16</v>
      </c>
      <c r="N51" t="s">
        <v>2</v>
      </c>
      <c r="O51" s="2">
        <f>SUM(O33:O43)</f>
        <v>6423.83</v>
      </c>
      <c r="P51" s="2">
        <f>SUM(P33:P42)</f>
        <v>12764.33</v>
      </c>
    </row>
    <row r="52" spans="2:28">
      <c r="D52" s="2">
        <f>C51-D51</f>
        <v>100</v>
      </c>
      <c r="H52" s="2">
        <f>G51-H51</f>
        <v>-3327.2599999999998</v>
      </c>
      <c r="L52" s="2">
        <f>K51-L51</f>
        <v>-3256.16</v>
      </c>
      <c r="P52" s="2">
        <f>O51-P51</f>
        <v>-6340.5</v>
      </c>
      <c r="R52" s="2"/>
      <c r="AA52" t="s">
        <v>239</v>
      </c>
      <c r="AB52" s="1">
        <v>10261.049999999999</v>
      </c>
    </row>
    <row r="53" spans="2:28">
      <c r="AA53" t="s">
        <v>240</v>
      </c>
      <c r="AB53" s="1">
        <v>7081.32</v>
      </c>
    </row>
    <row r="54" spans="2:28">
      <c r="B54" t="s">
        <v>282</v>
      </c>
      <c r="L54">
        <v>-3033.16</v>
      </c>
      <c r="P54">
        <f>3033.16+2589.58</f>
        <v>5622.74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-3327.26</v>
      </c>
      <c r="L55" s="2">
        <f>(3033.16+199-475.54-3033.16)</f>
        <v>-276.53999999999996</v>
      </c>
      <c r="P55" s="2">
        <f>-6424.41+P54</f>
        <v>-801.67000000000007</v>
      </c>
      <c r="V55" t="s">
        <v>114</v>
      </c>
      <c r="W55" t="s">
        <v>115</v>
      </c>
      <c r="X55" t="s">
        <v>116</v>
      </c>
      <c r="AA55" t="s">
        <v>242</v>
      </c>
      <c r="AB55" s="2">
        <f>AB54/2</f>
        <v>1589.8649999999998</v>
      </c>
    </row>
    <row r="57" spans="2:28">
      <c r="D57" t="s">
        <v>138</v>
      </c>
      <c r="E57" s="34" t="s">
        <v>120</v>
      </c>
      <c r="F57" s="41"/>
      <c r="G57" s="41"/>
      <c r="H57" s="51">
        <v>1041.73</v>
      </c>
      <c r="I57" s="41"/>
      <c r="J57" s="41"/>
      <c r="K57" s="41"/>
      <c r="L57" s="51">
        <v>0</v>
      </c>
      <c r="M57" s="41"/>
      <c r="N57" s="41"/>
      <c r="O57" s="41"/>
      <c r="P57" s="53">
        <v>801.67</v>
      </c>
      <c r="S57" s="1">
        <f>ABS(H55+L55+P55)</f>
        <v>4405.47</v>
      </c>
      <c r="T57" t="s">
        <v>98</v>
      </c>
      <c r="V57" s="1">
        <f>Z59-Z60</f>
        <v>718.67999999999984</v>
      </c>
      <c r="W57" s="2">
        <f>S57-V57</f>
        <v>3686.7900000000004</v>
      </c>
      <c r="X57" s="2">
        <f>W57/2</f>
        <v>1843.3950000000002</v>
      </c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>
        <f>U59-P57</f>
        <v>1041.73</v>
      </c>
      <c r="S58" s="1"/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-2285.5300000000002</v>
      </c>
      <c r="I59" s="44"/>
      <c r="J59" s="44"/>
      <c r="K59" s="44"/>
      <c r="L59" s="45">
        <f>L57+L55</f>
        <v>-276.53999999999996</v>
      </c>
      <c r="M59" s="44"/>
      <c r="N59" s="44"/>
      <c r="O59" s="44"/>
      <c r="P59" s="45"/>
      <c r="U59">
        <v>1843.4</v>
      </c>
      <c r="W59" t="s">
        <v>117</v>
      </c>
      <c r="X59" s="2">
        <f>ABS(X57)</f>
        <v>1843.3950000000002</v>
      </c>
      <c r="Z59" s="1">
        <v>3900</v>
      </c>
      <c r="AA59" s="2">
        <f>X59+Z59</f>
        <v>5743.3950000000004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118</v>
      </c>
      <c r="X60" s="1">
        <f>V57+ABS(X57)</f>
        <v>2562.0749999999998</v>
      </c>
      <c r="Z60" s="1">
        <v>3181.32</v>
      </c>
      <c r="AA60" s="2">
        <f>X60+Z60</f>
        <v>5743.3950000000004</v>
      </c>
    </row>
    <row r="61" spans="2:28">
      <c r="D61" t="s">
        <v>139</v>
      </c>
      <c r="H61" s="2"/>
      <c r="L61" s="2"/>
      <c r="P61" s="2"/>
    </row>
    <row r="62" spans="2:28">
      <c r="E62" s="34" t="s">
        <v>169</v>
      </c>
      <c r="F62" s="41"/>
      <c r="G62" s="41"/>
      <c r="H62" s="51">
        <v>1835.44</v>
      </c>
      <c r="I62" s="41"/>
      <c r="J62" s="41"/>
      <c r="K62" s="41"/>
      <c r="L62" s="51">
        <v>276.54000000000002</v>
      </c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>
        <f>IF(H63=0,H61-H62,)</f>
        <v>-1835.44</v>
      </c>
      <c r="I64" s="44"/>
      <c r="J64" s="44"/>
      <c r="K64" s="44"/>
      <c r="L64" s="45">
        <f>IF(L63=0,L61-L62,0)</f>
        <v>-276.54000000000002</v>
      </c>
      <c r="M64" s="44"/>
      <c r="N64" s="44"/>
      <c r="O64" s="44"/>
      <c r="P64" s="45">
        <f>IF(P63=0,P61-P62,)</f>
        <v>0</v>
      </c>
      <c r="X64" s="1"/>
    </row>
    <row r="65" spans="12:24">
      <c r="L65" s="60"/>
      <c r="P65" s="27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89" priority="1" operator="lessThan">
      <formula>0</formula>
    </cfRule>
    <cfRule type="cellIs" dxfId="8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7"/>
  <dimension ref="A1:AB65"/>
  <sheetViews>
    <sheetView workbookViewId="0">
      <selection activeCell="B3" sqref="B3:C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/>
      <c r="P1" s="218"/>
    </row>
    <row r="2" spans="1:16">
      <c r="B2" s="18" t="s">
        <v>0</v>
      </c>
      <c r="C2" s="94">
        <v>295</v>
      </c>
      <c r="D2" s="74"/>
      <c r="E2" s="18"/>
      <c r="F2" s="18" t="s">
        <v>0</v>
      </c>
      <c r="G2" s="75">
        <v>2000.98</v>
      </c>
      <c r="H2" s="74"/>
      <c r="I2" s="18"/>
      <c r="J2" s="18" t="s">
        <v>0</v>
      </c>
      <c r="K2" s="73">
        <v>9047.69</v>
      </c>
      <c r="L2" s="74"/>
      <c r="N2" s="18"/>
      <c r="O2" s="73"/>
      <c r="P2" s="97"/>
    </row>
    <row r="3" spans="1:16">
      <c r="B3" s="18" t="s">
        <v>39</v>
      </c>
      <c r="C3" s="23">
        <v>493.75</v>
      </c>
      <c r="D3" s="11"/>
      <c r="E3" s="76"/>
      <c r="F3" s="18" t="s">
        <v>446</v>
      </c>
      <c r="G3" s="23">
        <v>250</v>
      </c>
      <c r="H3" s="11"/>
      <c r="I3" s="18"/>
      <c r="J3" s="18" t="s">
        <v>10</v>
      </c>
      <c r="K3" s="23">
        <v>27.41</v>
      </c>
      <c r="L3" s="77"/>
      <c r="N3" s="18"/>
      <c r="O3" s="20"/>
      <c r="P3" s="11"/>
    </row>
    <row r="4" spans="1:16">
      <c r="B4" s="18" t="s">
        <v>40</v>
      </c>
      <c r="C4" s="23">
        <v>15647.31</v>
      </c>
      <c r="D4" s="11"/>
      <c r="E4" s="18"/>
      <c r="F4" s="18" t="s">
        <v>1</v>
      </c>
      <c r="G4" s="23">
        <v>3181.32</v>
      </c>
      <c r="H4" s="11"/>
      <c r="I4" s="18"/>
      <c r="J4" s="18" t="s">
        <v>201</v>
      </c>
      <c r="K4" s="23">
        <v>2999.82</v>
      </c>
      <c r="L4" s="77"/>
      <c r="N4" s="18"/>
      <c r="O4" s="20"/>
      <c r="P4" s="11"/>
    </row>
    <row r="5" spans="1:16">
      <c r="B5" s="18" t="s">
        <v>443</v>
      </c>
      <c r="C5" s="23">
        <v>600</v>
      </c>
      <c r="D5" s="11"/>
      <c r="E5" s="18"/>
      <c r="F5" s="18" t="s">
        <v>455</v>
      </c>
      <c r="G5" s="20"/>
      <c r="H5" s="11">
        <v>3181.32</v>
      </c>
      <c r="I5" s="18"/>
      <c r="J5" s="18" t="s">
        <v>456</v>
      </c>
      <c r="K5" s="101">
        <v>5999.64</v>
      </c>
      <c r="L5" s="11"/>
      <c r="N5" s="18"/>
      <c r="O5" s="20"/>
      <c r="P5" s="11"/>
    </row>
    <row r="6" spans="1:16">
      <c r="B6" s="39" t="s">
        <v>444</v>
      </c>
      <c r="C6" s="23">
        <v>7377.05</v>
      </c>
      <c r="D6" s="11"/>
      <c r="E6" s="18"/>
      <c r="F6" s="18"/>
      <c r="G6" s="20"/>
      <c r="H6" s="11"/>
      <c r="I6" s="76"/>
      <c r="J6" s="18"/>
      <c r="K6" s="20"/>
      <c r="L6" s="77"/>
      <c r="N6" s="18"/>
      <c r="O6" s="20"/>
      <c r="P6" s="11"/>
    </row>
    <row r="7" spans="1:16">
      <c r="A7" s="1"/>
      <c r="B7" s="39" t="s">
        <v>445</v>
      </c>
      <c r="C7" s="20"/>
      <c r="D7" s="100">
        <v>250</v>
      </c>
      <c r="E7" s="76"/>
      <c r="F7" s="18"/>
      <c r="G7" s="20"/>
      <c r="H7" s="11"/>
      <c r="I7" s="76"/>
      <c r="J7" s="18"/>
      <c r="K7" s="20"/>
      <c r="L7" s="77"/>
      <c r="N7" s="18"/>
      <c r="O7" s="20"/>
      <c r="P7" s="77"/>
    </row>
    <row r="8" spans="1:16">
      <c r="B8" s="39" t="s">
        <v>447</v>
      </c>
      <c r="C8" s="20"/>
      <c r="D8" s="100">
        <v>1000</v>
      </c>
      <c r="E8" s="18"/>
      <c r="F8" s="39"/>
      <c r="G8" s="20"/>
      <c r="H8" s="11"/>
      <c r="I8" s="76"/>
      <c r="J8" s="18"/>
      <c r="K8" s="20"/>
      <c r="L8" s="39"/>
      <c r="N8" s="18"/>
      <c r="O8" s="20"/>
      <c r="P8" s="39"/>
    </row>
    <row r="9" spans="1:16">
      <c r="B9" s="39" t="s">
        <v>448</v>
      </c>
      <c r="C9" s="20"/>
      <c r="D9" s="100">
        <v>145</v>
      </c>
      <c r="E9" s="18"/>
      <c r="F9" s="39"/>
      <c r="G9" s="20"/>
      <c r="H9" s="11"/>
      <c r="I9" s="18"/>
      <c r="J9" s="18"/>
      <c r="K9" s="18"/>
      <c r="L9" s="18"/>
      <c r="N9" s="18">
        <f>75.09-47.69</f>
        <v>27.400000000000006</v>
      </c>
      <c r="O9" s="18"/>
      <c r="P9" s="18"/>
    </row>
    <row r="10" spans="1:16">
      <c r="B10" s="39" t="s">
        <v>449</v>
      </c>
      <c r="C10" s="20"/>
      <c r="D10" s="100">
        <v>1000</v>
      </c>
      <c r="E10" s="76" t="s">
        <v>450</v>
      </c>
      <c r="F10" s="39"/>
      <c r="G10" s="20"/>
      <c r="H10" s="11"/>
      <c r="I10" s="18"/>
      <c r="J10" s="18"/>
      <c r="K10" s="18"/>
      <c r="L10" s="18"/>
      <c r="N10" s="18"/>
      <c r="O10" s="18"/>
      <c r="P10" s="18"/>
    </row>
    <row r="11" spans="1:16">
      <c r="B11" s="39" t="s">
        <v>451</v>
      </c>
      <c r="C11" s="20"/>
      <c r="D11" s="100">
        <v>3033.16</v>
      </c>
      <c r="E11" s="39"/>
      <c r="F11" s="91"/>
      <c r="G11" s="20"/>
      <c r="H11" s="11"/>
      <c r="I11" s="18"/>
      <c r="J11" s="18"/>
      <c r="K11" s="18"/>
      <c r="L11" s="18"/>
    </row>
    <row r="12" spans="1:16">
      <c r="B12" s="39" t="s">
        <v>1</v>
      </c>
      <c r="C12" s="20"/>
      <c r="D12" s="100">
        <v>3181.32</v>
      </c>
      <c r="E12" s="39"/>
      <c r="F12" s="39"/>
      <c r="G12" s="20"/>
      <c r="H12" s="11"/>
      <c r="I12" s="16"/>
      <c r="J12" s="18"/>
      <c r="K12" s="18"/>
      <c r="L12" s="18"/>
    </row>
    <row r="13" spans="1:16">
      <c r="B13" s="39" t="s">
        <v>452</v>
      </c>
      <c r="C13" s="20"/>
      <c r="D13" s="100">
        <v>5999.64</v>
      </c>
      <c r="E13" s="117"/>
      <c r="F13" s="18"/>
      <c r="G13" s="20"/>
      <c r="H13" s="11"/>
      <c r="I13" s="18"/>
      <c r="J13" s="18"/>
      <c r="K13" s="18"/>
      <c r="L13" s="18"/>
    </row>
    <row r="14" spans="1:16">
      <c r="B14" s="39" t="s">
        <v>201</v>
      </c>
      <c r="C14" s="20"/>
      <c r="D14" s="100">
        <v>2999.82</v>
      </c>
      <c r="E14" s="117"/>
      <c r="F14" s="18"/>
      <c r="G14" s="20"/>
      <c r="H14" s="11"/>
      <c r="I14" s="18"/>
      <c r="J14" s="18"/>
      <c r="K14" s="18"/>
      <c r="L14" s="18"/>
    </row>
    <row r="15" spans="1:16">
      <c r="A15" t="s">
        <v>453</v>
      </c>
      <c r="B15" s="64" t="s">
        <v>265</v>
      </c>
      <c r="C15" s="105"/>
      <c r="D15" s="121">
        <v>2502.8000000000002</v>
      </c>
      <c r="E15" s="39"/>
      <c r="F15" s="18"/>
      <c r="G15" s="20"/>
      <c r="H15" s="11"/>
      <c r="I15" s="18"/>
      <c r="J15" s="18"/>
      <c r="K15" s="18"/>
      <c r="L15" s="18"/>
    </row>
    <row r="16" spans="1:16">
      <c r="B16" s="67" t="s">
        <v>266</v>
      </c>
      <c r="C16" s="68"/>
      <c r="D16" s="120">
        <v>176.65</v>
      </c>
      <c r="E16" s="39"/>
      <c r="F16" s="18"/>
      <c r="G16" s="20"/>
      <c r="H16" s="11"/>
      <c r="I16" s="18"/>
      <c r="J16" s="18"/>
      <c r="K16" s="18"/>
      <c r="L16" s="18"/>
    </row>
    <row r="17" spans="1:24">
      <c r="B17" s="39" t="s">
        <v>76</v>
      </c>
      <c r="C17" s="20"/>
      <c r="D17" s="11">
        <v>1500</v>
      </c>
      <c r="E17" s="39"/>
      <c r="F17" s="18"/>
      <c r="G17" s="20"/>
      <c r="H17" s="11"/>
      <c r="I17" s="18"/>
      <c r="J17" s="18"/>
      <c r="K17" s="18"/>
      <c r="L17" s="18"/>
    </row>
    <row r="18" spans="1:24">
      <c r="B18" s="39" t="s">
        <v>454</v>
      </c>
      <c r="C18" s="20">
        <v>0</v>
      </c>
      <c r="D18" s="11" t="s">
        <v>80</v>
      </c>
      <c r="G18" s="20"/>
      <c r="H18" s="11"/>
      <c r="M18">
        <v>3209.81</v>
      </c>
    </row>
    <row r="19" spans="1:24">
      <c r="B19" s="39"/>
      <c r="C19" s="20"/>
      <c r="D19" s="11"/>
      <c r="E19" s="96"/>
      <c r="G19" s="20"/>
      <c r="H19" s="11"/>
      <c r="M19">
        <v>3033.16</v>
      </c>
    </row>
    <row r="20" spans="1:24">
      <c r="B20" s="39"/>
      <c r="C20" s="20"/>
      <c r="D20" s="11"/>
      <c r="G20" s="20"/>
      <c r="H20" s="19"/>
      <c r="M20">
        <f>M18-M19</f>
        <v>176.65000000000009</v>
      </c>
    </row>
    <row r="21" spans="1:24">
      <c r="A21" s="39"/>
      <c r="B21" s="39"/>
      <c r="C21" s="20"/>
      <c r="D21" s="11"/>
      <c r="G21" s="20"/>
      <c r="H21" s="19"/>
    </row>
    <row r="22" spans="1:24">
      <c r="B22" s="39"/>
      <c r="C22" s="20"/>
      <c r="D22" s="11"/>
      <c r="G22" s="20"/>
      <c r="H22" s="19"/>
    </row>
    <row r="23" spans="1:24">
      <c r="B23" s="39"/>
      <c r="C23" s="20"/>
      <c r="D23" s="11"/>
      <c r="G23" s="20"/>
      <c r="H23" s="19"/>
    </row>
    <row r="24" spans="1:24">
      <c r="B24" s="39"/>
      <c r="C24" s="20"/>
      <c r="D24" s="11"/>
      <c r="G24" s="20"/>
      <c r="H24" s="19"/>
    </row>
    <row r="25" spans="1:24">
      <c r="B25" s="39"/>
      <c r="C25" s="1"/>
      <c r="D25" s="11"/>
      <c r="G25" s="20"/>
      <c r="H25" s="19"/>
    </row>
    <row r="26" spans="1:24">
      <c r="B26" s="39"/>
      <c r="C26" s="1"/>
      <c r="D26" s="11"/>
      <c r="G26" s="20"/>
      <c r="H26" s="19"/>
    </row>
    <row r="27" spans="1:24">
      <c r="B27" s="39"/>
      <c r="C27" s="1"/>
      <c r="D27" s="11"/>
      <c r="G27" s="20"/>
      <c r="H27" s="19"/>
    </row>
    <row r="28" spans="1:24">
      <c r="B28" t="s">
        <v>2</v>
      </c>
      <c r="C28" s="2">
        <f>SUM(C2:C27)</f>
        <v>24413.109999999997</v>
      </c>
      <c r="D28" s="2">
        <f>SUM(D3:D27)</f>
        <v>21788.39</v>
      </c>
      <c r="F28" t="s">
        <v>2</v>
      </c>
      <c r="G28" s="2">
        <f>SUM(G2:G18)</f>
        <v>5432.3</v>
      </c>
      <c r="H28" s="2">
        <f>SUM(H3:H19)</f>
        <v>3181.32</v>
      </c>
      <c r="J28" t="s">
        <v>2</v>
      </c>
      <c r="K28" s="2">
        <f>SUM(K1:K10)</f>
        <v>18074.560000000001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2624.7199999999975</v>
      </c>
      <c r="H29" s="2">
        <f>G28-H28</f>
        <v>2250.98</v>
      </c>
      <c r="L29" s="2">
        <f>K28-L28</f>
        <v>18074.560000000001</v>
      </c>
      <c r="P29" s="2">
        <f>O28-P28</f>
        <v>0</v>
      </c>
    </row>
    <row r="31" spans="1:24">
      <c r="V31" s="102">
        <v>42692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4">
      <c r="B33" t="s">
        <v>0</v>
      </c>
      <c r="C33" s="3">
        <v>0</v>
      </c>
      <c r="D33" s="4"/>
      <c r="F33" t="s">
        <v>0</v>
      </c>
      <c r="G33" s="3">
        <v>-1835.44</v>
      </c>
      <c r="H33" s="4"/>
      <c r="J33" t="s">
        <v>0</v>
      </c>
      <c r="K33" s="3">
        <v>-3526.81</v>
      </c>
      <c r="L33" s="4"/>
      <c r="M33" s="33"/>
      <c r="N33" t="s">
        <v>0</v>
      </c>
      <c r="O33" s="3">
        <v>-801.67</v>
      </c>
      <c r="P33" s="4"/>
      <c r="S33" s="1">
        <v>-4998</v>
      </c>
      <c r="T33">
        <v>18</v>
      </c>
      <c r="U33" s="2">
        <f>S33/T33</f>
        <v>-277.66666666666669</v>
      </c>
      <c r="V33">
        <v>7</v>
      </c>
      <c r="W33" s="2">
        <f>U33*V33</f>
        <v>-1943.6666666666667</v>
      </c>
      <c r="X33" s="2">
        <f>S33-W33</f>
        <v>-3054.333333333333</v>
      </c>
    </row>
    <row r="34" spans="2:24">
      <c r="B34" s="39" t="s">
        <v>106</v>
      </c>
      <c r="C34" s="1">
        <v>1000</v>
      </c>
      <c r="D34" s="1"/>
      <c r="F34" t="s">
        <v>169</v>
      </c>
      <c r="G34" s="20">
        <v>1835.44</v>
      </c>
      <c r="H34" s="14"/>
      <c r="K34" s="85"/>
      <c r="L34" s="86"/>
      <c r="M34" s="29"/>
      <c r="O34" s="85"/>
      <c r="P34" s="86"/>
      <c r="Q34" s="93"/>
      <c r="S34" s="101">
        <v>-3144</v>
      </c>
      <c r="T34" s="118">
        <v>6</v>
      </c>
      <c r="U34" s="119">
        <f>S34/T34</f>
        <v>-524</v>
      </c>
      <c r="V34" s="118">
        <v>6</v>
      </c>
      <c r="W34" s="119">
        <f>U34*V34</f>
        <v>-3144</v>
      </c>
      <c r="X34" s="119">
        <f>S34-W34</f>
        <v>0</v>
      </c>
    </row>
    <row r="35" spans="2:24">
      <c r="B35" s="39" t="s">
        <v>438</v>
      </c>
      <c r="C35" s="1">
        <v>1000</v>
      </c>
      <c r="D35" s="11"/>
      <c r="F35" t="s">
        <v>172</v>
      </c>
      <c r="G35" s="20"/>
      <c r="H35" s="14">
        <v>100</v>
      </c>
      <c r="J35" t="s">
        <v>169</v>
      </c>
      <c r="K35" s="1">
        <v>176.75</v>
      </c>
      <c r="L35" s="11"/>
      <c r="N35" t="s">
        <v>373</v>
      </c>
      <c r="O35" s="18"/>
      <c r="P35" s="24">
        <v>2589.5700000000002</v>
      </c>
      <c r="S35" s="1">
        <v>-18198.95</v>
      </c>
      <c r="T35">
        <v>6</v>
      </c>
      <c r="U35" s="2">
        <f>S35/T35</f>
        <v>-3033.1583333333333</v>
      </c>
      <c r="V35">
        <v>5</v>
      </c>
      <c r="W35" s="2">
        <f>U35*V35</f>
        <v>-15165.791666666666</v>
      </c>
      <c r="X35" s="2">
        <f>S35-W35</f>
        <v>-3033.1583333333347</v>
      </c>
    </row>
    <row r="36" spans="2:24">
      <c r="B36" s="39" t="s">
        <v>436</v>
      </c>
      <c r="C36" s="1"/>
      <c r="D36" s="11">
        <v>1200</v>
      </c>
      <c r="F36" s="12" t="s">
        <v>426</v>
      </c>
      <c r="G36" s="20"/>
      <c r="H36" s="14">
        <v>698</v>
      </c>
      <c r="J36" t="s">
        <v>284</v>
      </c>
      <c r="K36" s="1">
        <v>3033.16</v>
      </c>
      <c r="L36" s="11"/>
      <c r="N36" t="s">
        <v>374</v>
      </c>
      <c r="O36" s="19"/>
      <c r="P36" s="24">
        <v>3033.16</v>
      </c>
      <c r="S36" s="101">
        <v>-7768.75</v>
      </c>
      <c r="T36" s="118">
        <v>3</v>
      </c>
      <c r="U36" s="119">
        <f>S36/T36</f>
        <v>-2589.5833333333335</v>
      </c>
      <c r="V36" s="118">
        <v>3</v>
      </c>
      <c r="W36" s="119">
        <f>U36*V36</f>
        <v>-7768.75</v>
      </c>
      <c r="X36" s="119">
        <f>S36-W36</f>
        <v>0</v>
      </c>
    </row>
    <row r="37" spans="2:24">
      <c r="B37" s="39" t="s">
        <v>76</v>
      </c>
      <c r="C37" s="20"/>
      <c r="D37" s="11">
        <v>700</v>
      </c>
      <c r="F37" t="s">
        <v>427</v>
      </c>
      <c r="H37" s="14">
        <v>719</v>
      </c>
      <c r="K37" s="23"/>
      <c r="L37" s="11"/>
      <c r="N37" t="s">
        <v>375</v>
      </c>
      <c r="O37" s="19"/>
      <c r="P37" s="24">
        <v>277.67</v>
      </c>
      <c r="S37">
        <v>-5934</v>
      </c>
      <c r="T37">
        <v>6</v>
      </c>
      <c r="U37" s="119">
        <f>S37/T37</f>
        <v>-989</v>
      </c>
      <c r="V37" s="118">
        <v>1</v>
      </c>
      <c r="W37" s="119">
        <f>U37*V37</f>
        <v>-989</v>
      </c>
      <c r="X37" s="119">
        <f>S37-W37</f>
        <v>-4945</v>
      </c>
    </row>
    <row r="38" spans="2:24">
      <c r="B38" s="39"/>
      <c r="C38" s="20"/>
      <c r="D38" s="11"/>
      <c r="F38" s="116" t="s">
        <v>428</v>
      </c>
      <c r="H38" s="14">
        <v>83</v>
      </c>
      <c r="K38" s="1"/>
      <c r="L38" s="11"/>
      <c r="M38" s="29"/>
      <c r="N38" t="s">
        <v>376</v>
      </c>
      <c r="O38" s="19"/>
      <c r="P38" s="24">
        <v>523.42999999999995</v>
      </c>
      <c r="Q38" s="29"/>
      <c r="R38" t="s">
        <v>11</v>
      </c>
      <c r="S38" s="2">
        <f>SUM(S33:S36)</f>
        <v>-34109.699999999997</v>
      </c>
      <c r="X38" s="2">
        <f>SUM(X33:X36)</f>
        <v>-6087.4916666666677</v>
      </c>
    </row>
    <row r="39" spans="2:24">
      <c r="B39" s="39"/>
      <c r="C39" s="20"/>
      <c r="D39" s="11"/>
      <c r="F39" t="s">
        <v>20</v>
      </c>
      <c r="H39" s="14">
        <v>129</v>
      </c>
      <c r="K39" s="1"/>
      <c r="L39" s="11"/>
      <c r="M39" s="29"/>
      <c r="N39" s="39" t="s">
        <v>165</v>
      </c>
      <c r="O39" s="19">
        <v>7225.5</v>
      </c>
      <c r="P39" s="24"/>
      <c r="Q39" s="29"/>
    </row>
    <row r="40" spans="2:24">
      <c r="B40" s="39"/>
      <c r="C40" s="20"/>
      <c r="D40" s="11"/>
      <c r="F40" t="s">
        <v>429</v>
      </c>
      <c r="H40" s="14">
        <v>149</v>
      </c>
      <c r="L40" s="11"/>
      <c r="N40" s="39" t="s">
        <v>441</v>
      </c>
      <c r="O40" s="19"/>
      <c r="P40" s="11">
        <v>406.5</v>
      </c>
      <c r="Q40" s="29"/>
    </row>
    <row r="41" spans="2:24">
      <c r="B41" s="39"/>
      <c r="C41" s="20"/>
      <c r="D41" s="11"/>
      <c r="F41" t="s">
        <v>21</v>
      </c>
      <c r="H41" s="14">
        <v>319.83999999999997</v>
      </c>
      <c r="L41" s="11"/>
      <c r="N41" s="39" t="s">
        <v>442</v>
      </c>
      <c r="O41" s="19"/>
      <c r="P41" s="11">
        <v>5934</v>
      </c>
      <c r="Q41" s="8"/>
      <c r="S41" s="2"/>
    </row>
    <row r="42" spans="2:24">
      <c r="B42" s="39"/>
      <c r="C42" s="20"/>
      <c r="D42" s="11"/>
      <c r="F42" t="s">
        <v>430</v>
      </c>
      <c r="H42" s="14">
        <v>136.72</v>
      </c>
      <c r="L42" s="11"/>
      <c r="N42" s="39"/>
      <c r="O42" s="19"/>
      <c r="P42" s="11"/>
      <c r="S42" s="2"/>
    </row>
    <row r="43" spans="2:24">
      <c r="B43" s="39"/>
      <c r="C43" s="20"/>
      <c r="D43" s="11"/>
      <c r="F43" t="s">
        <v>173</v>
      </c>
      <c r="H43" s="14">
        <v>245.7</v>
      </c>
      <c r="L43" s="11"/>
      <c r="N43" s="39"/>
      <c r="O43" s="19"/>
      <c r="P43" s="11"/>
      <c r="S43" s="2"/>
    </row>
    <row r="44" spans="2:24">
      <c r="B44" s="12"/>
      <c r="C44" s="20"/>
      <c r="D44" s="11"/>
      <c r="F44" t="s">
        <v>431</v>
      </c>
      <c r="H44" s="14">
        <v>457</v>
      </c>
      <c r="L44" s="11"/>
      <c r="O44" s="19"/>
      <c r="P44" s="11"/>
      <c r="S44" s="2"/>
    </row>
    <row r="45" spans="2:24">
      <c r="B45" s="12"/>
      <c r="C45" s="20"/>
      <c r="D45" s="11"/>
      <c r="F45" t="s">
        <v>87</v>
      </c>
      <c r="H45" s="14">
        <v>134</v>
      </c>
      <c r="L45" s="11"/>
      <c r="N45" s="44"/>
      <c r="O45" s="44"/>
      <c r="P45" s="92"/>
      <c r="S45" s="2"/>
    </row>
    <row r="46" spans="2:24">
      <c r="B46" s="12"/>
      <c r="C46" s="20"/>
      <c r="D46" s="11"/>
      <c r="F46" t="s">
        <v>87</v>
      </c>
      <c r="H46" s="11">
        <v>429</v>
      </c>
      <c r="L46" s="11"/>
      <c r="M46" t="s">
        <v>286</v>
      </c>
    </row>
    <row r="47" spans="2:24">
      <c r="B47" s="12"/>
      <c r="C47" s="20"/>
      <c r="D47" s="11"/>
      <c r="F47" t="s">
        <v>87</v>
      </c>
      <c r="G47" s="20"/>
      <c r="H47" s="14">
        <v>127</v>
      </c>
      <c r="L47" s="11"/>
      <c r="M47" s="33"/>
    </row>
    <row r="48" spans="2:24">
      <c r="B48" s="12"/>
      <c r="C48" s="1"/>
      <c r="D48" s="11"/>
      <c r="F48" t="s">
        <v>169</v>
      </c>
      <c r="G48">
        <v>400</v>
      </c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2000</v>
      </c>
      <c r="D51" s="2">
        <f>SUM(D35:D50)</f>
        <v>1900</v>
      </c>
      <c r="F51" t="s">
        <v>2</v>
      </c>
      <c r="G51" s="2">
        <f>SUM(G33:G50)</f>
        <v>400</v>
      </c>
      <c r="H51" s="2">
        <f>SUM(H33:H49)</f>
        <v>3727.2599999999998</v>
      </c>
      <c r="J51" t="s">
        <v>2</v>
      </c>
      <c r="K51" s="2">
        <f>SUM(K33:K48)</f>
        <v>-316.90000000000009</v>
      </c>
      <c r="L51" s="2">
        <f>SUM(L33:L49)</f>
        <v>0</v>
      </c>
      <c r="N51" t="s">
        <v>2</v>
      </c>
      <c r="O51" s="2">
        <f>SUM(O33:O43)</f>
        <v>6423.83</v>
      </c>
      <c r="P51" s="2">
        <f>SUM(P33:P42)</f>
        <v>12764.33</v>
      </c>
    </row>
    <row r="52" spans="2:28">
      <c r="D52" s="2">
        <f>C51-D51</f>
        <v>100</v>
      </c>
      <c r="H52" s="2">
        <f>G51-H51</f>
        <v>-3327.2599999999998</v>
      </c>
      <c r="L52" s="2">
        <f>K51-L51</f>
        <v>-316.90000000000009</v>
      </c>
      <c r="P52" s="2">
        <f>O51-P51</f>
        <v>-6340.5</v>
      </c>
      <c r="R52" s="2"/>
      <c r="AA52" t="s">
        <v>239</v>
      </c>
      <c r="AB52" s="1">
        <v>10261.049999999999</v>
      </c>
    </row>
    <row r="53" spans="2:28">
      <c r="AA53" t="s">
        <v>240</v>
      </c>
      <c r="AB53" s="1">
        <v>7081.32</v>
      </c>
    </row>
    <row r="54" spans="2:28">
      <c r="B54" t="s">
        <v>282</v>
      </c>
      <c r="L54">
        <v>-3033.16</v>
      </c>
      <c r="P54">
        <f>3033.16+2589.58</f>
        <v>5622.74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-3327.26</v>
      </c>
      <c r="L55" s="2">
        <f>(3033.16+199-475.54-3033.16)</f>
        <v>-276.53999999999996</v>
      </c>
      <c r="P55" s="2">
        <f>-6424.41+P54</f>
        <v>-801.67000000000007</v>
      </c>
      <c r="V55" t="s">
        <v>114</v>
      </c>
      <c r="W55" t="s">
        <v>115</v>
      </c>
      <c r="X55" t="s">
        <v>116</v>
      </c>
      <c r="AA55" t="s">
        <v>242</v>
      </c>
      <c r="AB55" s="2">
        <f>AB54/2</f>
        <v>1589.8649999999998</v>
      </c>
    </row>
    <row r="57" spans="2:28">
      <c r="D57" t="s">
        <v>138</v>
      </c>
      <c r="E57" s="34" t="s">
        <v>120</v>
      </c>
      <c r="F57" s="41"/>
      <c r="G57" s="41"/>
      <c r="H57" s="51">
        <v>1041.73</v>
      </c>
      <c r="I57" s="41"/>
      <c r="J57" s="41"/>
      <c r="K57" s="41"/>
      <c r="L57" s="51">
        <v>0</v>
      </c>
      <c r="M57" s="41"/>
      <c r="N57" s="41"/>
      <c r="O57" s="41"/>
      <c r="P57" s="53">
        <v>801.67</v>
      </c>
      <c r="S57" s="1">
        <f>ABS(H55+L55+P55)</f>
        <v>4405.47</v>
      </c>
      <c r="T57" t="s">
        <v>98</v>
      </c>
      <c r="V57" s="1">
        <f>Z59-Z60</f>
        <v>718.67999999999984</v>
      </c>
      <c r="W57" s="2">
        <f>S57-V57</f>
        <v>3686.7900000000004</v>
      </c>
      <c r="X57" s="2">
        <f>W57/2</f>
        <v>1843.3950000000002</v>
      </c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>
        <f>U59-P57</f>
        <v>1041.73</v>
      </c>
      <c r="S58" s="1"/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-2285.5300000000002</v>
      </c>
      <c r="I59" s="44"/>
      <c r="J59" s="44"/>
      <c r="K59" s="44"/>
      <c r="L59" s="45">
        <f>L57+L55</f>
        <v>-276.53999999999996</v>
      </c>
      <c r="M59" s="44"/>
      <c r="N59" s="44"/>
      <c r="O59" s="44"/>
      <c r="P59" s="45"/>
      <c r="U59">
        <v>1843.4</v>
      </c>
      <c r="W59" t="s">
        <v>117</v>
      </c>
      <c r="X59" s="2">
        <f>ABS(X57)</f>
        <v>1843.3950000000002</v>
      </c>
      <c r="Z59" s="1">
        <v>3900</v>
      </c>
      <c r="AA59" s="2">
        <f>X59+Z59</f>
        <v>5743.3950000000004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118</v>
      </c>
      <c r="X60" s="1">
        <f>V57+ABS(X57)</f>
        <v>2562.0749999999998</v>
      </c>
      <c r="Z60" s="1">
        <v>3181.32</v>
      </c>
      <c r="AA60" s="2">
        <f>X60+Z60</f>
        <v>5743.3950000000004</v>
      </c>
    </row>
    <row r="61" spans="2:28">
      <c r="D61" t="s">
        <v>139</v>
      </c>
      <c r="H61" s="2"/>
      <c r="L61" s="2"/>
      <c r="P61" s="2"/>
    </row>
    <row r="62" spans="2:28">
      <c r="E62" s="34" t="s">
        <v>169</v>
      </c>
      <c r="F62" s="41"/>
      <c r="G62" s="41"/>
      <c r="H62" s="51">
        <v>1835.44</v>
      </c>
      <c r="I62" s="41"/>
      <c r="J62" s="41"/>
      <c r="K62" s="41"/>
      <c r="L62" s="51">
        <v>276.54000000000002</v>
      </c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>
        <f>IF(H63=0,H61-H62,)</f>
        <v>-1835.44</v>
      </c>
      <c r="I64" s="44"/>
      <c r="J64" s="44"/>
      <c r="K64" s="44"/>
      <c r="L64" s="45">
        <f>IF(L63=0,L61-L62,0)</f>
        <v>-276.54000000000002</v>
      </c>
      <c r="M64" s="44"/>
      <c r="N64" s="44"/>
      <c r="O64" s="44"/>
      <c r="P64" s="45">
        <f>IF(P63=0,P61-P62,)</f>
        <v>0</v>
      </c>
      <c r="X64" s="1"/>
    </row>
    <row r="65" spans="12:24">
      <c r="L65" s="60"/>
      <c r="P65" s="27"/>
      <c r="X65" s="2"/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87" priority="1" operator="lessThan">
      <formula>0</formula>
    </cfRule>
    <cfRule type="cellIs" dxfId="8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8"/>
  <dimension ref="A1:AB84"/>
  <sheetViews>
    <sheetView topLeftCell="A10" workbookViewId="0">
      <selection activeCell="D40" sqref="D40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4" max="24" width="11.5703125" bestFit="1" customWidth="1"/>
    <col min="28" max="28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/>
      <c r="P1" s="218"/>
    </row>
    <row r="2" spans="1:16">
      <c r="B2" s="18" t="s">
        <v>0</v>
      </c>
      <c r="C2" s="94">
        <v>10162.209999999999</v>
      </c>
      <c r="D2" s="74"/>
      <c r="E2" s="18"/>
      <c r="F2" s="18" t="s">
        <v>0</v>
      </c>
      <c r="G2" s="75">
        <v>4557.63</v>
      </c>
      <c r="H2" s="74"/>
      <c r="I2" s="18"/>
      <c r="J2" s="18" t="s">
        <v>0</v>
      </c>
      <c r="K2" s="73">
        <v>14195.71</v>
      </c>
      <c r="L2" s="74"/>
      <c r="N2" s="18"/>
      <c r="O2" s="73"/>
      <c r="P2" s="97"/>
    </row>
    <row r="3" spans="1:16">
      <c r="B3" s="18" t="s">
        <v>457</v>
      </c>
      <c r="C3" s="23">
        <v>83</v>
      </c>
      <c r="D3" s="11"/>
      <c r="E3" s="76"/>
      <c r="F3" s="18" t="s">
        <v>475</v>
      </c>
      <c r="G3" s="21">
        <v>2094.65</v>
      </c>
      <c r="H3" s="11">
        <v>2094.65</v>
      </c>
      <c r="I3" s="18"/>
      <c r="J3" s="18"/>
      <c r="K3" s="20"/>
      <c r="L3" s="77"/>
      <c r="N3" s="18"/>
      <c r="O3" s="20"/>
      <c r="P3" s="11"/>
    </row>
    <row r="4" spans="1:16">
      <c r="B4" s="18" t="s">
        <v>380</v>
      </c>
      <c r="C4" s="23">
        <v>351.06</v>
      </c>
      <c r="D4" s="11"/>
      <c r="E4" s="18"/>
      <c r="F4" s="18" t="s">
        <v>281</v>
      </c>
      <c r="G4" s="20">
        <v>3033.16</v>
      </c>
      <c r="H4" s="11"/>
      <c r="I4" s="18"/>
      <c r="J4" s="18"/>
      <c r="K4" s="20"/>
      <c r="L4" s="77"/>
      <c r="N4" s="18"/>
      <c r="O4" s="20"/>
      <c r="P4" s="11"/>
    </row>
    <row r="5" spans="1:16">
      <c r="B5" s="18" t="s">
        <v>458</v>
      </c>
      <c r="C5" s="23">
        <v>1402</v>
      </c>
      <c r="D5" s="11"/>
      <c r="E5" s="18"/>
      <c r="F5" s="18" t="s">
        <v>284</v>
      </c>
      <c r="G5" s="20"/>
      <c r="H5" s="11">
        <v>3033.16</v>
      </c>
      <c r="I5" s="18"/>
      <c r="J5" s="18"/>
      <c r="K5" s="20"/>
      <c r="L5" s="11"/>
      <c r="N5" s="18"/>
      <c r="O5" s="20"/>
      <c r="P5" s="11"/>
    </row>
    <row r="6" spans="1:16">
      <c r="B6" s="39" t="s">
        <v>466</v>
      </c>
      <c r="C6" s="24">
        <v>578.66</v>
      </c>
      <c r="D6" s="122">
        <v>578.66</v>
      </c>
      <c r="E6" s="18"/>
      <c r="F6" s="18" t="s">
        <v>230</v>
      </c>
      <c r="G6" s="23">
        <v>826.67</v>
      </c>
      <c r="H6" s="11"/>
      <c r="I6" s="76"/>
      <c r="J6" s="18"/>
      <c r="K6" s="20"/>
      <c r="L6" s="77"/>
      <c r="N6" s="18"/>
      <c r="O6" s="20"/>
      <c r="P6" s="11"/>
    </row>
    <row r="7" spans="1:16">
      <c r="A7" s="1"/>
      <c r="B7" s="39" t="s">
        <v>439</v>
      </c>
      <c r="C7" s="24">
        <v>127.91</v>
      </c>
      <c r="D7" s="14"/>
      <c r="E7" s="76"/>
      <c r="F7" s="18" t="s">
        <v>473</v>
      </c>
      <c r="G7" s="11"/>
      <c r="H7" s="24">
        <v>989</v>
      </c>
      <c r="I7" s="76"/>
      <c r="J7" s="18"/>
      <c r="K7" s="20"/>
      <c r="L7" s="77"/>
      <c r="N7" s="18"/>
      <c r="O7" s="20"/>
      <c r="P7" s="77"/>
    </row>
    <row r="8" spans="1:16">
      <c r="B8" s="39" t="s">
        <v>483</v>
      </c>
      <c r="C8" s="24">
        <v>3279.14</v>
      </c>
      <c r="D8" s="11"/>
      <c r="E8" s="18"/>
      <c r="F8" s="39" t="s">
        <v>476</v>
      </c>
      <c r="G8" s="11"/>
      <c r="H8" s="24">
        <v>549</v>
      </c>
      <c r="I8" s="76"/>
      <c r="J8" s="18"/>
      <c r="K8" s="20"/>
      <c r="L8" s="39"/>
      <c r="N8" s="18"/>
      <c r="O8" s="20"/>
      <c r="P8" s="39"/>
    </row>
    <row r="9" spans="1:16">
      <c r="B9" s="39" t="s">
        <v>484</v>
      </c>
      <c r="C9" s="24">
        <v>1132.5</v>
      </c>
      <c r="D9" s="11"/>
      <c r="E9" s="18"/>
      <c r="F9" s="39" t="s">
        <v>472</v>
      </c>
      <c r="G9" s="20"/>
      <c r="H9" s="24">
        <v>277.67</v>
      </c>
      <c r="I9" s="18"/>
      <c r="J9" s="18"/>
      <c r="K9" s="18"/>
      <c r="L9" s="18"/>
      <c r="N9" s="18">
        <f>75.09-47.69</f>
        <v>27.400000000000006</v>
      </c>
      <c r="O9" s="18"/>
      <c r="P9" s="18"/>
    </row>
    <row r="10" spans="1:16">
      <c r="B10" s="39" t="s">
        <v>459</v>
      </c>
      <c r="C10" s="20"/>
      <c r="D10" s="24">
        <v>933.68</v>
      </c>
      <c r="E10" s="76"/>
      <c r="F10" s="39" t="s">
        <v>477</v>
      </c>
      <c r="G10" s="23">
        <v>49</v>
      </c>
      <c r="H10" s="11"/>
      <c r="I10" s="18"/>
      <c r="J10" s="18"/>
      <c r="K10" s="18"/>
      <c r="L10" s="18"/>
      <c r="N10" s="18"/>
      <c r="O10" s="18"/>
      <c r="P10" s="18"/>
    </row>
    <row r="11" spans="1:16">
      <c r="B11" s="39" t="s">
        <v>465</v>
      </c>
      <c r="C11" s="20"/>
      <c r="D11" s="24">
        <v>729</v>
      </c>
      <c r="E11" s="39"/>
      <c r="F11" s="91"/>
      <c r="G11" s="20"/>
      <c r="H11" s="11"/>
      <c r="I11" s="18"/>
      <c r="J11" s="18"/>
      <c r="K11" s="18"/>
      <c r="L11" s="18"/>
    </row>
    <row r="12" spans="1:16">
      <c r="B12" s="39" t="s">
        <v>481</v>
      </c>
      <c r="C12" s="20"/>
      <c r="D12" s="24">
        <v>425.8</v>
      </c>
      <c r="E12" s="39"/>
      <c r="F12" s="39"/>
      <c r="G12" s="20"/>
      <c r="H12" s="11"/>
      <c r="I12" s="16"/>
      <c r="J12" s="18"/>
      <c r="K12" s="18"/>
      <c r="L12" s="18"/>
    </row>
    <row r="13" spans="1:16">
      <c r="B13" s="39" t="s">
        <v>478</v>
      </c>
      <c r="C13" s="20"/>
      <c r="D13" s="24">
        <v>1576.87</v>
      </c>
      <c r="E13" s="117"/>
      <c r="F13" s="18"/>
      <c r="G13" s="20"/>
      <c r="H13" s="11"/>
      <c r="I13" s="18"/>
      <c r="J13" s="18"/>
      <c r="K13" s="18"/>
      <c r="L13" s="18"/>
    </row>
    <row r="14" spans="1:16">
      <c r="B14" s="39" t="s">
        <v>479</v>
      </c>
      <c r="C14" s="20"/>
      <c r="D14" s="24">
        <v>3934.76</v>
      </c>
      <c r="E14" s="117"/>
      <c r="F14" s="18"/>
      <c r="G14" s="20"/>
      <c r="H14" s="11"/>
      <c r="I14" s="18"/>
      <c r="J14" s="18"/>
      <c r="K14" s="18"/>
      <c r="L14" s="18"/>
    </row>
    <row r="15" spans="1:16">
      <c r="A15" t="s">
        <v>453</v>
      </c>
      <c r="B15" s="39" t="s">
        <v>480</v>
      </c>
      <c r="C15" s="20"/>
      <c r="D15" s="24">
        <v>1748.12</v>
      </c>
      <c r="E15" s="39"/>
      <c r="F15" s="18"/>
      <c r="G15" s="20"/>
      <c r="H15" s="11"/>
      <c r="I15" s="18"/>
      <c r="J15" s="18"/>
      <c r="K15" s="18"/>
      <c r="L15" s="18"/>
    </row>
    <row r="16" spans="1:16">
      <c r="B16" s="39" t="s">
        <v>477</v>
      </c>
      <c r="C16" s="20"/>
      <c r="D16" s="24">
        <v>49</v>
      </c>
      <c r="E16" s="39"/>
      <c r="F16" s="18"/>
      <c r="G16" s="20"/>
      <c r="H16" s="11"/>
      <c r="I16" s="18"/>
      <c r="J16" s="18"/>
      <c r="K16" s="18"/>
      <c r="L16" s="18"/>
    </row>
    <row r="17" spans="1:24">
      <c r="B17" s="39" t="s">
        <v>230</v>
      </c>
      <c r="C17" s="20"/>
      <c r="D17" s="24">
        <v>826.67</v>
      </c>
      <c r="E17" s="39"/>
      <c r="F17" s="18"/>
      <c r="G17" s="20"/>
      <c r="H17" s="11"/>
      <c r="I17" s="18"/>
      <c r="J17" s="18"/>
      <c r="K17" s="18"/>
      <c r="L17" s="18"/>
    </row>
    <row r="18" spans="1:24">
      <c r="B18" s="39" t="s">
        <v>482</v>
      </c>
      <c r="C18" s="20"/>
      <c r="D18" s="24">
        <v>450</v>
      </c>
      <c r="G18" s="20"/>
      <c r="H18" s="11"/>
    </row>
    <row r="19" spans="1:24">
      <c r="B19" s="39" t="s">
        <v>485</v>
      </c>
      <c r="C19" s="20"/>
      <c r="D19" s="24">
        <v>600</v>
      </c>
      <c r="E19" s="96"/>
      <c r="G19" s="20"/>
      <c r="H19" s="11"/>
    </row>
    <row r="20" spans="1:24">
      <c r="B20" s="39" t="s">
        <v>179</v>
      </c>
      <c r="C20" s="20"/>
      <c r="D20" s="24">
        <v>108</v>
      </c>
      <c r="G20" s="20"/>
      <c r="H20" s="19"/>
    </row>
    <row r="21" spans="1:24">
      <c r="A21" s="39"/>
      <c r="B21" s="39"/>
      <c r="C21" s="20"/>
      <c r="D21" s="11"/>
      <c r="G21" s="20"/>
      <c r="H21" s="19"/>
    </row>
    <row r="22" spans="1:24">
      <c r="B22" s="39"/>
      <c r="C22" s="20"/>
      <c r="D22" s="11"/>
      <c r="G22" s="20"/>
      <c r="H22" s="19"/>
    </row>
    <row r="23" spans="1:24">
      <c r="B23" s="39"/>
      <c r="C23" s="20"/>
      <c r="D23" s="11"/>
      <c r="G23" s="20"/>
      <c r="H23" s="19"/>
    </row>
    <row r="24" spans="1:24">
      <c r="B24" s="39"/>
      <c r="C24" s="20"/>
      <c r="D24" s="11"/>
      <c r="G24" s="20"/>
      <c r="H24" s="19"/>
    </row>
    <row r="25" spans="1:24">
      <c r="B25" s="39"/>
      <c r="C25" s="1"/>
      <c r="D25" s="11"/>
      <c r="G25" s="20"/>
      <c r="H25" s="19"/>
    </row>
    <row r="26" spans="1:24">
      <c r="B26" s="39"/>
      <c r="C26" s="1"/>
      <c r="D26" s="11"/>
      <c r="G26" s="20"/>
      <c r="H26" s="19"/>
    </row>
    <row r="27" spans="1:24">
      <c r="B27" s="39"/>
      <c r="C27" s="1"/>
      <c r="D27" s="11"/>
      <c r="G27" s="20"/>
      <c r="H27" s="19"/>
    </row>
    <row r="28" spans="1:24">
      <c r="B28" t="s">
        <v>2</v>
      </c>
      <c r="C28" s="2">
        <f>SUM(C2:C27)</f>
        <v>17116.479999999996</v>
      </c>
      <c r="D28" s="2">
        <f>SUM(D3:D27)</f>
        <v>11960.56</v>
      </c>
      <c r="F28" t="s">
        <v>2</v>
      </c>
      <c r="G28" s="2">
        <f>SUM(G2:G18)</f>
        <v>10561.11</v>
      </c>
      <c r="H28" s="2">
        <f>SUM(H3:H26)</f>
        <v>6943.48</v>
      </c>
      <c r="J28" t="s">
        <v>2</v>
      </c>
      <c r="K28" s="2">
        <f>SUM(K1:K10)</f>
        <v>14195.71</v>
      </c>
      <c r="L28" s="2">
        <f>SUM(L2:L10)</f>
        <v>0</v>
      </c>
      <c r="N28" t="s">
        <v>2</v>
      </c>
      <c r="O28" s="2">
        <f>SUM(O1:O10)</f>
        <v>0</v>
      </c>
      <c r="P28" s="2">
        <f>SUM(P2:P10)</f>
        <v>0</v>
      </c>
    </row>
    <row r="29" spans="1:24">
      <c r="D29" s="2">
        <f>C28-D28</f>
        <v>5155.9199999999964</v>
      </c>
      <c r="H29" s="2">
        <f>G28-H28</f>
        <v>3617.630000000001</v>
      </c>
      <c r="L29" s="2">
        <f>K28-L28</f>
        <v>14195.71</v>
      </c>
      <c r="P29" s="2">
        <f>O28-P28</f>
        <v>0</v>
      </c>
    </row>
    <row r="31" spans="1:24">
      <c r="V31" s="102">
        <v>42722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4">
      <c r="B33" t="s">
        <v>0</v>
      </c>
      <c r="C33" s="3">
        <v>213</v>
      </c>
      <c r="D33" s="4"/>
      <c r="F33" t="s">
        <v>0</v>
      </c>
      <c r="G33" s="3">
        <v>-3023.99</v>
      </c>
      <c r="H33" s="4"/>
      <c r="J33" t="s">
        <v>0</v>
      </c>
      <c r="K33" s="3">
        <v>-7910.76</v>
      </c>
      <c r="L33" s="4"/>
      <c r="M33" s="33"/>
      <c r="N33" t="s">
        <v>0</v>
      </c>
      <c r="O33" s="3">
        <v>-19163.14</v>
      </c>
      <c r="P33" s="4"/>
      <c r="R33" t="s">
        <v>469</v>
      </c>
      <c r="S33" s="1">
        <v>-4998</v>
      </c>
      <c r="T33">
        <v>18</v>
      </c>
      <c r="U33" s="2">
        <f t="shared" ref="U33:U38" si="0">S33/T33</f>
        <v>-277.66666666666669</v>
      </c>
      <c r="V33">
        <v>8</v>
      </c>
      <c r="W33" s="2">
        <f t="shared" ref="W33:W38" si="1">U33*V33</f>
        <v>-2221.3333333333335</v>
      </c>
      <c r="X33" s="2">
        <f t="shared" ref="X33:X38" si="2">S33-W33</f>
        <v>-2776.6666666666665</v>
      </c>
    </row>
    <row r="34" spans="2:24">
      <c r="B34" s="39" t="s">
        <v>460</v>
      </c>
      <c r="C34" s="1">
        <v>146</v>
      </c>
      <c r="D34" s="1"/>
      <c r="F34" t="s">
        <v>462</v>
      </c>
      <c r="G34" s="1"/>
      <c r="H34" s="11">
        <v>188.8</v>
      </c>
      <c r="K34" s="85"/>
      <c r="L34" s="86"/>
      <c r="M34" s="29"/>
      <c r="O34" s="85"/>
      <c r="P34" s="86"/>
      <c r="Q34" s="93"/>
      <c r="R34" t="s">
        <v>132</v>
      </c>
      <c r="S34" s="101">
        <v>-3144</v>
      </c>
      <c r="T34" s="118">
        <v>6</v>
      </c>
      <c r="U34" s="119">
        <f t="shared" si="0"/>
        <v>-524</v>
      </c>
      <c r="V34" s="118">
        <v>6</v>
      </c>
      <c r="W34" s="119">
        <f t="shared" si="1"/>
        <v>-3144</v>
      </c>
      <c r="X34" s="119">
        <f t="shared" si="2"/>
        <v>0</v>
      </c>
    </row>
    <row r="35" spans="2:24">
      <c r="B35" s="39" t="s">
        <v>461</v>
      </c>
      <c r="C35" s="1">
        <v>161</v>
      </c>
      <c r="D35" s="11"/>
      <c r="F35" t="s">
        <v>463</v>
      </c>
      <c r="G35" s="1"/>
      <c r="H35" s="11">
        <v>28</v>
      </c>
      <c r="K35" s="1"/>
      <c r="L35" s="11"/>
      <c r="N35" t="s">
        <v>284</v>
      </c>
      <c r="O35" s="18">
        <v>3033.16</v>
      </c>
      <c r="P35" s="14">
        <v>3033.16</v>
      </c>
      <c r="R35" t="s">
        <v>277</v>
      </c>
      <c r="S35" s="1">
        <v>-18198.95</v>
      </c>
      <c r="T35">
        <v>6</v>
      </c>
      <c r="U35" s="2">
        <f t="shared" si="0"/>
        <v>-3033.1583333333333</v>
      </c>
      <c r="V35">
        <v>6</v>
      </c>
      <c r="W35" s="2">
        <f t="shared" si="1"/>
        <v>-18198.95</v>
      </c>
      <c r="X35" s="2">
        <f t="shared" si="2"/>
        <v>0</v>
      </c>
    </row>
    <row r="36" spans="2:24">
      <c r="B36" s="39" t="s">
        <v>486</v>
      </c>
      <c r="C36" s="1">
        <v>600</v>
      </c>
      <c r="D36" s="11"/>
      <c r="F36" t="s">
        <v>464</v>
      </c>
      <c r="G36" s="1"/>
      <c r="H36" s="11">
        <v>209</v>
      </c>
      <c r="K36" s="1"/>
      <c r="L36" s="11"/>
      <c r="N36" t="s">
        <v>472</v>
      </c>
      <c r="O36" s="27">
        <v>277.67</v>
      </c>
      <c r="P36" s="11"/>
      <c r="R36" t="s">
        <v>470</v>
      </c>
      <c r="S36" s="101">
        <v>-7768.75</v>
      </c>
      <c r="T36" s="118">
        <v>3</v>
      </c>
      <c r="U36" s="119">
        <f t="shared" si="0"/>
        <v>-2589.5833333333335</v>
      </c>
      <c r="V36" s="118">
        <v>3</v>
      </c>
      <c r="W36" s="119">
        <f t="shared" si="1"/>
        <v>-7768.75</v>
      </c>
      <c r="X36" s="119">
        <f t="shared" si="2"/>
        <v>0</v>
      </c>
    </row>
    <row r="37" spans="2:24">
      <c r="B37" s="39" t="s">
        <v>487</v>
      </c>
      <c r="C37" s="20"/>
      <c r="D37" s="11">
        <v>300</v>
      </c>
      <c r="F37" t="s">
        <v>465</v>
      </c>
      <c r="G37" s="1">
        <v>729</v>
      </c>
      <c r="H37" s="1"/>
      <c r="K37" s="1"/>
      <c r="L37" s="11"/>
      <c r="N37" t="s">
        <v>473</v>
      </c>
      <c r="O37" s="27">
        <v>989</v>
      </c>
      <c r="P37" s="11"/>
      <c r="R37" t="s">
        <v>468</v>
      </c>
      <c r="S37" s="1">
        <v>-5934</v>
      </c>
      <c r="T37">
        <v>6</v>
      </c>
      <c r="U37" s="2">
        <f t="shared" si="0"/>
        <v>-989</v>
      </c>
      <c r="V37">
        <v>2</v>
      </c>
      <c r="W37" s="2">
        <f t="shared" si="1"/>
        <v>-1978</v>
      </c>
      <c r="X37" s="2">
        <f t="shared" si="2"/>
        <v>-3956</v>
      </c>
    </row>
    <row r="38" spans="2:24">
      <c r="B38" s="39" t="s">
        <v>488</v>
      </c>
      <c r="C38" s="20"/>
      <c r="D38" s="11">
        <v>370</v>
      </c>
      <c r="F38" s="116" t="s">
        <v>467</v>
      </c>
      <c r="G38" s="1">
        <v>425.8</v>
      </c>
      <c r="H38" s="1"/>
      <c r="J38" t="s">
        <v>478</v>
      </c>
      <c r="K38" s="23">
        <v>3934.76</v>
      </c>
      <c r="L38" s="11"/>
      <c r="M38" s="29"/>
      <c r="N38" t="s">
        <v>474</v>
      </c>
      <c r="O38" s="27">
        <v>549</v>
      </c>
      <c r="P38" s="11"/>
      <c r="Q38" s="29"/>
      <c r="R38" t="s">
        <v>471</v>
      </c>
      <c r="S38" s="1">
        <v>-6588.04</v>
      </c>
      <c r="T38" s="118">
        <v>12</v>
      </c>
      <c r="U38" s="2">
        <f t="shared" si="0"/>
        <v>-549.00333333333333</v>
      </c>
      <c r="V38" s="118">
        <v>2</v>
      </c>
      <c r="W38" s="2">
        <f t="shared" si="1"/>
        <v>-1098.0066666666667</v>
      </c>
      <c r="X38" s="2">
        <f t="shared" si="2"/>
        <v>-5490.0333333333328</v>
      </c>
    </row>
    <row r="39" spans="2:24">
      <c r="B39" s="39" t="s">
        <v>489</v>
      </c>
      <c r="C39" s="20"/>
      <c r="D39" s="11">
        <v>450</v>
      </c>
      <c r="G39" s="1"/>
      <c r="H39" s="14"/>
      <c r="J39" t="s">
        <v>479</v>
      </c>
      <c r="K39" s="23">
        <v>1748.12</v>
      </c>
      <c r="L39" s="11"/>
      <c r="M39" s="29"/>
      <c r="N39" s="39" t="s">
        <v>349</v>
      </c>
      <c r="O39" s="27">
        <v>2094.65</v>
      </c>
      <c r="P39" s="11">
        <v>2094.65</v>
      </c>
      <c r="Q39" s="29"/>
      <c r="R39" t="s">
        <v>11</v>
      </c>
      <c r="S39" s="2">
        <f>SUM(S33:S38)</f>
        <v>-46631.74</v>
      </c>
      <c r="X39" s="2">
        <f>SUM(X33:X38)</f>
        <v>-12222.699999999999</v>
      </c>
    </row>
    <row r="40" spans="2:24">
      <c r="B40" s="39"/>
      <c r="C40" s="20"/>
      <c r="D40" s="11"/>
      <c r="G40" s="1"/>
      <c r="H40" s="14"/>
      <c r="J40" t="s">
        <v>480</v>
      </c>
      <c r="K40" s="23">
        <v>1576.87</v>
      </c>
      <c r="L40" s="11"/>
      <c r="N40" s="39"/>
      <c r="O40" s="19"/>
      <c r="P40" s="11"/>
      <c r="Q40" s="29"/>
    </row>
    <row r="41" spans="2:24">
      <c r="B41" s="39"/>
      <c r="C41" s="20"/>
      <c r="D41" s="11"/>
      <c r="H41" s="14"/>
      <c r="K41" t="s">
        <v>80</v>
      </c>
      <c r="L41" s="11"/>
      <c r="N41" s="39"/>
      <c r="O41" s="19"/>
      <c r="P41" s="11"/>
      <c r="Q41" s="8"/>
    </row>
    <row r="42" spans="2:24">
      <c r="B42" s="39"/>
      <c r="C42" s="20"/>
      <c r="D42" s="11"/>
      <c r="H42" s="14"/>
      <c r="L42" s="11"/>
      <c r="N42" s="39"/>
      <c r="O42" s="19"/>
      <c r="P42" s="11"/>
      <c r="S42" s="2"/>
    </row>
    <row r="43" spans="2:24">
      <c r="B43" s="39"/>
      <c r="C43" s="20"/>
      <c r="D43" s="11"/>
      <c r="H43" s="14"/>
      <c r="L43" s="11"/>
      <c r="N43" s="39"/>
      <c r="O43" s="19"/>
      <c r="P43" s="11"/>
      <c r="S43" s="2"/>
    </row>
    <row r="44" spans="2:24">
      <c r="B44" s="12"/>
      <c r="C44" s="20"/>
      <c r="D44" s="11"/>
      <c r="H44" s="14"/>
      <c r="L44" s="11"/>
      <c r="O44" s="19"/>
      <c r="P44" s="11"/>
      <c r="S44" s="2"/>
    </row>
    <row r="45" spans="2:24">
      <c r="B45" s="12"/>
      <c r="C45" s="20"/>
      <c r="D45" s="11"/>
      <c r="H45" s="14"/>
      <c r="L45" s="11"/>
      <c r="N45" s="44"/>
      <c r="O45" s="44"/>
      <c r="P45" s="92"/>
      <c r="S45" s="2"/>
    </row>
    <row r="46" spans="2:24">
      <c r="B46" s="12"/>
      <c r="C46" s="20"/>
      <c r="D46" s="11"/>
      <c r="H46" s="11"/>
      <c r="L46" s="11"/>
      <c r="M46" t="s">
        <v>286</v>
      </c>
      <c r="S46" s="2"/>
    </row>
    <row r="47" spans="2:24">
      <c r="B47" s="12"/>
      <c r="C47" s="20"/>
      <c r="D47" s="11"/>
      <c r="G47" s="20"/>
      <c r="H47" s="14"/>
      <c r="L47" s="11"/>
      <c r="M47" s="33"/>
    </row>
    <row r="48" spans="2:24">
      <c r="B48" s="12"/>
      <c r="C48" s="1"/>
      <c r="D48" s="11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1120</v>
      </c>
      <c r="D51" s="2">
        <f>SUM(D35:D50)</f>
        <v>1120</v>
      </c>
      <c r="F51" t="s">
        <v>2</v>
      </c>
      <c r="G51" s="2">
        <f>SUM(G33:G50)</f>
        <v>-1869.1899999999998</v>
      </c>
      <c r="H51" s="2">
        <f>SUM(H33:H49)</f>
        <v>425.8</v>
      </c>
      <c r="J51" t="s">
        <v>2</v>
      </c>
      <c r="K51" s="2">
        <f>SUM(K33:K48)</f>
        <v>-651.01000000000022</v>
      </c>
      <c r="L51" s="2">
        <f>SUM(L33:L49)</f>
        <v>0</v>
      </c>
      <c r="N51" t="s">
        <v>2</v>
      </c>
      <c r="O51" s="2">
        <f>SUM(O33:O43)</f>
        <v>-12219.66</v>
      </c>
      <c r="P51" s="2">
        <f>SUM(P33:P42)</f>
        <v>5127.8099999999995</v>
      </c>
    </row>
    <row r="52" spans="2:28">
      <c r="D52" s="2">
        <f>C51-D51</f>
        <v>0</v>
      </c>
      <c r="H52" s="2">
        <f>G51-H51</f>
        <v>-2294.9899999999998</v>
      </c>
      <c r="L52" s="2">
        <f>K51-L51</f>
        <v>-651.01000000000022</v>
      </c>
      <c r="P52" s="2">
        <f>O51-P51</f>
        <v>-17347.47</v>
      </c>
      <c r="AA52" t="s">
        <v>239</v>
      </c>
      <c r="AB52" s="1">
        <v>10261.049999999999</v>
      </c>
    </row>
    <row r="53" spans="2:28">
      <c r="R53" s="2"/>
      <c r="AA53" t="s">
        <v>240</v>
      </c>
      <c r="AB53" s="1">
        <v>7081.32</v>
      </c>
    </row>
    <row r="54" spans="2:28">
      <c r="B54" t="s">
        <v>282</v>
      </c>
      <c r="L54">
        <v>-3033.16</v>
      </c>
      <c r="P54">
        <f>3033.16+2589.58</f>
        <v>5622.74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-3327.26</v>
      </c>
      <c r="L55" s="2">
        <f>(3033.16+199-475.54-3033.16)</f>
        <v>-276.53999999999996</v>
      </c>
      <c r="P55" s="2">
        <f>-6424.41+P54</f>
        <v>-801.67000000000007</v>
      </c>
      <c r="AA55" t="s">
        <v>242</v>
      </c>
      <c r="AB55" s="2">
        <f>AB54/2</f>
        <v>1589.8649999999998</v>
      </c>
    </row>
    <row r="56" spans="2:28">
      <c r="V56" t="s">
        <v>114</v>
      </c>
      <c r="W56" t="s">
        <v>115</v>
      </c>
      <c r="X56" t="s">
        <v>116</v>
      </c>
    </row>
    <row r="57" spans="2:28">
      <c r="D57" t="s">
        <v>138</v>
      </c>
      <c r="E57" s="34" t="s">
        <v>120</v>
      </c>
      <c r="F57" s="41"/>
      <c r="G57" s="41"/>
      <c r="H57" s="51">
        <v>1041.73</v>
      </c>
      <c r="I57" s="41"/>
      <c r="J57" s="41"/>
      <c r="K57" s="41"/>
      <c r="L57" s="51">
        <v>0</v>
      </c>
      <c r="M57" s="41"/>
      <c r="N57" s="41"/>
      <c r="O57" s="41"/>
      <c r="P57" s="53">
        <v>801.67</v>
      </c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>
        <f>U60-P57</f>
        <v>1041.73</v>
      </c>
      <c r="S58" s="1">
        <f>ABS(H55+L55+P55)</f>
        <v>4405.47</v>
      </c>
      <c r="T58" t="s">
        <v>98</v>
      </c>
      <c r="V58" s="1">
        <f>Z59-Z60</f>
        <v>718.67999999999984</v>
      </c>
      <c r="W58" s="2">
        <f>S58-V58</f>
        <v>3686.7900000000004</v>
      </c>
      <c r="X58" s="2">
        <f>W58/2</f>
        <v>1843.3950000000002</v>
      </c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-2285.5300000000002</v>
      </c>
      <c r="I59" s="44"/>
      <c r="J59" s="44"/>
      <c r="K59" s="44"/>
      <c r="L59" s="45">
        <f>L57+L55</f>
        <v>-276.53999999999996</v>
      </c>
      <c r="M59" s="44"/>
      <c r="N59" s="44"/>
      <c r="O59" s="44"/>
      <c r="P59" s="45"/>
      <c r="S59" s="1"/>
      <c r="Z59" s="1">
        <v>3900</v>
      </c>
      <c r="AA59" s="2">
        <f>X60+Z59</f>
        <v>5743.3950000000004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U60">
        <v>1843.4</v>
      </c>
      <c r="W60" t="s">
        <v>117</v>
      </c>
      <c r="X60" s="2">
        <f>ABS(X58)</f>
        <v>1843.3950000000002</v>
      </c>
      <c r="Z60" s="1">
        <v>3181.32</v>
      </c>
      <c r="AA60" s="2">
        <f>X61+Z60</f>
        <v>5743.3950000000004</v>
      </c>
    </row>
    <row r="61" spans="2:28">
      <c r="D61" t="s">
        <v>139</v>
      </c>
      <c r="H61" s="2"/>
      <c r="L61" s="2"/>
      <c r="P61" s="2"/>
      <c r="W61" t="s">
        <v>118</v>
      </c>
      <c r="X61" s="1">
        <f>V58+ABS(X58)</f>
        <v>2562.0749999999998</v>
      </c>
    </row>
    <row r="62" spans="2:28">
      <c r="E62" s="34" t="s">
        <v>169</v>
      </c>
      <c r="F62" s="41"/>
      <c r="G62" s="41"/>
      <c r="H62" s="51">
        <v>1835.44</v>
      </c>
      <c r="I62" s="41"/>
      <c r="J62" s="41"/>
      <c r="K62" s="41"/>
      <c r="L62" s="51">
        <v>276.54000000000002</v>
      </c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>
        <f>IF(H63=0,H61-H62,)</f>
        <v>-1835.44</v>
      </c>
      <c r="I64" s="44"/>
      <c r="J64" s="44"/>
      <c r="K64" s="44"/>
      <c r="L64" s="45">
        <f>IF(L63=0,L61-L62,0)</f>
        <v>-276.54000000000002</v>
      </c>
      <c r="M64" s="44"/>
      <c r="N64" s="44"/>
      <c r="O64" s="44"/>
      <c r="P64" s="45">
        <f>IF(P63=0,P61-P62,)</f>
        <v>0</v>
      </c>
    </row>
    <row r="65" spans="12:24">
      <c r="L65" s="60"/>
      <c r="P65" s="27"/>
      <c r="X65" s="1"/>
    </row>
    <row r="66" spans="12:24">
      <c r="X66" s="2"/>
    </row>
    <row r="84" spans="2:2">
      <c r="B84">
        <f>879+179</f>
        <v>1058</v>
      </c>
    </row>
  </sheetData>
  <mergeCells count="8">
    <mergeCell ref="C1:D1"/>
    <mergeCell ref="G1:H1"/>
    <mergeCell ref="K1:L1"/>
    <mergeCell ref="O1:P1"/>
    <mergeCell ref="C32:D32"/>
    <mergeCell ref="G32:H32"/>
    <mergeCell ref="K32:L32"/>
    <mergeCell ref="O32:P32"/>
  </mergeCells>
  <conditionalFormatting sqref="P52 L52 H29 L29 D52 H52 D29 P29">
    <cfRule type="cellIs" dxfId="85" priority="1" operator="lessThan">
      <formula>0</formula>
    </cfRule>
    <cfRule type="cellIs" dxfId="84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9"/>
  <dimension ref="A1:AB84"/>
  <sheetViews>
    <sheetView topLeftCell="A25" workbookViewId="0">
      <selection activeCell="K43" sqref="K36:K4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5155.92</v>
      </c>
      <c r="D2" s="74"/>
      <c r="E2" s="18"/>
      <c r="F2" s="18" t="s">
        <v>0</v>
      </c>
      <c r="G2" s="75">
        <v>3617.63</v>
      </c>
      <c r="H2" s="74"/>
      <c r="I2" s="18"/>
      <c r="J2" s="18" t="s">
        <v>0</v>
      </c>
      <c r="K2" s="73">
        <v>14195.71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490</v>
      </c>
      <c r="C3" s="20"/>
      <c r="D3" s="11"/>
      <c r="E3" s="76"/>
      <c r="F3" s="18" t="s">
        <v>475</v>
      </c>
      <c r="G3" s="21"/>
      <c r="H3" s="11">
        <v>2094.65</v>
      </c>
      <c r="I3" s="18"/>
      <c r="J3" s="18" t="s">
        <v>201</v>
      </c>
      <c r="K3" s="20">
        <v>3000.24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39</v>
      </c>
      <c r="C4" s="23">
        <v>18001.05</v>
      </c>
      <c r="D4" s="11"/>
      <c r="E4" s="18"/>
      <c r="F4" s="18" t="s">
        <v>281</v>
      </c>
      <c r="G4" s="20">
        <v>3033.16</v>
      </c>
      <c r="H4" s="11"/>
      <c r="I4" s="18"/>
      <c r="J4" s="18" t="s">
        <v>506</v>
      </c>
      <c r="K4" s="20">
        <v>20.67</v>
      </c>
      <c r="L4" s="77"/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18" t="s">
        <v>193</v>
      </c>
      <c r="C5" s="23">
        <v>711.85</v>
      </c>
      <c r="D5" s="11"/>
      <c r="E5" s="18"/>
      <c r="F5" s="18" t="s">
        <v>284</v>
      </c>
      <c r="G5" s="20"/>
      <c r="H5" s="11">
        <v>3033.16</v>
      </c>
      <c r="I5" s="18"/>
      <c r="J5" s="18" t="s">
        <v>106</v>
      </c>
      <c r="K5" s="20"/>
      <c r="L5" s="11">
        <v>10001.99</v>
      </c>
      <c r="N5" s="18" t="s">
        <v>497</v>
      </c>
      <c r="O5" s="20">
        <v>2500</v>
      </c>
      <c r="P5" s="11"/>
      <c r="R5" s="18"/>
      <c r="S5" s="20"/>
      <c r="T5" s="11"/>
    </row>
    <row r="6" spans="1:20">
      <c r="B6" s="39" t="s">
        <v>491</v>
      </c>
      <c r="C6" s="20"/>
      <c r="D6" s="24">
        <v>2500</v>
      </c>
      <c r="E6" s="18"/>
      <c r="F6" s="18" t="s">
        <v>492</v>
      </c>
      <c r="G6" s="20">
        <v>2500</v>
      </c>
      <c r="H6" s="11"/>
      <c r="I6" s="76"/>
      <c r="J6" s="18"/>
      <c r="K6" s="20"/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39" t="s">
        <v>43</v>
      </c>
      <c r="C7" s="20"/>
      <c r="D7" s="24">
        <v>3900</v>
      </c>
      <c r="E7" s="76"/>
      <c r="F7" s="18" t="s">
        <v>510</v>
      </c>
      <c r="G7" s="20">
        <v>250</v>
      </c>
      <c r="H7" s="11"/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4</v>
      </c>
      <c r="C8" s="20"/>
      <c r="D8" s="24">
        <v>1700</v>
      </c>
      <c r="E8" s="18"/>
      <c r="F8" s="39" t="s">
        <v>519</v>
      </c>
      <c r="G8" s="21"/>
      <c r="H8" s="103">
        <v>3500</v>
      </c>
      <c r="I8" s="76"/>
      <c r="J8" s="18"/>
      <c r="K8" s="20"/>
      <c r="L8" s="39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507</v>
      </c>
      <c r="C9" s="20"/>
      <c r="D9" s="24">
        <v>200</v>
      </c>
      <c r="E9" s="18"/>
      <c r="F9" s="39" t="s">
        <v>53</v>
      </c>
      <c r="G9" s="20"/>
      <c r="H9" s="123">
        <v>100</v>
      </c>
      <c r="I9" s="18">
        <v>659.14</v>
      </c>
      <c r="J9" s="18"/>
      <c r="K9" s="18"/>
      <c r="L9" s="18"/>
      <c r="N9" s="18"/>
      <c r="O9" s="18"/>
      <c r="P9" s="20"/>
      <c r="R9" s="18"/>
      <c r="S9" s="18"/>
      <c r="T9" s="18"/>
    </row>
    <row r="10" spans="1:20">
      <c r="B10" s="39" t="s">
        <v>318</v>
      </c>
      <c r="C10" s="20"/>
      <c r="D10" s="24">
        <v>3033.16</v>
      </c>
      <c r="E10" s="76"/>
      <c r="F10" s="39" t="s">
        <v>51</v>
      </c>
      <c r="G10" s="20"/>
      <c r="H10" s="124">
        <v>149</v>
      </c>
      <c r="I10" s="18"/>
      <c r="J10" s="18"/>
      <c r="K10" s="18"/>
      <c r="L10" s="18"/>
      <c r="N10" s="18"/>
      <c r="O10" s="18"/>
      <c r="P10" s="18"/>
      <c r="R10" s="18"/>
      <c r="S10" s="18"/>
      <c r="T10" s="18"/>
    </row>
    <row r="11" spans="1:20">
      <c r="B11" s="39" t="s">
        <v>201</v>
      </c>
      <c r="C11" s="20"/>
      <c r="D11" s="24">
        <v>3000.24</v>
      </c>
      <c r="E11" s="39"/>
      <c r="F11" s="91" t="s">
        <v>249</v>
      </c>
      <c r="G11" s="20"/>
      <c r="H11" s="125">
        <v>410.14</v>
      </c>
      <c r="I11" s="18"/>
      <c r="J11" s="18"/>
      <c r="K11" s="18"/>
      <c r="L11" s="18"/>
    </row>
    <row r="12" spans="1:20">
      <c r="A12" t="s">
        <v>245</v>
      </c>
      <c r="B12" s="39" t="s">
        <v>16</v>
      </c>
      <c r="C12" s="20"/>
      <c r="D12" s="24">
        <v>1113.6600000000001</v>
      </c>
      <c r="E12" s="39"/>
      <c r="F12" s="39" t="s">
        <v>520</v>
      </c>
      <c r="G12" s="126">
        <v>1500</v>
      </c>
      <c r="H12" s="11"/>
      <c r="I12" s="16"/>
      <c r="J12" s="18" t="s">
        <v>534</v>
      </c>
      <c r="K12" s="91">
        <f>H8-I9</f>
        <v>2840.86</v>
      </c>
      <c r="L12" s="18"/>
    </row>
    <row r="13" spans="1:20">
      <c r="B13" s="39" t="s">
        <v>510</v>
      </c>
      <c r="C13" s="20"/>
      <c r="D13" s="24">
        <v>250</v>
      </c>
      <c r="E13" s="117"/>
      <c r="F13" s="39" t="s">
        <v>524</v>
      </c>
      <c r="G13" s="126">
        <v>2050</v>
      </c>
      <c r="H13" s="11"/>
      <c r="I13" s="18"/>
      <c r="J13" s="18" t="s">
        <v>535</v>
      </c>
      <c r="K13" s="91">
        <f>G13+G12</f>
        <v>3550</v>
      </c>
      <c r="L13" s="18"/>
    </row>
    <row r="14" spans="1:20">
      <c r="B14" s="39" t="s">
        <v>511</v>
      </c>
      <c r="C14" s="20"/>
      <c r="D14" s="24">
        <v>5000</v>
      </c>
      <c r="E14" s="117"/>
      <c r="F14" s="39" t="s">
        <v>525</v>
      </c>
      <c r="G14" s="20"/>
      <c r="H14" s="24">
        <v>1500</v>
      </c>
      <c r="I14" s="18"/>
      <c r="J14" s="18" t="s">
        <v>536</v>
      </c>
      <c r="K14" s="91">
        <f>K13-K12</f>
        <v>709.13999999999987</v>
      </c>
      <c r="L14" s="18"/>
    </row>
    <row r="15" spans="1:20">
      <c r="B15" s="39" t="s">
        <v>517</v>
      </c>
      <c r="C15" s="126">
        <v>800</v>
      </c>
      <c r="D15" s="11"/>
      <c r="E15" s="39"/>
      <c r="F15" s="39" t="s">
        <v>526</v>
      </c>
      <c r="G15" s="20"/>
      <c r="H15" s="24">
        <v>2050</v>
      </c>
      <c r="I15" s="18"/>
      <c r="J15" s="91" t="s">
        <v>537</v>
      </c>
      <c r="K15" s="18">
        <v>340.86</v>
      </c>
      <c r="L15" s="18"/>
    </row>
    <row r="16" spans="1:20">
      <c r="B16" s="39" t="s">
        <v>518</v>
      </c>
      <c r="C16" s="126">
        <v>3500</v>
      </c>
      <c r="D16" s="11"/>
      <c r="E16" s="39"/>
      <c r="F16" s="39" t="s">
        <v>527</v>
      </c>
      <c r="G16" s="126">
        <v>659.14</v>
      </c>
      <c r="H16" s="11"/>
      <c r="I16" s="18"/>
      <c r="J16" s="18" t="s">
        <v>538</v>
      </c>
      <c r="K16" s="91">
        <f>K14-K15</f>
        <v>368.27999999999986</v>
      </c>
      <c r="L16" s="18"/>
    </row>
    <row r="17" spans="1:24">
      <c r="B17" s="39" t="s">
        <v>513</v>
      </c>
      <c r="C17" s="20"/>
      <c r="D17" s="24">
        <v>1000</v>
      </c>
      <c r="E17" s="39"/>
      <c r="F17" s="18"/>
      <c r="G17" s="20"/>
      <c r="H17" s="11"/>
      <c r="I17" s="18"/>
      <c r="J17" s="18"/>
      <c r="K17" s="18"/>
      <c r="L17" s="18"/>
    </row>
    <row r="18" spans="1:24">
      <c r="B18" s="39" t="s">
        <v>516</v>
      </c>
      <c r="C18" s="23">
        <v>10001.99</v>
      </c>
      <c r="D18" s="11"/>
      <c r="G18" s="20"/>
      <c r="H18" s="11"/>
    </row>
    <row r="19" spans="1:24">
      <c r="B19" s="39" t="s">
        <v>528</v>
      </c>
      <c r="C19" s="20"/>
      <c r="D19" s="103">
        <v>659.14</v>
      </c>
      <c r="E19" s="96"/>
      <c r="G19" s="20"/>
      <c r="H19" s="11"/>
      <c r="J19" s="2"/>
    </row>
    <row r="20" spans="1:24">
      <c r="B20" s="39" t="s">
        <v>512</v>
      </c>
      <c r="C20" s="20"/>
      <c r="D20" s="24">
        <v>5000</v>
      </c>
      <c r="G20" s="20"/>
      <c r="H20" s="19"/>
    </row>
    <row r="21" spans="1:24">
      <c r="A21" s="39"/>
      <c r="B21" s="39" t="s">
        <v>515</v>
      </c>
      <c r="C21" s="20"/>
      <c r="D21" s="24">
        <v>2500</v>
      </c>
      <c r="G21" s="20"/>
      <c r="H21" s="19"/>
    </row>
    <row r="22" spans="1:24">
      <c r="B22" s="39" t="s">
        <v>514</v>
      </c>
      <c r="C22" s="20"/>
      <c r="D22" s="103">
        <v>1500</v>
      </c>
      <c r="G22" s="20"/>
      <c r="H22" s="19"/>
    </row>
    <row r="23" spans="1:24">
      <c r="B23" s="39" t="s">
        <v>521</v>
      </c>
      <c r="C23" s="1"/>
      <c r="D23" s="24">
        <v>2050</v>
      </c>
      <c r="G23" s="20"/>
      <c r="H23" s="19"/>
    </row>
    <row r="24" spans="1:24">
      <c r="B24" s="39" t="s">
        <v>522</v>
      </c>
      <c r="C24" s="1"/>
      <c r="D24" s="24">
        <v>2050</v>
      </c>
      <c r="G24" s="20"/>
      <c r="H24" s="19"/>
    </row>
    <row r="25" spans="1:24">
      <c r="B25" s="39" t="s">
        <v>523</v>
      </c>
      <c r="C25" s="1"/>
      <c r="D25" s="103">
        <v>2050</v>
      </c>
      <c r="G25" s="20"/>
      <c r="H25" s="19"/>
    </row>
    <row r="26" spans="1:24">
      <c r="B26" s="39" t="s">
        <v>542</v>
      </c>
      <c r="C26" s="23">
        <v>3756.92</v>
      </c>
      <c r="D26" s="11"/>
      <c r="G26" s="20"/>
      <c r="H26" s="19"/>
    </row>
    <row r="27" spans="1:24">
      <c r="B27" s="39" t="s">
        <v>479</v>
      </c>
      <c r="C27" s="1"/>
      <c r="D27" s="24">
        <v>3756.92</v>
      </c>
      <c r="G27" s="20"/>
      <c r="H27" s="19"/>
    </row>
    <row r="28" spans="1:24">
      <c r="B28" t="s">
        <v>2</v>
      </c>
      <c r="C28" s="2">
        <f>SUM(C2:C27)</f>
        <v>41927.729999999996</v>
      </c>
      <c r="D28" s="2">
        <f>SUM(D3:D27)</f>
        <v>41263.119999999995</v>
      </c>
      <c r="F28" t="s">
        <v>2</v>
      </c>
      <c r="G28" s="2">
        <f>SUM(G2:G18)</f>
        <v>13609.93</v>
      </c>
      <c r="H28" s="2">
        <f>SUM(H3:H26)</f>
        <v>12836.949999999999</v>
      </c>
      <c r="J28" t="s">
        <v>2</v>
      </c>
      <c r="K28" s="2">
        <f>SUM(K1:K10)</f>
        <v>17216.619999999995</v>
      </c>
      <c r="L28" s="2">
        <f>SUM(L2:L10)</f>
        <v>10001.99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664.61000000000058</v>
      </c>
      <c r="H29" s="2">
        <f>G28-H28</f>
        <v>772.98000000000138</v>
      </c>
      <c r="L29" s="2">
        <f>K28-L28</f>
        <v>7214.6299999999956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368.27999999999952</v>
      </c>
      <c r="V31" s="102">
        <v>42722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4">
      <c r="B33" t="s">
        <v>0</v>
      </c>
      <c r="C33" s="3">
        <v>200</v>
      </c>
      <c r="D33" s="4"/>
      <c r="F33" t="s">
        <v>0</v>
      </c>
      <c r="G33" s="3">
        <v>-2294.9899999999998</v>
      </c>
      <c r="H33" s="4"/>
      <c r="J33" t="s">
        <v>0</v>
      </c>
      <c r="K33" s="3">
        <v>-651.01</v>
      </c>
      <c r="L33" s="4"/>
      <c r="M33" s="33"/>
      <c r="N33" t="s">
        <v>0</v>
      </c>
      <c r="O33" s="3">
        <v>-17347.47</v>
      </c>
      <c r="P33" s="4"/>
      <c r="R33" t="s">
        <v>469</v>
      </c>
      <c r="S33" s="1">
        <v>-4998</v>
      </c>
      <c r="T33">
        <v>18</v>
      </c>
      <c r="U33" s="2">
        <f t="shared" ref="U33:U38" si="0">S33/T33</f>
        <v>-277.66666666666669</v>
      </c>
      <c r="V33">
        <v>8</v>
      </c>
      <c r="W33" s="2">
        <f t="shared" ref="W33:W38" si="1">U33*V33</f>
        <v>-2221.3333333333335</v>
      </c>
      <c r="X33" s="2">
        <f t="shared" ref="X33:X38" si="2">S33-W33</f>
        <v>-2776.6666666666665</v>
      </c>
    </row>
    <row r="34" spans="2:24">
      <c r="B34" s="39" t="s">
        <v>13</v>
      </c>
      <c r="C34" s="1"/>
      <c r="D34" s="1">
        <v>50</v>
      </c>
      <c r="F34" t="s">
        <v>503</v>
      </c>
      <c r="G34" s="1"/>
      <c r="H34" s="11">
        <v>20000</v>
      </c>
      <c r="K34" s="85"/>
      <c r="L34" s="86"/>
      <c r="M34" s="29"/>
      <c r="O34" s="85"/>
      <c r="P34" s="86"/>
      <c r="Q34" s="93"/>
      <c r="R34" t="s">
        <v>132</v>
      </c>
      <c r="S34" s="101">
        <v>-3144</v>
      </c>
      <c r="T34" s="118">
        <v>6</v>
      </c>
      <c r="U34" s="119">
        <f t="shared" si="0"/>
        <v>-524</v>
      </c>
      <c r="V34" s="118">
        <v>6</v>
      </c>
      <c r="W34" s="119">
        <f t="shared" si="1"/>
        <v>-3144</v>
      </c>
      <c r="X34" s="119">
        <f t="shared" si="2"/>
        <v>0</v>
      </c>
    </row>
    <row r="35" spans="2:24">
      <c r="B35" s="39"/>
      <c r="C35" s="1"/>
      <c r="D35" s="11"/>
      <c r="F35" t="s">
        <v>94</v>
      </c>
      <c r="G35" s="1">
        <v>1113.6600000000001</v>
      </c>
      <c r="H35" s="11"/>
      <c r="J35" t="s">
        <v>503</v>
      </c>
      <c r="K35" s="1"/>
      <c r="L35" s="11">
        <v>10000</v>
      </c>
      <c r="N35" t="s">
        <v>284</v>
      </c>
      <c r="O35" s="18">
        <v>3033.16</v>
      </c>
      <c r="P35" s="14"/>
      <c r="R35" t="s">
        <v>277</v>
      </c>
      <c r="S35" s="101">
        <v>-18198.95</v>
      </c>
      <c r="T35" s="118">
        <v>6</v>
      </c>
      <c r="U35" s="119">
        <f t="shared" si="0"/>
        <v>-3033.1583333333333</v>
      </c>
      <c r="V35" s="118">
        <v>6</v>
      </c>
      <c r="W35" s="119">
        <f t="shared" si="1"/>
        <v>-18198.95</v>
      </c>
      <c r="X35" s="119">
        <f t="shared" si="2"/>
        <v>0</v>
      </c>
    </row>
    <row r="36" spans="2:24">
      <c r="B36" s="39"/>
      <c r="C36" s="1"/>
      <c r="D36" s="11"/>
      <c r="F36" t="s">
        <v>504</v>
      </c>
      <c r="G36" s="1">
        <v>2500</v>
      </c>
      <c r="H36" s="11"/>
      <c r="J36" t="s">
        <v>505</v>
      </c>
      <c r="K36" s="1">
        <v>5000</v>
      </c>
      <c r="L36" s="11"/>
      <c r="N36" s="39" t="s">
        <v>349</v>
      </c>
      <c r="O36" s="27">
        <v>2094.65</v>
      </c>
      <c r="P36" s="11"/>
      <c r="R36" t="s">
        <v>470</v>
      </c>
      <c r="S36" s="101">
        <v>-7768.75</v>
      </c>
      <c r="T36" s="118">
        <v>3</v>
      </c>
      <c r="U36" s="119">
        <f t="shared" si="0"/>
        <v>-2589.5833333333335</v>
      </c>
      <c r="V36" s="118">
        <v>3</v>
      </c>
      <c r="W36" s="119">
        <f t="shared" si="1"/>
        <v>-7768.75</v>
      </c>
      <c r="X36" s="119">
        <f t="shared" si="2"/>
        <v>0</v>
      </c>
    </row>
    <row r="37" spans="2:24">
      <c r="B37" s="39"/>
      <c r="C37" s="20"/>
      <c r="D37" s="11"/>
      <c r="F37" t="s">
        <v>529</v>
      </c>
      <c r="G37" s="1">
        <v>2050</v>
      </c>
      <c r="H37" s="1"/>
      <c r="J37" t="s">
        <v>504</v>
      </c>
      <c r="K37" s="1">
        <v>5000</v>
      </c>
      <c r="L37" s="11"/>
      <c r="N37" s="39" t="s">
        <v>503</v>
      </c>
      <c r="O37" s="19"/>
      <c r="P37" s="11">
        <v>20000</v>
      </c>
      <c r="R37" t="s">
        <v>468</v>
      </c>
      <c r="S37" s="1">
        <v>-5934</v>
      </c>
      <c r="T37">
        <v>6</v>
      </c>
      <c r="U37" s="2">
        <f t="shared" si="0"/>
        <v>-989</v>
      </c>
      <c r="V37">
        <v>2</v>
      </c>
      <c r="W37" s="2">
        <f t="shared" si="1"/>
        <v>-1978</v>
      </c>
      <c r="X37" s="2">
        <f t="shared" si="2"/>
        <v>-3956</v>
      </c>
    </row>
    <row r="38" spans="2:24">
      <c r="B38" s="39"/>
      <c r="C38" s="20"/>
      <c r="D38" s="11"/>
      <c r="F38" s="116"/>
      <c r="G38" s="1"/>
      <c r="H38" s="1"/>
      <c r="J38" t="s">
        <v>508</v>
      </c>
      <c r="L38">
        <v>3762.75</v>
      </c>
      <c r="M38" s="29"/>
      <c r="N38" s="39" t="s">
        <v>504</v>
      </c>
      <c r="O38" s="19">
        <v>1500</v>
      </c>
      <c r="P38" s="11"/>
      <c r="Q38" s="29"/>
      <c r="R38" t="s">
        <v>471</v>
      </c>
      <c r="S38" s="1">
        <v>-6588.04</v>
      </c>
      <c r="T38" s="118">
        <v>12</v>
      </c>
      <c r="U38" s="2">
        <f t="shared" si="0"/>
        <v>-549.00333333333333</v>
      </c>
      <c r="V38" s="118">
        <v>2</v>
      </c>
      <c r="W38" s="2">
        <f t="shared" si="1"/>
        <v>-1098.0066666666667</v>
      </c>
      <c r="X38" s="2">
        <f t="shared" si="2"/>
        <v>-5490.0333333333328</v>
      </c>
    </row>
    <row r="39" spans="2:24">
      <c r="B39" s="39"/>
      <c r="C39" s="20"/>
      <c r="D39" s="11"/>
      <c r="G39" s="1"/>
      <c r="H39" s="14"/>
      <c r="J39" t="s">
        <v>509</v>
      </c>
      <c r="L39">
        <v>3756.92</v>
      </c>
      <c r="M39" s="29"/>
      <c r="N39" s="39" t="s">
        <v>532</v>
      </c>
      <c r="O39" s="19">
        <v>2050</v>
      </c>
      <c r="P39" s="11"/>
      <c r="Q39" s="29"/>
      <c r="R39" t="s">
        <v>11</v>
      </c>
      <c r="S39" s="2">
        <f>SUM(S33:S38)</f>
        <v>-46631.74</v>
      </c>
      <c r="X39" s="2">
        <f>SUM(X33:X38)</f>
        <v>-12222.699999999999</v>
      </c>
    </row>
    <row r="40" spans="2:24">
      <c r="B40" s="39"/>
      <c r="C40" s="20"/>
      <c r="D40" s="11"/>
      <c r="G40" s="1"/>
      <c r="H40" s="14"/>
      <c r="J40" t="s">
        <v>281</v>
      </c>
      <c r="L40" s="11">
        <v>3033.16</v>
      </c>
      <c r="N40" s="39" t="s">
        <v>533</v>
      </c>
      <c r="O40" s="19">
        <v>1000</v>
      </c>
      <c r="P40" s="14">
        <v>1000</v>
      </c>
      <c r="Q40" s="29"/>
    </row>
    <row r="41" spans="2:24">
      <c r="B41" s="39"/>
      <c r="C41" s="20"/>
      <c r="D41" s="11"/>
      <c r="H41" s="14"/>
      <c r="K41" s="1"/>
      <c r="L41" s="11"/>
      <c r="N41" s="39"/>
      <c r="O41" s="19"/>
      <c r="P41" s="11"/>
      <c r="Q41" s="8"/>
    </row>
    <row r="42" spans="2:24">
      <c r="B42" s="39"/>
      <c r="C42" s="20"/>
      <c r="D42" s="11"/>
      <c r="H42" s="14"/>
      <c r="J42" t="s">
        <v>530</v>
      </c>
      <c r="K42" s="1">
        <v>2050</v>
      </c>
      <c r="L42" s="11"/>
      <c r="N42" s="39"/>
      <c r="O42" s="19"/>
      <c r="P42" s="11"/>
      <c r="S42" s="2"/>
    </row>
    <row r="43" spans="2:24">
      <c r="B43" s="39"/>
      <c r="C43" s="20"/>
      <c r="D43" s="11"/>
      <c r="H43" s="14"/>
      <c r="J43" t="s">
        <v>541</v>
      </c>
      <c r="K43">
        <v>3756.92</v>
      </c>
      <c r="L43" s="12"/>
      <c r="N43" s="39"/>
      <c r="O43" s="19"/>
      <c r="P43" s="11"/>
      <c r="S43" s="2"/>
    </row>
    <row r="44" spans="2:24">
      <c r="B44" s="12"/>
      <c r="C44" s="20"/>
      <c r="D44" s="11"/>
      <c r="H44" s="14"/>
      <c r="J44" t="s">
        <v>552</v>
      </c>
      <c r="L44" s="11">
        <v>169.63</v>
      </c>
      <c r="O44" s="19"/>
      <c r="P44" s="11"/>
      <c r="S44" s="2"/>
    </row>
    <row r="45" spans="2:24">
      <c r="B45" s="12"/>
      <c r="C45" s="20"/>
      <c r="D45" s="11"/>
      <c r="H45" s="14"/>
      <c r="J45" t="s">
        <v>553</v>
      </c>
      <c r="L45" s="11">
        <v>1180.99</v>
      </c>
      <c r="N45" s="44"/>
      <c r="O45" s="44"/>
      <c r="P45" s="92"/>
      <c r="S45" s="2"/>
    </row>
    <row r="46" spans="2:24">
      <c r="B46" s="12"/>
      <c r="C46" s="20"/>
      <c r="D46" s="11"/>
      <c r="H46" s="11"/>
      <c r="L46" s="11"/>
      <c r="M46" t="s">
        <v>286</v>
      </c>
      <c r="S46" s="2"/>
    </row>
    <row r="47" spans="2:24">
      <c r="B47" s="12"/>
      <c r="C47" s="20"/>
      <c r="D47" s="11"/>
      <c r="G47" s="20"/>
      <c r="H47" s="14"/>
      <c r="L47" s="11"/>
      <c r="M47" s="33"/>
    </row>
    <row r="48" spans="2:24">
      <c r="B48" s="12"/>
      <c r="C48" s="1"/>
      <c r="D48" s="11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200</v>
      </c>
      <c r="D51" s="2">
        <f>SUM(D34:D50)</f>
        <v>50</v>
      </c>
      <c r="F51" t="s">
        <v>2</v>
      </c>
      <c r="G51" s="2">
        <f>SUM(G33:G50)</f>
        <v>3368.67</v>
      </c>
      <c r="H51" s="2">
        <f>SUM(H33:H49)</f>
        <v>20000</v>
      </c>
      <c r="J51" t="s">
        <v>2</v>
      </c>
      <c r="K51" s="2">
        <f>SUM(K33:K48)</f>
        <v>15155.91</v>
      </c>
      <c r="L51" s="2">
        <f>SUM(L33:L49)</f>
        <v>21903.45</v>
      </c>
      <c r="N51" t="s">
        <v>2</v>
      </c>
      <c r="O51" s="2">
        <f>SUM(O33:O43)</f>
        <v>-7669.6600000000017</v>
      </c>
      <c r="P51" s="2">
        <f>SUM(P33:P42)</f>
        <v>21000</v>
      </c>
    </row>
    <row r="52" spans="2:28">
      <c r="D52" s="2">
        <f>C51-D51</f>
        <v>150</v>
      </c>
      <c r="H52" s="2">
        <f>G51-H51</f>
        <v>-16631.330000000002</v>
      </c>
      <c r="L52" s="2">
        <f>K51-L51</f>
        <v>-6747.5400000000009</v>
      </c>
      <c r="P52" s="2">
        <f>O51-P51</f>
        <v>-28669.660000000003</v>
      </c>
      <c r="U52" s="2"/>
      <c r="AA52" t="s">
        <v>239</v>
      </c>
      <c r="AB52" s="1">
        <v>10261.049999999999</v>
      </c>
    </row>
    <row r="53" spans="2:28">
      <c r="R53" s="2"/>
      <c r="AA53" t="s">
        <v>240</v>
      </c>
      <c r="AB53" s="1">
        <v>7081.32</v>
      </c>
    </row>
    <row r="54" spans="2:28">
      <c r="B54" t="s">
        <v>282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-2294.9899999999998</v>
      </c>
      <c r="L55" s="2">
        <v>-651.01</v>
      </c>
      <c r="P55" s="2">
        <v>0</v>
      </c>
      <c r="AA55" t="s">
        <v>242</v>
      </c>
      <c r="AB55" s="2">
        <f>AB54/2</f>
        <v>1589.8649999999998</v>
      </c>
    </row>
    <row r="56" spans="2:28">
      <c r="V56" t="s">
        <v>114</v>
      </c>
      <c r="W56" t="s">
        <v>115</v>
      </c>
      <c r="X56" t="s">
        <v>116</v>
      </c>
    </row>
    <row r="57" spans="2:28">
      <c r="D57" t="s">
        <v>138</v>
      </c>
      <c r="E57" s="34" t="s">
        <v>120</v>
      </c>
      <c r="F57" s="41"/>
      <c r="G57" s="41"/>
      <c r="H57" s="51">
        <v>1113.6600000000001</v>
      </c>
      <c r="I57" s="41"/>
      <c r="J57" s="41"/>
      <c r="K57" s="41"/>
      <c r="L57" s="51">
        <v>0</v>
      </c>
      <c r="M57" s="41"/>
      <c r="N57" s="41"/>
      <c r="O57" s="41"/>
      <c r="P57" s="53"/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/>
      <c r="S58" s="1">
        <f>ABS(H55+L55+P55)</f>
        <v>2946</v>
      </c>
      <c r="T58" t="s">
        <v>98</v>
      </c>
      <c r="V58" s="1">
        <f>Z59-Z60</f>
        <v>718.67999999999984</v>
      </c>
      <c r="W58" s="2">
        <f>S58-V58</f>
        <v>2227.3200000000002</v>
      </c>
      <c r="X58" s="2">
        <f>W58/2</f>
        <v>1113.6600000000001</v>
      </c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-1181.3299999999997</v>
      </c>
      <c r="I59" s="44"/>
      <c r="J59" s="44"/>
      <c r="K59" s="44"/>
      <c r="L59" s="45">
        <f>L57+L55</f>
        <v>-651.01</v>
      </c>
      <c r="M59" s="44"/>
      <c r="N59" s="44"/>
      <c r="O59" s="44"/>
      <c r="P59" s="45"/>
      <c r="S59" s="1"/>
      <c r="Z59" s="1">
        <v>3900</v>
      </c>
      <c r="AA59" s="2">
        <f>X60+Z59</f>
        <v>5013.66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117</v>
      </c>
      <c r="X60" s="2">
        <f>ABS(X58)</f>
        <v>1113.6600000000001</v>
      </c>
      <c r="Z60" s="1">
        <v>3181.32</v>
      </c>
      <c r="AA60" s="2">
        <f>X61+Z60</f>
        <v>5013.66</v>
      </c>
    </row>
    <row r="61" spans="2:28">
      <c r="D61" t="s">
        <v>139</v>
      </c>
      <c r="H61" s="2"/>
      <c r="L61" s="2"/>
      <c r="P61" s="2"/>
      <c r="W61" t="s">
        <v>118</v>
      </c>
      <c r="X61" s="1">
        <f>V58+ABS(X58)</f>
        <v>1832.34</v>
      </c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/>
      <c r="I64" s="44"/>
      <c r="J64" s="44"/>
      <c r="K64" s="44"/>
      <c r="L64" s="45"/>
      <c r="M64" s="44"/>
      <c r="N64" s="44"/>
      <c r="O64" s="44"/>
      <c r="P64" s="45"/>
    </row>
    <row r="65" spans="12:24">
      <c r="L65" s="60"/>
      <c r="P65" s="27"/>
      <c r="X65" s="1"/>
    </row>
    <row r="66" spans="12:24">
      <c r="X66" s="2"/>
    </row>
    <row r="84" spans="2:2">
      <c r="B84">
        <f>879+179</f>
        <v>1058</v>
      </c>
    </row>
  </sheetData>
  <mergeCells count="9">
    <mergeCell ref="C32:D32"/>
    <mergeCell ref="G32:H32"/>
    <mergeCell ref="K32:L32"/>
    <mergeCell ref="O32:P32"/>
    <mergeCell ref="S1:T1"/>
    <mergeCell ref="C1:D1"/>
    <mergeCell ref="G1:H1"/>
    <mergeCell ref="K1:L1"/>
    <mergeCell ref="O1:P1"/>
  </mergeCells>
  <conditionalFormatting sqref="P52 L52 H29 L29 D52 H52 D29 P29">
    <cfRule type="cellIs" dxfId="83" priority="3" operator="lessThan">
      <formula>0</formula>
    </cfRule>
    <cfRule type="cellIs" dxfId="82" priority="4" operator="greaterThan">
      <formula>0</formula>
    </cfRule>
  </conditionalFormatting>
  <conditionalFormatting sqref="T29">
    <cfRule type="cellIs" dxfId="81" priority="1" operator="lessThan">
      <formula>0</formula>
    </cfRule>
    <cfRule type="cellIs" dxfId="8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B1:R46"/>
  <sheetViews>
    <sheetView topLeftCell="B1" workbookViewId="0">
      <selection activeCell="N44" sqref="N44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</cols>
  <sheetData>
    <row r="1" spans="2:16">
      <c r="C1" s="217" t="s">
        <v>6</v>
      </c>
      <c r="D1" s="217"/>
      <c r="G1" s="217" t="s">
        <v>7</v>
      </c>
      <c r="H1" s="217"/>
      <c r="K1" s="218" t="s">
        <v>3</v>
      </c>
      <c r="L1" s="218"/>
    </row>
    <row r="2" spans="2:16">
      <c r="B2" t="s">
        <v>0</v>
      </c>
      <c r="C2" s="3">
        <v>6.25</v>
      </c>
      <c r="D2" s="4"/>
      <c r="F2" t="s">
        <v>0</v>
      </c>
      <c r="G2" s="6">
        <v>7731.7</v>
      </c>
      <c r="H2" s="4"/>
      <c r="J2" t="s">
        <v>0</v>
      </c>
      <c r="K2" s="3">
        <f>'Balance Mzo 15'!L13</f>
        <v>78317.56</v>
      </c>
      <c r="L2" s="4"/>
    </row>
    <row r="3" spans="2:16">
      <c r="B3" t="s">
        <v>39</v>
      </c>
      <c r="C3" s="23">
        <v>855.52</v>
      </c>
      <c r="D3" s="11"/>
      <c r="F3" t="s">
        <v>3</v>
      </c>
      <c r="G3" s="23">
        <v>6000</v>
      </c>
      <c r="H3" s="11"/>
      <c r="J3" t="s">
        <v>8</v>
      </c>
      <c r="K3" s="23">
        <v>5000</v>
      </c>
      <c r="L3" s="7"/>
    </row>
    <row r="4" spans="2:16">
      <c r="B4" t="s">
        <v>40</v>
      </c>
      <c r="C4" s="23">
        <v>15695.72</v>
      </c>
      <c r="D4" s="11"/>
      <c r="F4" t="s">
        <v>8</v>
      </c>
      <c r="G4" s="20"/>
      <c r="H4" s="23">
        <v>5000</v>
      </c>
      <c r="J4" t="s">
        <v>37</v>
      </c>
      <c r="K4" s="23">
        <v>79.599999999999994</v>
      </c>
      <c r="L4" s="7"/>
    </row>
    <row r="5" spans="2:16">
      <c r="B5" t="s">
        <v>36</v>
      </c>
      <c r="C5" s="1"/>
      <c r="D5" s="24">
        <v>700</v>
      </c>
      <c r="F5" t="s">
        <v>34</v>
      </c>
      <c r="G5" s="23">
        <v>450.01</v>
      </c>
      <c r="H5" s="11"/>
      <c r="K5" s="1"/>
      <c r="L5" s="7"/>
    </row>
    <row r="6" spans="2:16">
      <c r="B6" t="s">
        <v>5</v>
      </c>
      <c r="C6" s="1"/>
      <c r="D6" s="24">
        <v>400</v>
      </c>
      <c r="F6" t="s">
        <v>35</v>
      </c>
      <c r="G6" s="23">
        <v>318.29000000000002</v>
      </c>
      <c r="H6" s="20"/>
      <c r="K6" s="1"/>
      <c r="L6" s="7"/>
    </row>
    <row r="7" spans="2:16">
      <c r="B7" t="s">
        <v>17</v>
      </c>
      <c r="C7" s="1"/>
      <c r="D7" s="24">
        <v>1008.45</v>
      </c>
      <c r="G7" s="20"/>
      <c r="H7" s="11"/>
      <c r="K7" s="1"/>
      <c r="L7" s="7"/>
      <c r="P7" s="2"/>
    </row>
    <row r="8" spans="2:16">
      <c r="B8" t="s">
        <v>23</v>
      </c>
      <c r="C8" s="1"/>
      <c r="D8" s="24">
        <v>1020.37</v>
      </c>
      <c r="G8" s="20"/>
      <c r="H8" s="19"/>
      <c r="K8" s="1"/>
      <c r="L8" s="22"/>
    </row>
    <row r="9" spans="2:16">
      <c r="B9" t="s">
        <v>41</v>
      </c>
      <c r="C9" s="1"/>
      <c r="D9" s="24">
        <v>200</v>
      </c>
      <c r="G9" s="18"/>
      <c r="H9" s="19"/>
    </row>
    <row r="10" spans="2:16">
      <c r="B10" t="s">
        <v>3</v>
      </c>
      <c r="D10" s="24">
        <v>6000</v>
      </c>
    </row>
    <row r="11" spans="2:16">
      <c r="B11" t="s">
        <v>43</v>
      </c>
      <c r="D11" s="24">
        <v>3900</v>
      </c>
    </row>
    <row r="12" spans="2:16">
      <c r="B12" t="s">
        <v>4</v>
      </c>
      <c r="C12" s="1"/>
      <c r="D12" s="24">
        <v>1100</v>
      </c>
    </row>
    <row r="13" spans="2:16">
      <c r="B13" t="s">
        <v>44</v>
      </c>
      <c r="C13" s="1"/>
      <c r="D13" s="27">
        <v>768.3</v>
      </c>
    </row>
    <row r="14" spans="2:16">
      <c r="B14" t="s">
        <v>50</v>
      </c>
      <c r="C14" s="1"/>
      <c r="D14" s="27">
        <v>500</v>
      </c>
    </row>
    <row r="15" spans="2:16">
      <c r="B15" t="s">
        <v>51</v>
      </c>
      <c r="C15" s="1"/>
      <c r="D15" s="27">
        <v>250</v>
      </c>
    </row>
    <row r="16" spans="2:16">
      <c r="B16" t="s">
        <v>60</v>
      </c>
      <c r="C16" s="1"/>
      <c r="D16" s="27">
        <v>225</v>
      </c>
    </row>
    <row r="17" spans="2:14">
      <c r="B17" t="s">
        <v>61</v>
      </c>
      <c r="C17" s="1"/>
      <c r="D17" s="27">
        <v>400</v>
      </c>
    </row>
    <row r="18" spans="2:14">
      <c r="B18" t="s">
        <v>62</v>
      </c>
      <c r="C18" s="1"/>
      <c r="D18" s="27">
        <v>83.3</v>
      </c>
    </row>
    <row r="19" spans="2:14">
      <c r="B19" t="s">
        <v>2</v>
      </c>
      <c r="C19" s="2">
        <f>SUM(C2:C13)</f>
        <v>16557.489999999998</v>
      </c>
      <c r="D19" s="2">
        <f>SUM(D3:D18)</f>
        <v>16555.419999999998</v>
      </c>
      <c r="F19" t="s">
        <v>2</v>
      </c>
      <c r="G19" s="2">
        <f>SUM(G2:G11)</f>
        <v>14500.000000000002</v>
      </c>
      <c r="H19" s="2">
        <f>SUM(H3:H11)</f>
        <v>5000</v>
      </c>
      <c r="J19" t="s">
        <v>2</v>
      </c>
      <c r="K19" s="2">
        <f>SUM(K1:K10)</f>
        <v>83397.16</v>
      </c>
      <c r="L19" s="2">
        <f>SUM(L2:L10)</f>
        <v>0</v>
      </c>
    </row>
    <row r="20" spans="2:14">
      <c r="D20" s="2">
        <f>C19-D19</f>
        <v>2.069999999999709</v>
      </c>
      <c r="H20" s="2">
        <f>G19-H19</f>
        <v>9500.0000000000018</v>
      </c>
      <c r="L20" s="2">
        <f>K19-L19</f>
        <v>83397.16</v>
      </c>
    </row>
    <row r="23" spans="2:14">
      <c r="C23" s="217" t="s">
        <v>12</v>
      </c>
      <c r="D23" s="217"/>
      <c r="G23" s="217" t="s">
        <v>16</v>
      </c>
      <c r="H23" s="217"/>
      <c r="K23" s="217" t="s">
        <v>23</v>
      </c>
      <c r="L23" s="217"/>
    </row>
    <row r="24" spans="2:14">
      <c r="B24" t="s">
        <v>0</v>
      </c>
      <c r="C24" s="3">
        <v>20.5</v>
      </c>
      <c r="D24" s="4"/>
      <c r="F24" t="s">
        <v>0</v>
      </c>
      <c r="G24" s="3">
        <f>'Balance Mzo 15'!H30</f>
        <v>-1008.4500000000003</v>
      </c>
      <c r="H24" s="4"/>
      <c r="J24" t="s">
        <v>0</v>
      </c>
      <c r="K24" s="3">
        <f>'Balance Mzo 15'!L30</f>
        <v>-2349.1799999999998</v>
      </c>
      <c r="L24" s="4"/>
      <c r="N24" s="15"/>
    </row>
    <row r="25" spans="2:14">
      <c r="B25" t="s">
        <v>5</v>
      </c>
      <c r="C25" s="24">
        <v>400</v>
      </c>
      <c r="D25" s="11"/>
      <c r="F25" t="s">
        <v>17</v>
      </c>
      <c r="G25" s="24">
        <v>1008.45</v>
      </c>
      <c r="H25" s="11"/>
      <c r="J25" t="s">
        <v>23</v>
      </c>
      <c r="K25" s="24">
        <v>1020.37</v>
      </c>
      <c r="L25" s="11"/>
    </row>
    <row r="26" spans="2:14">
      <c r="B26" t="s">
        <v>42</v>
      </c>
      <c r="C26" s="23">
        <v>20</v>
      </c>
      <c r="D26" s="11"/>
      <c r="G26" s="20"/>
      <c r="H26" s="11"/>
      <c r="J26" t="s">
        <v>47</v>
      </c>
      <c r="K26" s="20"/>
      <c r="L26" s="24">
        <v>500</v>
      </c>
    </row>
    <row r="27" spans="2:14">
      <c r="B27" s="12" t="s">
        <v>45</v>
      </c>
      <c r="C27" s="21"/>
      <c r="D27" s="24">
        <v>37</v>
      </c>
      <c r="F27" s="12"/>
      <c r="G27" s="21"/>
      <c r="H27" s="11"/>
      <c r="J27" s="12" t="s">
        <v>48</v>
      </c>
      <c r="K27" s="21"/>
      <c r="L27" s="24">
        <v>200</v>
      </c>
    </row>
    <row r="28" spans="2:14">
      <c r="B28" t="s">
        <v>46</v>
      </c>
      <c r="C28" s="20"/>
      <c r="D28" s="24">
        <v>100</v>
      </c>
      <c r="G28" s="20"/>
      <c r="H28" s="11"/>
      <c r="J28" t="s">
        <v>65</v>
      </c>
      <c r="K28" s="20"/>
      <c r="L28" s="11">
        <v>199.5</v>
      </c>
    </row>
    <row r="29" spans="2:14">
      <c r="B29" s="12" t="s">
        <v>52</v>
      </c>
      <c r="C29" s="21">
        <v>500</v>
      </c>
      <c r="D29" s="14"/>
      <c r="G29" s="20"/>
      <c r="H29" s="11"/>
      <c r="J29" t="s">
        <v>38</v>
      </c>
      <c r="K29" s="1"/>
      <c r="L29" s="11"/>
    </row>
    <row r="30" spans="2:14">
      <c r="B30" t="s">
        <v>53</v>
      </c>
      <c r="C30" s="18"/>
      <c r="D30" s="11">
        <v>100</v>
      </c>
    </row>
    <row r="31" spans="2:14">
      <c r="B31" s="12" t="s">
        <v>54</v>
      </c>
      <c r="C31" s="18"/>
      <c r="D31" s="11">
        <v>165</v>
      </c>
    </row>
    <row r="32" spans="2:14">
      <c r="B32" s="12" t="s">
        <v>55</v>
      </c>
      <c r="C32" s="20">
        <v>60</v>
      </c>
      <c r="D32" s="19"/>
    </row>
    <row r="33" spans="2:18">
      <c r="B33" s="12" t="s">
        <v>56</v>
      </c>
      <c r="C33" s="20">
        <f>36.5</f>
        <v>36.5</v>
      </c>
      <c r="D33" s="19"/>
    </row>
    <row r="34" spans="2:18">
      <c r="B34" s="12" t="s">
        <v>58</v>
      </c>
      <c r="C34" s="18"/>
      <c r="D34" s="19">
        <v>100</v>
      </c>
    </row>
    <row r="35" spans="2:18">
      <c r="B35" s="12" t="s">
        <v>57</v>
      </c>
      <c r="D35" s="1">
        <v>10</v>
      </c>
    </row>
    <row r="36" spans="2:18">
      <c r="B36" s="12" t="s">
        <v>63</v>
      </c>
      <c r="D36" s="1">
        <v>97</v>
      </c>
    </row>
    <row r="37" spans="2:18">
      <c r="B37" s="12" t="s">
        <v>64</v>
      </c>
      <c r="D37" s="1">
        <v>186</v>
      </c>
    </row>
    <row r="38" spans="2:18">
      <c r="B38" t="s">
        <v>2</v>
      </c>
      <c r="C38" s="2">
        <f>SUM(C24:C35)</f>
        <v>1037</v>
      </c>
      <c r="D38" s="2">
        <f>SUM(D25:D37)</f>
        <v>795</v>
      </c>
      <c r="F38" t="s">
        <v>2</v>
      </c>
      <c r="G38" s="2">
        <f>SUM(G24:G35)</f>
        <v>0</v>
      </c>
      <c r="H38" s="2">
        <f>SUM(H24:H35)</f>
        <v>0</v>
      </c>
      <c r="J38" t="s">
        <v>2</v>
      </c>
      <c r="K38" s="2">
        <f>SUM(K24:K35)</f>
        <v>-1328.81</v>
      </c>
      <c r="L38" s="2">
        <f>SUM(L24:L35)</f>
        <v>899.5</v>
      </c>
    </row>
    <row r="39" spans="2:18">
      <c r="D39" s="2">
        <f>C38-D38</f>
        <v>242</v>
      </c>
      <c r="H39" s="2">
        <f>G38-H38</f>
        <v>0</v>
      </c>
      <c r="L39" s="2">
        <f>K38-L38</f>
        <v>-2228.31</v>
      </c>
      <c r="O39" s="2"/>
      <c r="P39" s="2"/>
      <c r="R39" s="2">
        <f>P39-H39</f>
        <v>0</v>
      </c>
    </row>
    <row r="43" spans="2:18">
      <c r="E43" s="2"/>
    </row>
    <row r="44" spans="2:18">
      <c r="D44" s="2"/>
    </row>
    <row r="45" spans="2:18">
      <c r="L45" s="2"/>
    </row>
    <row r="46" spans="2:18">
      <c r="C46" t="s">
        <v>59</v>
      </c>
      <c r="D46">
        <f>242</f>
        <v>242</v>
      </c>
    </row>
  </sheetData>
  <mergeCells count="6">
    <mergeCell ref="C1:D1"/>
    <mergeCell ref="G1:H1"/>
    <mergeCell ref="K1:L1"/>
    <mergeCell ref="C23:D23"/>
    <mergeCell ref="G23:H23"/>
    <mergeCell ref="K23:L23"/>
  </mergeCells>
  <conditionalFormatting sqref="D20">
    <cfRule type="cellIs" dxfId="141" priority="11" operator="lessThan">
      <formula>0</formula>
    </cfRule>
    <cfRule type="cellIs" dxfId="140" priority="12" operator="greaterThan">
      <formula>0</formula>
    </cfRule>
  </conditionalFormatting>
  <conditionalFormatting sqref="L39">
    <cfRule type="cellIs" dxfId="139" priority="9" operator="lessThan">
      <formula>0</formula>
    </cfRule>
    <cfRule type="cellIs" dxfId="138" priority="10" operator="greaterThan">
      <formula>0</formula>
    </cfRule>
  </conditionalFormatting>
  <conditionalFormatting sqref="H20">
    <cfRule type="cellIs" dxfId="137" priority="7" operator="lessThan">
      <formula>0</formula>
    </cfRule>
    <cfRule type="cellIs" dxfId="136" priority="8" operator="greaterThan">
      <formula>0</formula>
    </cfRule>
  </conditionalFormatting>
  <conditionalFormatting sqref="L20">
    <cfRule type="cellIs" dxfId="135" priority="5" operator="lessThan">
      <formula>0</formula>
    </cfRule>
    <cfRule type="cellIs" dxfId="134" priority="6" operator="greaterThan">
      <formula>0</formula>
    </cfRule>
  </conditionalFormatting>
  <conditionalFormatting sqref="D39">
    <cfRule type="cellIs" dxfId="133" priority="3" operator="lessThan">
      <formula>0</formula>
    </cfRule>
    <cfRule type="cellIs" dxfId="132" priority="4" operator="greaterThan">
      <formula>0</formula>
    </cfRule>
  </conditionalFormatting>
  <conditionalFormatting sqref="H39">
    <cfRule type="cellIs" dxfId="131" priority="1" operator="lessThan">
      <formula>0</formula>
    </cfRule>
    <cfRule type="cellIs" dxfId="13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20"/>
  <dimension ref="A1:AB84"/>
  <sheetViews>
    <sheetView topLeftCell="A43" workbookViewId="0">
      <selection activeCell="H37" sqref="H37:H41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664.61</v>
      </c>
      <c r="D2" s="74"/>
      <c r="E2" s="18"/>
      <c r="F2" s="18" t="s">
        <v>0</v>
      </c>
      <c r="G2" s="75">
        <v>772.98</v>
      </c>
      <c r="H2" s="74"/>
      <c r="I2" s="18"/>
      <c r="J2" s="18" t="s">
        <v>0</v>
      </c>
      <c r="K2" s="73">
        <v>7214.63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t="s">
        <v>543</v>
      </c>
      <c r="D3" s="60">
        <v>300</v>
      </c>
      <c r="E3" s="76"/>
      <c r="F3" s="18" t="s">
        <v>546</v>
      </c>
      <c r="G3" s="23">
        <v>250</v>
      </c>
      <c r="H3" s="11"/>
      <c r="I3" s="18"/>
      <c r="J3" s="18" t="s">
        <v>201</v>
      </c>
      <c r="K3" s="20">
        <v>2999.53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t="s">
        <v>544</v>
      </c>
      <c r="C4" s="60">
        <v>25</v>
      </c>
      <c r="E4" s="18"/>
      <c r="F4" s="18" t="s">
        <v>1</v>
      </c>
      <c r="G4" s="23">
        <v>3181.32</v>
      </c>
      <c r="H4" s="11"/>
      <c r="I4" s="18"/>
      <c r="J4" s="18" t="s">
        <v>10</v>
      </c>
      <c r="K4" s="20">
        <v>23.78</v>
      </c>
      <c r="L4" s="77"/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18" t="s">
        <v>39</v>
      </c>
      <c r="C5" s="23">
        <v>586.13</v>
      </c>
      <c r="D5" s="11"/>
      <c r="E5" s="18"/>
      <c r="F5" s="18" t="s">
        <v>559</v>
      </c>
      <c r="G5" s="23">
        <v>639</v>
      </c>
      <c r="H5" s="11"/>
      <c r="I5" s="18"/>
      <c r="J5" s="18" t="s">
        <v>106</v>
      </c>
      <c r="K5" s="20"/>
      <c r="L5" s="11">
        <v>10244.709999999999</v>
      </c>
      <c r="N5" s="18" t="s">
        <v>497</v>
      </c>
      <c r="O5" s="20">
        <v>2500</v>
      </c>
      <c r="P5" s="11"/>
      <c r="R5" s="18"/>
      <c r="S5" s="20"/>
      <c r="T5" s="11"/>
    </row>
    <row r="6" spans="1:20">
      <c r="B6" s="18" t="s">
        <v>40</v>
      </c>
      <c r="C6" s="23">
        <v>15576.75</v>
      </c>
      <c r="D6" s="11"/>
      <c r="E6" s="18"/>
      <c r="F6" s="18" t="s">
        <v>9</v>
      </c>
      <c r="G6" s="20"/>
      <c r="H6" s="24">
        <v>3181.32</v>
      </c>
      <c r="I6" s="76"/>
      <c r="J6" s="18"/>
      <c r="K6" s="20"/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18" t="s">
        <v>327</v>
      </c>
      <c r="C7" s="20"/>
      <c r="D7" s="24">
        <v>3033.16</v>
      </c>
      <c r="E7" s="76"/>
      <c r="F7" s="18" t="s">
        <v>549</v>
      </c>
      <c r="G7" s="23">
        <v>1500</v>
      </c>
      <c r="H7" s="11"/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219</v>
      </c>
      <c r="C8" s="20"/>
      <c r="D8" s="24">
        <v>1181.33</v>
      </c>
      <c r="E8" s="18"/>
      <c r="F8" s="39" t="s">
        <v>575</v>
      </c>
      <c r="G8" s="21"/>
      <c r="H8" s="100">
        <v>1500</v>
      </c>
      <c r="I8" s="76"/>
      <c r="J8" s="18"/>
      <c r="K8" s="20"/>
      <c r="L8" s="39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144</v>
      </c>
      <c r="C9" s="20"/>
      <c r="D9" s="24">
        <v>651.01</v>
      </c>
      <c r="E9" s="18"/>
      <c r="F9" s="39" t="s">
        <v>576</v>
      </c>
      <c r="G9" s="20"/>
      <c r="H9" s="100">
        <v>989</v>
      </c>
      <c r="I9" s="18"/>
      <c r="J9" s="18"/>
      <c r="K9" s="18"/>
      <c r="L9" s="18"/>
      <c r="N9" s="18"/>
      <c r="O9" s="18"/>
      <c r="P9" s="20"/>
      <c r="R9" s="18"/>
      <c r="S9" s="18"/>
      <c r="T9" s="18"/>
    </row>
    <row r="10" spans="1:20">
      <c r="B10" s="39" t="s">
        <v>201</v>
      </c>
      <c r="C10" s="20"/>
      <c r="D10" s="24">
        <v>2999.53</v>
      </c>
      <c r="E10" s="76"/>
      <c r="F10" s="39"/>
      <c r="G10" s="21"/>
      <c r="H10" s="11"/>
      <c r="I10" s="18"/>
      <c r="J10" s="18"/>
      <c r="K10" s="18"/>
      <c r="L10" s="18"/>
      <c r="N10" s="18"/>
      <c r="O10" s="18"/>
      <c r="P10" s="18"/>
      <c r="R10" s="18"/>
      <c r="S10" s="18"/>
      <c r="T10" s="18"/>
    </row>
    <row r="11" spans="1:20">
      <c r="B11" s="39" t="s">
        <v>1</v>
      </c>
      <c r="C11" s="20"/>
      <c r="D11" s="24">
        <v>3181.32</v>
      </c>
      <c r="E11" s="39"/>
      <c r="F11" s="91"/>
      <c r="G11" s="21"/>
      <c r="H11" s="11"/>
      <c r="I11" s="18"/>
      <c r="J11" s="18"/>
      <c r="K11" s="18"/>
      <c r="L11" s="18"/>
    </row>
    <row r="12" spans="1:20">
      <c r="B12" s="39" t="s">
        <v>557</v>
      </c>
      <c r="C12" s="23">
        <f>1000-361</f>
        <v>639</v>
      </c>
      <c r="D12" s="11"/>
      <c r="E12" s="39"/>
      <c r="F12" s="39"/>
      <c r="G12" s="21"/>
      <c r="H12" s="11"/>
      <c r="I12" s="16"/>
      <c r="J12" s="18"/>
      <c r="K12" s="91"/>
      <c r="L12" s="18"/>
    </row>
    <row r="13" spans="1:20">
      <c r="B13" s="39" t="s">
        <v>558</v>
      </c>
      <c r="C13" s="20"/>
      <c r="D13" s="24">
        <v>639</v>
      </c>
      <c r="E13" s="117"/>
      <c r="F13" s="39"/>
      <c r="G13" s="21"/>
      <c r="H13" s="11"/>
      <c r="I13" s="18"/>
      <c r="J13" s="18"/>
      <c r="K13" s="91"/>
      <c r="L13" s="18"/>
    </row>
    <row r="14" spans="1:20">
      <c r="B14" s="39" t="s">
        <v>545</v>
      </c>
      <c r="C14" s="20"/>
      <c r="D14" s="24">
        <v>250</v>
      </c>
      <c r="E14" s="117"/>
      <c r="F14" s="39"/>
      <c r="G14" s="21"/>
      <c r="H14" s="11"/>
      <c r="I14" s="18"/>
      <c r="J14" s="18"/>
      <c r="K14" s="91"/>
      <c r="L14" s="18"/>
    </row>
    <row r="15" spans="1:20">
      <c r="E15" s="39"/>
      <c r="F15" s="39"/>
      <c r="G15" s="21"/>
      <c r="H15" s="11"/>
      <c r="I15" s="18"/>
      <c r="J15" s="91"/>
      <c r="K15" s="18"/>
      <c r="L15" s="18"/>
    </row>
    <row r="16" spans="1:20">
      <c r="B16" s="117" t="s">
        <v>563</v>
      </c>
      <c r="C16" s="20"/>
      <c r="D16" s="24">
        <v>10000</v>
      </c>
      <c r="E16" s="39"/>
      <c r="F16" s="39"/>
      <c r="G16" s="21"/>
      <c r="H16" s="11"/>
      <c r="I16" s="18"/>
      <c r="J16" s="18"/>
      <c r="K16" s="91"/>
      <c r="L16" s="18"/>
    </row>
    <row r="17" spans="1:24">
      <c r="B17" s="39" t="s">
        <v>562</v>
      </c>
      <c r="C17" s="20"/>
      <c r="D17" s="11">
        <v>450</v>
      </c>
      <c r="E17" s="39"/>
      <c r="F17" s="18"/>
      <c r="G17" s="21"/>
      <c r="H17" s="11"/>
      <c r="I17" s="18"/>
      <c r="J17" s="18"/>
      <c r="K17" s="18"/>
      <c r="L17" s="18"/>
    </row>
    <row r="18" spans="1:24">
      <c r="B18" s="39"/>
      <c r="C18" s="20"/>
      <c r="D18" s="11"/>
      <c r="G18" s="20"/>
      <c r="H18" s="11"/>
    </row>
    <row r="19" spans="1:24">
      <c r="B19" s="39" t="s">
        <v>226</v>
      </c>
      <c r="C19" s="23">
        <v>10249.299999999999</v>
      </c>
      <c r="D19" s="11"/>
      <c r="E19" s="96"/>
      <c r="G19" s="20"/>
      <c r="H19" s="11"/>
      <c r="J19" s="2"/>
    </row>
    <row r="20" spans="1:24">
      <c r="B20" s="39" t="s">
        <v>547</v>
      </c>
      <c r="C20" s="20"/>
      <c r="D20" s="24">
        <v>2000</v>
      </c>
      <c r="G20" s="20"/>
      <c r="H20" s="19"/>
    </row>
    <row r="21" spans="1:24">
      <c r="A21" s="39"/>
      <c r="B21" s="39" t="s">
        <v>548</v>
      </c>
      <c r="C21" s="20"/>
      <c r="D21" s="24">
        <v>1500</v>
      </c>
      <c r="G21" s="20"/>
      <c r="H21" s="19"/>
    </row>
    <row r="22" spans="1:24">
      <c r="B22" s="39" t="s">
        <v>549</v>
      </c>
      <c r="C22" s="20"/>
      <c r="D22" s="24">
        <v>1500</v>
      </c>
      <c r="G22" s="20"/>
      <c r="H22" s="19"/>
    </row>
    <row r="23" spans="1:24">
      <c r="B23" s="39" t="s">
        <v>565</v>
      </c>
      <c r="C23" s="23">
        <v>930.95</v>
      </c>
      <c r="D23" s="11"/>
      <c r="G23" s="20"/>
      <c r="H23" s="19"/>
    </row>
    <row r="24" spans="1:24">
      <c r="B24" s="39" t="s">
        <v>550</v>
      </c>
      <c r="C24" s="23">
        <v>361</v>
      </c>
      <c r="D24" s="11"/>
      <c r="G24" s="20"/>
      <c r="H24" s="19"/>
    </row>
    <row r="25" spans="1:24">
      <c r="B25" s="39" t="s">
        <v>566</v>
      </c>
      <c r="D25" s="24">
        <v>1180.99</v>
      </c>
      <c r="G25" s="20"/>
      <c r="H25" s="19"/>
    </row>
    <row r="26" spans="1:24">
      <c r="G26" s="20"/>
      <c r="H26" s="19"/>
    </row>
    <row r="27" spans="1:24">
      <c r="B27" s="39"/>
      <c r="C27" s="1"/>
      <c r="D27" s="11"/>
      <c r="G27" s="20"/>
      <c r="H27" s="19"/>
    </row>
    <row r="28" spans="1:24">
      <c r="B28" t="s">
        <v>2</v>
      </c>
      <c r="C28" s="2">
        <f>SUM(C2:C24)</f>
        <v>29032.74</v>
      </c>
      <c r="D28" s="2">
        <f>SUM(D3:D25)</f>
        <v>28866.34</v>
      </c>
      <c r="F28" t="s">
        <v>2</v>
      </c>
      <c r="G28" s="2">
        <f>SUM(G2:G18)</f>
        <v>6343.3</v>
      </c>
      <c r="H28" s="2">
        <f>SUM(H3:H26)</f>
        <v>5670.32</v>
      </c>
      <c r="J28" t="s">
        <v>2</v>
      </c>
      <c r="K28" s="2">
        <f>SUM(K1:K10)</f>
        <v>10237.94</v>
      </c>
      <c r="L28" s="2">
        <f>SUM(L2:L10)</f>
        <v>10244.709999999999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166.40000000000146</v>
      </c>
      <c r="H29" s="2">
        <f>G28-H28</f>
        <v>672.98000000000047</v>
      </c>
      <c r="L29" s="2">
        <f>K28-L28</f>
        <v>-6.7699999999986176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866.48999999999864</v>
      </c>
      <c r="V31" s="102">
        <v>42753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4">
      <c r="B33" t="s">
        <v>0</v>
      </c>
      <c r="C33" s="3">
        <v>0</v>
      </c>
      <c r="D33" s="4"/>
      <c r="F33" t="s">
        <v>0</v>
      </c>
      <c r="G33" s="3">
        <v>-16631.330000000002</v>
      </c>
      <c r="H33" s="4"/>
      <c r="J33" t="s">
        <v>0</v>
      </c>
      <c r="K33" s="3">
        <v>-6747.54</v>
      </c>
      <c r="L33" s="4"/>
      <c r="M33" s="33"/>
      <c r="N33" t="s">
        <v>0</v>
      </c>
      <c r="O33" s="3">
        <v>-28669.66</v>
      </c>
      <c r="P33" s="4"/>
      <c r="R33" t="s">
        <v>469</v>
      </c>
      <c r="S33" s="1">
        <v>-4998</v>
      </c>
      <c r="T33">
        <v>18</v>
      </c>
      <c r="U33" s="2">
        <f t="shared" ref="U33:U38" si="0">S33/T33</f>
        <v>-277.66666666666669</v>
      </c>
      <c r="V33">
        <v>9</v>
      </c>
      <c r="W33" s="2">
        <f t="shared" ref="W33:W38" si="1">U33*V33</f>
        <v>-2499</v>
      </c>
      <c r="X33" s="2">
        <f t="shared" ref="X33:X38" si="2">S33-W33</f>
        <v>-2499</v>
      </c>
    </row>
    <row r="34" spans="2:24">
      <c r="B34" s="39" t="s">
        <v>13</v>
      </c>
      <c r="C34" s="1"/>
      <c r="D34" s="1">
        <v>0</v>
      </c>
      <c r="G34" s="1"/>
      <c r="H34" s="11"/>
      <c r="K34" s="85"/>
      <c r="L34" s="86"/>
      <c r="M34" s="29"/>
      <c r="O34" s="85"/>
      <c r="P34" s="86"/>
      <c r="Q34" s="93"/>
      <c r="R34" t="s">
        <v>132</v>
      </c>
      <c r="S34" s="101">
        <v>-3144</v>
      </c>
      <c r="T34" s="118">
        <v>6</v>
      </c>
      <c r="U34" s="119">
        <f t="shared" si="0"/>
        <v>-524</v>
      </c>
      <c r="V34" s="118">
        <v>6</v>
      </c>
      <c r="W34" s="119">
        <f t="shared" si="1"/>
        <v>-3144</v>
      </c>
      <c r="X34" s="119">
        <f t="shared" si="2"/>
        <v>0</v>
      </c>
    </row>
    <row r="35" spans="2:24">
      <c r="B35" s="39"/>
      <c r="C35" s="1"/>
      <c r="D35" s="11"/>
      <c r="F35" t="s">
        <v>94</v>
      </c>
      <c r="G35" s="23">
        <v>1181.33</v>
      </c>
      <c r="H35" s="11"/>
      <c r="J35" t="s">
        <v>531</v>
      </c>
      <c r="K35" s="23">
        <v>3033.16</v>
      </c>
      <c r="L35" s="11"/>
      <c r="N35" s="39"/>
      <c r="O35" s="19"/>
      <c r="P35" s="14"/>
      <c r="R35" t="s">
        <v>277</v>
      </c>
      <c r="S35" s="101">
        <v>-18198.95</v>
      </c>
      <c r="T35" s="118">
        <v>6</v>
      </c>
      <c r="U35" s="119">
        <f t="shared" si="0"/>
        <v>-3033.1583333333333</v>
      </c>
      <c r="V35" s="118">
        <v>6</v>
      </c>
      <c r="W35" s="119">
        <f t="shared" si="1"/>
        <v>-18198.95</v>
      </c>
      <c r="X35" s="119">
        <f t="shared" si="2"/>
        <v>0</v>
      </c>
    </row>
    <row r="36" spans="2:24">
      <c r="B36" s="39"/>
      <c r="C36" s="1"/>
      <c r="D36" s="11"/>
      <c r="F36" t="s">
        <v>551</v>
      </c>
      <c r="G36" s="23">
        <v>1500</v>
      </c>
      <c r="H36" s="11"/>
      <c r="J36" t="s">
        <v>94</v>
      </c>
      <c r="K36" s="23">
        <v>651.01</v>
      </c>
      <c r="L36" s="11"/>
      <c r="N36" s="39" t="s">
        <v>539</v>
      </c>
      <c r="O36" s="127">
        <v>989</v>
      </c>
      <c r="P36" s="11"/>
      <c r="R36" t="s">
        <v>470</v>
      </c>
      <c r="S36" s="101">
        <v>-7768.75</v>
      </c>
      <c r="T36" s="118">
        <v>3</v>
      </c>
      <c r="U36" s="119">
        <f t="shared" si="0"/>
        <v>-2589.5833333333335</v>
      </c>
      <c r="V36" s="118">
        <v>3</v>
      </c>
      <c r="W36" s="119">
        <f t="shared" si="1"/>
        <v>-7768.75</v>
      </c>
      <c r="X36" s="119">
        <f t="shared" si="2"/>
        <v>0</v>
      </c>
    </row>
    <row r="37" spans="2:24">
      <c r="B37" s="39"/>
      <c r="C37" s="20"/>
      <c r="D37" s="11"/>
      <c r="F37" t="s">
        <v>213</v>
      </c>
      <c r="G37" s="1"/>
      <c r="H37" s="23">
        <v>669</v>
      </c>
      <c r="J37" t="s">
        <v>540</v>
      </c>
      <c r="K37" s="23">
        <v>2000</v>
      </c>
      <c r="L37" s="14"/>
      <c r="N37" s="39"/>
      <c r="O37" s="19"/>
      <c r="P37" s="11"/>
      <c r="R37" t="s">
        <v>468</v>
      </c>
      <c r="S37" s="1">
        <v>-5934</v>
      </c>
      <c r="T37">
        <v>6</v>
      </c>
      <c r="U37" s="2">
        <f t="shared" si="0"/>
        <v>-989</v>
      </c>
      <c r="V37">
        <v>3</v>
      </c>
      <c r="W37" s="2">
        <f t="shared" si="1"/>
        <v>-2967</v>
      </c>
      <c r="X37" s="2">
        <f t="shared" si="2"/>
        <v>-2967</v>
      </c>
    </row>
    <row r="38" spans="2:24">
      <c r="B38" s="39"/>
      <c r="C38" s="20"/>
      <c r="D38" s="11"/>
      <c r="F38" s="116" t="s">
        <v>20</v>
      </c>
      <c r="G38" s="1"/>
      <c r="H38" s="23">
        <v>129</v>
      </c>
      <c r="J38" t="s">
        <v>554</v>
      </c>
      <c r="K38" s="23">
        <v>1180.99</v>
      </c>
      <c r="L38" s="12"/>
      <c r="M38" s="29"/>
      <c r="N38" s="39"/>
      <c r="O38" s="19"/>
      <c r="P38" s="11"/>
      <c r="Q38" s="29"/>
      <c r="R38" t="s">
        <v>471</v>
      </c>
      <c r="S38" s="1">
        <v>-6588.04</v>
      </c>
      <c r="T38" s="118">
        <v>12</v>
      </c>
      <c r="U38" s="2">
        <f t="shared" si="0"/>
        <v>-549.00333333333333</v>
      </c>
      <c r="V38" s="118">
        <v>3</v>
      </c>
      <c r="W38" s="2">
        <f t="shared" si="1"/>
        <v>-1647.01</v>
      </c>
      <c r="X38" s="2">
        <f t="shared" si="2"/>
        <v>-4941.03</v>
      </c>
    </row>
    <row r="39" spans="2:24">
      <c r="B39" s="39"/>
      <c r="C39" s="20"/>
      <c r="D39" s="11"/>
      <c r="F39" t="s">
        <v>391</v>
      </c>
      <c r="G39" s="1"/>
      <c r="H39" s="23">
        <v>149</v>
      </c>
      <c r="J39" t="s">
        <v>503</v>
      </c>
      <c r="K39" s="19"/>
      <c r="L39" s="23">
        <v>14921</v>
      </c>
      <c r="M39" s="29"/>
      <c r="N39" s="39" t="s">
        <v>556</v>
      </c>
      <c r="O39" s="127">
        <v>1500</v>
      </c>
      <c r="P39" s="11"/>
      <c r="Q39" s="29"/>
      <c r="R39" t="s">
        <v>11</v>
      </c>
      <c r="S39" s="2">
        <f>SUM(S33:S38)</f>
        <v>-46631.74</v>
      </c>
      <c r="X39" s="2">
        <f>SUM(X33:X38)</f>
        <v>-10407.029999999999</v>
      </c>
    </row>
    <row r="40" spans="2:24">
      <c r="B40" s="39"/>
      <c r="C40" s="20"/>
      <c r="D40" s="11"/>
      <c r="F40" t="s">
        <v>21</v>
      </c>
      <c r="G40" s="1"/>
      <c r="H40" s="23">
        <v>321.04000000000002</v>
      </c>
      <c r="J40" t="s">
        <v>560</v>
      </c>
      <c r="K40" s="23">
        <v>10000</v>
      </c>
      <c r="L40" s="11"/>
      <c r="N40" s="39" t="s">
        <v>577</v>
      </c>
      <c r="O40" s="19"/>
      <c r="P40" s="23">
        <v>96.14</v>
      </c>
      <c r="Q40" s="29"/>
    </row>
    <row r="41" spans="2:24">
      <c r="B41" s="39"/>
      <c r="C41" s="20"/>
      <c r="D41" s="11"/>
      <c r="F41" t="s">
        <v>573</v>
      </c>
      <c r="H41" s="23">
        <v>92.48</v>
      </c>
      <c r="J41" t="s">
        <v>561</v>
      </c>
      <c r="K41" s="23">
        <v>450</v>
      </c>
      <c r="L41" s="12"/>
      <c r="N41" s="39"/>
      <c r="O41" s="19"/>
      <c r="P41" s="11"/>
      <c r="Q41" s="8"/>
    </row>
    <row r="42" spans="2:24">
      <c r="B42" s="39"/>
      <c r="C42" s="20"/>
      <c r="D42" s="11"/>
      <c r="H42" s="14"/>
      <c r="J42" t="s">
        <v>564</v>
      </c>
      <c r="K42" s="19"/>
      <c r="L42" s="23">
        <v>896.62</v>
      </c>
      <c r="N42" s="39"/>
      <c r="O42" s="19"/>
      <c r="P42" s="11"/>
      <c r="S42" s="2"/>
    </row>
    <row r="43" spans="2:24">
      <c r="B43" s="39"/>
      <c r="C43" s="20"/>
      <c r="D43" s="11"/>
      <c r="H43" s="14"/>
      <c r="J43" t="s">
        <v>567</v>
      </c>
      <c r="K43" s="23">
        <v>800</v>
      </c>
      <c r="L43" s="14"/>
      <c r="N43" s="39"/>
      <c r="O43" s="19"/>
      <c r="P43" s="11"/>
      <c r="S43" s="2"/>
    </row>
    <row r="44" spans="2:24">
      <c r="B44" s="12"/>
      <c r="C44" s="20"/>
      <c r="D44" s="11"/>
      <c r="H44" s="14"/>
      <c r="K44" s="19"/>
      <c r="L44" s="11"/>
      <c r="O44" s="19"/>
      <c r="P44" s="11"/>
      <c r="S44" s="2"/>
    </row>
    <row r="45" spans="2:24">
      <c r="B45" s="12"/>
      <c r="C45" s="20"/>
      <c r="D45" s="11"/>
      <c r="H45" s="14"/>
      <c r="K45" s="19"/>
      <c r="L45" s="14"/>
      <c r="N45" s="44"/>
      <c r="O45" s="44"/>
      <c r="P45" s="92"/>
      <c r="S45" s="2"/>
    </row>
    <row r="46" spans="2:24">
      <c r="B46" s="12"/>
      <c r="C46" s="20"/>
      <c r="D46" s="11"/>
      <c r="H46" s="11"/>
      <c r="L46" s="11"/>
      <c r="M46" t="s">
        <v>286</v>
      </c>
      <c r="S46" s="2"/>
    </row>
    <row r="47" spans="2:24">
      <c r="B47" s="12"/>
      <c r="C47" s="20"/>
      <c r="D47" s="11"/>
      <c r="G47" s="20"/>
      <c r="H47" s="14"/>
      <c r="L47" s="11"/>
      <c r="M47" s="33"/>
    </row>
    <row r="48" spans="2:24">
      <c r="B48" s="12"/>
      <c r="C48" s="1"/>
      <c r="D48" s="11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-13950.000000000002</v>
      </c>
      <c r="H51" s="2">
        <f>SUM(H33:H49)</f>
        <v>1360.52</v>
      </c>
      <c r="J51" t="s">
        <v>2</v>
      </c>
      <c r="K51" s="2">
        <f>SUM(K33:K48)</f>
        <v>11367.62</v>
      </c>
      <c r="L51" s="2">
        <f>SUM(L33:L46)</f>
        <v>15817.62</v>
      </c>
      <c r="N51" t="s">
        <v>2</v>
      </c>
      <c r="O51" s="2">
        <f>SUM(O33:O43)</f>
        <v>-26180.66</v>
      </c>
      <c r="P51" s="2">
        <f>SUM(P33:P42)</f>
        <v>96.14</v>
      </c>
    </row>
    <row r="52" spans="2:28">
      <c r="D52" s="2">
        <f>C51-D51</f>
        <v>0</v>
      </c>
      <c r="H52" s="2">
        <f>G51-H51</f>
        <v>-15310.520000000002</v>
      </c>
      <c r="L52" s="2">
        <f>K51-L51</f>
        <v>-4450</v>
      </c>
      <c r="P52" s="2">
        <f>O51-P51</f>
        <v>-26276.799999999999</v>
      </c>
      <c r="U52" s="2"/>
      <c r="AA52" t="s">
        <v>239</v>
      </c>
      <c r="AB52" s="1">
        <v>10261.049999999999</v>
      </c>
    </row>
    <row r="53" spans="2:28">
      <c r="R53" s="2"/>
      <c r="AA53" t="s">
        <v>240</v>
      </c>
      <c r="AB53" s="1">
        <v>7081.32</v>
      </c>
    </row>
    <row r="54" spans="2:28">
      <c r="B54" t="s">
        <v>282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-2294.9899999999998</v>
      </c>
      <c r="L55" s="2">
        <v>-651.01</v>
      </c>
      <c r="P55" s="2">
        <v>0</v>
      </c>
      <c r="AA55" t="s">
        <v>242</v>
      </c>
      <c r="AB55" s="2">
        <f>AB54/2</f>
        <v>1589.8649999999998</v>
      </c>
    </row>
    <row r="56" spans="2:28">
      <c r="V56" t="s">
        <v>114</v>
      </c>
      <c r="W56" t="s">
        <v>115</v>
      </c>
      <c r="X56" t="s">
        <v>116</v>
      </c>
    </row>
    <row r="57" spans="2:28">
      <c r="D57" t="s">
        <v>138</v>
      </c>
      <c r="E57" s="34" t="s">
        <v>120</v>
      </c>
      <c r="F57" s="41"/>
      <c r="G57" s="41"/>
      <c r="H57" s="51">
        <v>1113.6600000000001</v>
      </c>
      <c r="I57" s="41"/>
      <c r="J57" s="41"/>
      <c r="K57" s="41"/>
      <c r="L57" s="51">
        <v>0</v>
      </c>
      <c r="M57" s="41"/>
      <c r="N57" s="41"/>
      <c r="O57" s="41"/>
      <c r="P57" s="53"/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/>
      <c r="S58" s="1">
        <f>ABS(H55+L55+P55)</f>
        <v>2946</v>
      </c>
      <c r="T58" t="s">
        <v>98</v>
      </c>
      <c r="V58" s="1">
        <f>Z59-Z60</f>
        <v>718.67999999999984</v>
      </c>
      <c r="W58" s="2">
        <f>S58-V58</f>
        <v>2227.3200000000002</v>
      </c>
      <c r="X58" s="2">
        <f>W58/2</f>
        <v>1113.6600000000001</v>
      </c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-1181.3299999999997</v>
      </c>
      <c r="I59" s="44"/>
      <c r="J59" s="44"/>
      <c r="K59" s="44"/>
      <c r="L59" s="45">
        <f>L57+L55</f>
        <v>-651.01</v>
      </c>
      <c r="M59" s="44"/>
      <c r="N59" s="44"/>
      <c r="O59" s="44"/>
      <c r="P59" s="45"/>
      <c r="S59" s="1"/>
      <c r="Z59" s="1">
        <v>3900</v>
      </c>
      <c r="AA59" s="2">
        <f>X60+Z59</f>
        <v>5013.66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117</v>
      </c>
      <c r="X60" s="2">
        <f>ABS(X58)</f>
        <v>1113.6600000000001</v>
      </c>
      <c r="Z60" s="1">
        <v>3181.32</v>
      </c>
      <c r="AA60" s="2">
        <f>X61+Z60</f>
        <v>5013.66</v>
      </c>
    </row>
    <row r="61" spans="2:28">
      <c r="D61" t="s">
        <v>139</v>
      </c>
      <c r="H61" s="2"/>
      <c r="L61" s="2"/>
      <c r="P61" s="2"/>
      <c r="W61" t="s">
        <v>118</v>
      </c>
      <c r="X61" s="1">
        <f>V58+ABS(X58)</f>
        <v>1832.34</v>
      </c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/>
      <c r="I64" s="44"/>
      <c r="J64" s="44"/>
      <c r="K64" s="44"/>
      <c r="L64" s="45"/>
      <c r="M64" s="44"/>
      <c r="N64" s="44"/>
      <c r="O64" s="44"/>
      <c r="P64" s="45"/>
    </row>
    <row r="65" spans="12:24">
      <c r="L65" s="60"/>
      <c r="P65" s="27"/>
      <c r="X65" s="1"/>
    </row>
    <row r="66" spans="12:24">
      <c r="X66" s="2"/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79" priority="3" operator="lessThan">
      <formula>0</formula>
    </cfRule>
    <cfRule type="cellIs" dxfId="78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21"/>
  <dimension ref="A1:AB84"/>
  <sheetViews>
    <sheetView workbookViewId="0">
      <selection activeCell="B13" sqref="B1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44.05</v>
      </c>
      <c r="D2" s="74"/>
      <c r="E2" s="18"/>
      <c r="F2" s="18" t="s">
        <v>0</v>
      </c>
      <c r="G2" s="75">
        <v>672.98</v>
      </c>
      <c r="H2" s="74"/>
      <c r="I2" s="18"/>
      <c r="J2" s="18" t="s">
        <v>0</v>
      </c>
      <c r="K2" s="73">
        <v>7214.63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634.33000000000004</v>
      </c>
      <c r="D3" s="11"/>
      <c r="E3" s="76"/>
      <c r="F3" s="18"/>
      <c r="G3" s="75"/>
      <c r="H3" s="11"/>
      <c r="I3" s="18"/>
      <c r="J3" s="18" t="s">
        <v>201</v>
      </c>
      <c r="K3" s="20">
        <v>2999.53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40</v>
      </c>
      <c r="C4" s="23">
        <v>15625.16</v>
      </c>
      <c r="D4" s="11"/>
      <c r="E4" s="18"/>
      <c r="F4" s="18" t="s">
        <v>583</v>
      </c>
      <c r="G4" s="101">
        <v>826.67</v>
      </c>
      <c r="H4" s="11"/>
      <c r="I4" s="18"/>
      <c r="J4" s="18" t="s">
        <v>10</v>
      </c>
      <c r="K4" s="20">
        <v>23.78</v>
      </c>
      <c r="L4" s="77"/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18" t="s">
        <v>548</v>
      </c>
      <c r="C5" s="20"/>
      <c r="D5" s="100">
        <v>2500</v>
      </c>
      <c r="E5" s="18"/>
      <c r="F5" s="18" t="s">
        <v>579</v>
      </c>
      <c r="G5" s="101">
        <v>361</v>
      </c>
      <c r="H5" s="11"/>
      <c r="I5" s="18"/>
      <c r="J5" s="18" t="s">
        <v>106</v>
      </c>
      <c r="K5" s="20"/>
      <c r="L5" s="11">
        <v>10244.709999999999</v>
      </c>
      <c r="N5" s="18" t="s">
        <v>497</v>
      </c>
      <c r="O5" s="20">
        <v>2500</v>
      </c>
      <c r="P5" s="11"/>
      <c r="R5" s="18"/>
      <c r="S5" s="20"/>
      <c r="T5" s="11"/>
    </row>
    <row r="6" spans="1:20">
      <c r="B6" s="18" t="s">
        <v>549</v>
      </c>
      <c r="C6" s="20"/>
      <c r="D6" s="100">
        <v>2500</v>
      </c>
      <c r="E6" s="18"/>
      <c r="F6" s="18" t="s">
        <v>549</v>
      </c>
      <c r="G6" s="101">
        <v>2500</v>
      </c>
      <c r="H6" s="11"/>
      <c r="I6" s="76"/>
      <c r="J6" s="18"/>
      <c r="K6" s="20"/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18" t="s">
        <v>547</v>
      </c>
      <c r="C7" s="20"/>
      <c r="D7" s="100">
        <v>1009.99</v>
      </c>
      <c r="E7" s="76"/>
      <c r="F7" s="18" t="s">
        <v>572</v>
      </c>
      <c r="G7" s="101">
        <v>250</v>
      </c>
      <c r="H7" s="11"/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43</v>
      </c>
      <c r="C8" s="20"/>
      <c r="D8" s="11">
        <v>3900</v>
      </c>
      <c r="E8" s="18"/>
      <c r="F8" s="39" t="s">
        <v>584</v>
      </c>
      <c r="G8" s="20"/>
      <c r="H8" s="100">
        <v>549</v>
      </c>
      <c r="I8" s="76"/>
      <c r="J8" s="18"/>
      <c r="K8" s="20"/>
      <c r="L8" s="39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76</v>
      </c>
      <c r="C9" s="20"/>
      <c r="D9" s="11">
        <v>1300</v>
      </c>
      <c r="E9" s="18"/>
      <c r="F9" s="39" t="s">
        <v>472</v>
      </c>
      <c r="G9" s="20"/>
      <c r="H9" s="100">
        <v>277.67</v>
      </c>
      <c r="I9" s="18"/>
      <c r="J9" s="18"/>
      <c r="K9" s="18"/>
      <c r="L9" s="18"/>
      <c r="N9" s="18"/>
      <c r="O9" s="18"/>
      <c r="P9" s="20"/>
      <c r="R9" s="18"/>
      <c r="S9" s="18"/>
      <c r="T9" s="18"/>
    </row>
    <row r="10" spans="1:20">
      <c r="B10" s="39" t="s">
        <v>581</v>
      </c>
      <c r="C10" s="20"/>
      <c r="D10" s="100">
        <v>826.67</v>
      </c>
      <c r="E10" s="76"/>
      <c r="F10" s="39" t="s">
        <v>549</v>
      </c>
      <c r="G10" s="20"/>
      <c r="H10" s="100">
        <v>2500</v>
      </c>
      <c r="I10" s="18"/>
      <c r="J10" s="18"/>
      <c r="K10" s="18"/>
      <c r="L10" s="18"/>
      <c r="N10" s="18"/>
      <c r="O10" s="18"/>
      <c r="P10" s="18"/>
      <c r="R10" s="18"/>
      <c r="S10" s="18"/>
      <c r="T10" s="18"/>
    </row>
    <row r="11" spans="1:20">
      <c r="B11" s="39" t="s">
        <v>570</v>
      </c>
      <c r="C11" s="101">
        <v>361</v>
      </c>
      <c r="D11" s="11"/>
      <c r="E11" s="39"/>
      <c r="F11" s="91" t="s">
        <v>585</v>
      </c>
      <c r="G11" s="20"/>
      <c r="H11" s="11">
        <v>33.979999999999997</v>
      </c>
      <c r="I11" s="18"/>
      <c r="J11" s="18"/>
      <c r="K11" s="18"/>
      <c r="L11" s="18"/>
    </row>
    <row r="12" spans="1:20">
      <c r="B12" s="39" t="s">
        <v>571</v>
      </c>
      <c r="C12" s="20"/>
      <c r="D12" s="100">
        <v>450</v>
      </c>
      <c r="E12" s="39"/>
      <c r="F12" s="39"/>
      <c r="G12" s="20"/>
      <c r="H12" s="11"/>
      <c r="I12" s="16"/>
      <c r="J12" s="18"/>
      <c r="K12" s="91"/>
      <c r="L12" s="18"/>
    </row>
    <row r="13" spans="1:20">
      <c r="B13" s="39" t="s">
        <v>572</v>
      </c>
      <c r="C13" s="20"/>
      <c r="D13" s="100">
        <v>250</v>
      </c>
      <c r="E13" s="117"/>
      <c r="F13" s="39"/>
      <c r="G13" s="21"/>
      <c r="H13" s="11"/>
      <c r="I13" s="18"/>
      <c r="J13" s="18"/>
      <c r="K13" s="91"/>
      <c r="L13" s="18"/>
    </row>
    <row r="14" spans="1:20">
      <c r="B14" s="39" t="s">
        <v>578</v>
      </c>
      <c r="C14" s="20"/>
      <c r="D14" s="100">
        <v>361</v>
      </c>
      <c r="E14" s="117"/>
      <c r="F14" s="39"/>
      <c r="G14" s="21"/>
      <c r="H14" s="11"/>
      <c r="I14" s="18"/>
      <c r="J14" s="18"/>
      <c r="K14" s="91"/>
      <c r="L14" s="18"/>
    </row>
    <row r="15" spans="1:20">
      <c r="B15" s="39" t="s">
        <v>574</v>
      </c>
      <c r="C15" s="101">
        <v>1000</v>
      </c>
      <c r="D15" s="11"/>
      <c r="E15" s="39"/>
      <c r="F15" s="39"/>
      <c r="G15" s="21"/>
      <c r="H15" s="11"/>
      <c r="I15" s="18"/>
      <c r="J15" s="91"/>
      <c r="K15" s="18"/>
      <c r="L15" s="18"/>
    </row>
    <row r="16" spans="1:20">
      <c r="B16" s="39" t="s">
        <v>582</v>
      </c>
      <c r="C16" s="20"/>
      <c r="D16" s="100">
        <v>1000</v>
      </c>
      <c r="E16" s="39"/>
      <c r="F16" s="39"/>
      <c r="G16" s="21"/>
      <c r="H16" s="11"/>
      <c r="I16" s="18"/>
      <c r="J16" s="18"/>
      <c r="K16" s="91"/>
      <c r="L16" s="18"/>
    </row>
    <row r="17" spans="1:24">
      <c r="B17" s="39"/>
      <c r="C17" s="20"/>
      <c r="D17" s="11"/>
      <c r="E17" s="39"/>
      <c r="F17" s="18"/>
      <c r="G17" s="21"/>
      <c r="H17" s="11"/>
      <c r="I17" s="18"/>
      <c r="J17" s="18"/>
      <c r="K17" s="18"/>
      <c r="L17" s="18"/>
    </row>
    <row r="18" spans="1:24">
      <c r="B18" s="39"/>
      <c r="C18" s="20"/>
      <c r="D18" s="11"/>
      <c r="G18" s="20"/>
      <c r="H18" s="11"/>
    </row>
    <row r="19" spans="1:24">
      <c r="B19" s="39"/>
      <c r="C19" s="20"/>
      <c r="D19" s="11"/>
      <c r="E19" s="96"/>
      <c r="G19" s="20"/>
      <c r="H19" s="11"/>
      <c r="J19" s="2"/>
    </row>
    <row r="20" spans="1:24">
      <c r="B20" s="39"/>
      <c r="C20" s="20"/>
      <c r="D20" s="11"/>
      <c r="G20" s="20"/>
      <c r="H20" s="19"/>
    </row>
    <row r="21" spans="1:24">
      <c r="A21" s="39"/>
      <c r="B21" s="39"/>
      <c r="C21" s="20"/>
      <c r="D21" s="11"/>
      <c r="G21" s="20"/>
      <c r="H21" s="19"/>
    </row>
    <row r="22" spans="1:24">
      <c r="B22" s="39"/>
      <c r="C22" s="20"/>
      <c r="D22" s="11"/>
      <c r="G22" s="20"/>
      <c r="H22" s="19"/>
    </row>
    <row r="23" spans="1:24">
      <c r="B23" s="39"/>
      <c r="C23" s="20"/>
      <c r="D23" s="11"/>
      <c r="G23" s="20"/>
      <c r="H23" s="19"/>
    </row>
    <row r="24" spans="1:24">
      <c r="B24" s="39"/>
      <c r="C24" s="20"/>
      <c r="D24" s="11"/>
      <c r="G24" s="20"/>
      <c r="H24" s="19"/>
    </row>
    <row r="25" spans="1:24">
      <c r="B25" s="39"/>
      <c r="C25" s="20"/>
      <c r="D25" s="11"/>
      <c r="G25" s="20"/>
      <c r="H25" s="19"/>
    </row>
    <row r="26" spans="1:24">
      <c r="D26" s="11"/>
      <c r="G26" s="20"/>
      <c r="H26" s="19"/>
    </row>
    <row r="27" spans="1:24">
      <c r="B27" s="39"/>
      <c r="C27" s="1"/>
      <c r="D27" s="11"/>
      <c r="G27" s="20"/>
      <c r="H27" s="19"/>
    </row>
    <row r="28" spans="1:24">
      <c r="B28" t="s">
        <v>2</v>
      </c>
      <c r="C28" s="2">
        <f>SUM(C2:C24)</f>
        <v>17664.54</v>
      </c>
      <c r="D28" s="2">
        <f>SUM(D3:D26)</f>
        <v>14097.66</v>
      </c>
      <c r="F28" t="s">
        <v>2</v>
      </c>
      <c r="G28" s="2">
        <f>SUM(G2:G18)</f>
        <v>4610.6499999999996</v>
      </c>
      <c r="H28" s="2">
        <f>SUM(H3:H8)</f>
        <v>549</v>
      </c>
      <c r="J28" t="s">
        <v>2</v>
      </c>
      <c r="K28" s="2">
        <f>SUM(K1:K10)</f>
        <v>10237.94</v>
      </c>
      <c r="L28" s="2">
        <f>SUM(L2:L10)</f>
        <v>10244.709999999999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3566.880000000001</v>
      </c>
      <c r="H29" s="2">
        <f>G28-H28</f>
        <v>4061.6499999999996</v>
      </c>
      <c r="L29" s="2">
        <f>K28-L28</f>
        <v>-6.7699999999986176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-2533.9900000000007</v>
      </c>
      <c r="V31" s="102">
        <v>42753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4">
      <c r="B33" t="s">
        <v>0</v>
      </c>
      <c r="C33" s="3">
        <v>0</v>
      </c>
      <c r="D33" s="4"/>
      <c r="F33" t="s">
        <v>0</v>
      </c>
      <c r="G33" s="3">
        <v>-15310.52</v>
      </c>
      <c r="H33" s="4"/>
      <c r="J33" t="s">
        <v>0</v>
      </c>
      <c r="K33" s="3">
        <v>-4459.99</v>
      </c>
      <c r="L33" s="4"/>
      <c r="M33" s="33"/>
      <c r="N33" t="s">
        <v>0</v>
      </c>
      <c r="O33" s="3">
        <v>-26276.799999999999</v>
      </c>
      <c r="P33" s="4"/>
      <c r="R33" t="s">
        <v>469</v>
      </c>
      <c r="S33" s="1">
        <v>-4998</v>
      </c>
      <c r="T33">
        <v>18</v>
      </c>
      <c r="U33" s="2">
        <f t="shared" ref="U33:U38" si="0">S33/T33</f>
        <v>-277.66666666666669</v>
      </c>
      <c r="V33">
        <v>9</v>
      </c>
      <c r="W33" s="2">
        <f t="shared" ref="W33:W38" si="1">U33*V33</f>
        <v>-2499</v>
      </c>
      <c r="X33" s="2">
        <f t="shared" ref="X33:X38" si="2">S33-W33</f>
        <v>-2499</v>
      </c>
    </row>
    <row r="34" spans="2:24">
      <c r="B34" s="39" t="s">
        <v>13</v>
      </c>
      <c r="C34" s="1"/>
      <c r="D34" s="1">
        <v>0</v>
      </c>
      <c r="G34" s="1"/>
      <c r="H34" s="11"/>
      <c r="K34" s="85"/>
      <c r="L34" s="86"/>
      <c r="M34" s="29"/>
      <c r="O34" s="85"/>
      <c r="P34" s="86"/>
      <c r="Q34" s="93"/>
      <c r="R34" t="s">
        <v>132</v>
      </c>
      <c r="S34" s="101">
        <v>-3144</v>
      </c>
      <c r="T34" s="118">
        <v>6</v>
      </c>
      <c r="U34" s="119">
        <f t="shared" si="0"/>
        <v>-524</v>
      </c>
      <c r="V34" s="118">
        <v>6</v>
      </c>
      <c r="W34" s="119">
        <f t="shared" si="1"/>
        <v>-3144</v>
      </c>
      <c r="X34" s="119">
        <f t="shared" si="2"/>
        <v>0</v>
      </c>
    </row>
    <row r="35" spans="2:24">
      <c r="B35" s="39"/>
      <c r="C35" s="1"/>
      <c r="D35" s="11"/>
      <c r="F35" t="s">
        <v>580</v>
      </c>
      <c r="G35" s="1">
        <v>2500</v>
      </c>
      <c r="H35" s="11"/>
      <c r="J35" t="s">
        <v>568</v>
      </c>
      <c r="K35" s="23">
        <v>450</v>
      </c>
      <c r="L35" s="11"/>
      <c r="N35" s="39" t="s">
        <v>555</v>
      </c>
      <c r="O35" s="19">
        <v>1000</v>
      </c>
      <c r="P35" s="14"/>
      <c r="R35" t="s">
        <v>277</v>
      </c>
      <c r="S35" s="101">
        <v>-18198.95</v>
      </c>
      <c r="T35" s="118">
        <v>6</v>
      </c>
      <c r="U35" s="119">
        <f t="shared" si="0"/>
        <v>-3033.1583333333333</v>
      </c>
      <c r="V35" s="118">
        <v>6</v>
      </c>
      <c r="W35" s="119">
        <f t="shared" si="1"/>
        <v>-18198.95</v>
      </c>
      <c r="X35" s="119">
        <f t="shared" si="2"/>
        <v>0</v>
      </c>
    </row>
    <row r="36" spans="2:24">
      <c r="B36" s="39"/>
      <c r="C36" s="1"/>
      <c r="D36" s="11"/>
      <c r="H36" s="14"/>
      <c r="J36" t="s">
        <v>574</v>
      </c>
      <c r="K36" s="23">
        <v>1000</v>
      </c>
      <c r="L36" s="11"/>
      <c r="N36" s="39" t="s">
        <v>472</v>
      </c>
      <c r="O36" s="19">
        <v>277.67</v>
      </c>
      <c r="P36" s="11"/>
      <c r="R36" t="s">
        <v>470</v>
      </c>
      <c r="S36" s="101">
        <v>-7768.75</v>
      </c>
      <c r="T36" s="118">
        <v>3</v>
      </c>
      <c r="U36" s="119">
        <f t="shared" si="0"/>
        <v>-2589.5833333333335</v>
      </c>
      <c r="V36" s="118">
        <v>3</v>
      </c>
      <c r="W36" s="119">
        <f t="shared" si="1"/>
        <v>-7768.75</v>
      </c>
      <c r="X36" s="119">
        <f t="shared" si="2"/>
        <v>0</v>
      </c>
    </row>
    <row r="37" spans="2:24">
      <c r="B37" s="39"/>
      <c r="C37" s="20"/>
      <c r="D37" s="11"/>
      <c r="H37" s="14"/>
      <c r="J37" t="s">
        <v>569</v>
      </c>
      <c r="K37" s="23">
        <v>1009.99</v>
      </c>
      <c r="L37" s="14"/>
      <c r="N37" s="39" t="s">
        <v>474</v>
      </c>
      <c r="O37" s="19">
        <v>549</v>
      </c>
      <c r="P37" s="11"/>
      <c r="R37" t="s">
        <v>468</v>
      </c>
      <c r="S37" s="1">
        <v>-5934</v>
      </c>
      <c r="T37">
        <v>6</v>
      </c>
      <c r="U37" s="2">
        <f t="shared" si="0"/>
        <v>-989</v>
      </c>
      <c r="V37">
        <v>3</v>
      </c>
      <c r="W37" s="2">
        <f t="shared" si="1"/>
        <v>-2967</v>
      </c>
      <c r="X37" s="2">
        <f t="shared" si="2"/>
        <v>-2967</v>
      </c>
    </row>
    <row r="38" spans="2:24">
      <c r="B38" s="39"/>
      <c r="C38" s="20"/>
      <c r="D38" s="11"/>
      <c r="F38" s="116"/>
      <c r="H38" s="14"/>
      <c r="K38" s="19"/>
      <c r="L38" s="12"/>
      <c r="M38" s="29"/>
      <c r="N38" s="39" t="s">
        <v>549</v>
      </c>
      <c r="O38" s="19">
        <v>2500</v>
      </c>
      <c r="Q38" s="29"/>
      <c r="R38" t="s">
        <v>471</v>
      </c>
      <c r="S38" s="1">
        <v>-6588.04</v>
      </c>
      <c r="T38" s="118">
        <v>12</v>
      </c>
      <c r="U38" s="2">
        <f t="shared" si="0"/>
        <v>-549.00333333333333</v>
      </c>
      <c r="V38" s="118">
        <v>3</v>
      </c>
      <c r="W38" s="2">
        <f t="shared" si="1"/>
        <v>-1647.01</v>
      </c>
      <c r="X38" s="2">
        <f t="shared" si="2"/>
        <v>-4941.03</v>
      </c>
    </row>
    <row r="39" spans="2:24">
      <c r="B39" s="39"/>
      <c r="C39" s="20"/>
      <c r="D39" s="11"/>
      <c r="H39" s="14"/>
      <c r="K39" s="19"/>
      <c r="L39" s="14"/>
      <c r="M39" s="29"/>
      <c r="N39" s="39"/>
      <c r="O39" s="19"/>
      <c r="P39" s="11"/>
      <c r="Q39" s="29"/>
      <c r="R39" t="s">
        <v>11</v>
      </c>
      <c r="S39" s="2">
        <f>SUM(S33:S38)</f>
        <v>-46631.74</v>
      </c>
      <c r="X39" s="2">
        <f>SUM(X33:X38)</f>
        <v>-10407.029999999999</v>
      </c>
    </row>
    <row r="40" spans="2:24">
      <c r="B40" s="39"/>
      <c r="C40" s="20"/>
      <c r="D40" s="11"/>
      <c r="H40" s="14"/>
      <c r="K40" s="19"/>
      <c r="L40" s="14"/>
      <c r="N40" s="39"/>
      <c r="O40" s="19"/>
      <c r="P40" s="14"/>
      <c r="Q40" s="29"/>
    </row>
    <row r="41" spans="2:24">
      <c r="B41" s="39"/>
      <c r="C41" s="20"/>
      <c r="D41" s="11"/>
      <c r="H41" s="14"/>
      <c r="K41" s="19"/>
      <c r="L41" s="14"/>
      <c r="N41" s="39"/>
      <c r="O41" s="19"/>
      <c r="P41" s="11"/>
      <c r="Q41" s="8"/>
    </row>
    <row r="42" spans="2:24">
      <c r="B42" s="39"/>
      <c r="C42" s="20"/>
      <c r="D42" s="11"/>
      <c r="H42" s="14"/>
      <c r="K42" s="19"/>
      <c r="L42" s="14"/>
      <c r="N42" s="39"/>
      <c r="O42" s="19"/>
      <c r="P42" s="11"/>
      <c r="S42" s="2"/>
    </row>
    <row r="43" spans="2:24">
      <c r="B43" s="39"/>
      <c r="C43" s="20"/>
      <c r="D43" s="11"/>
      <c r="H43" s="14"/>
      <c r="K43" s="19"/>
      <c r="L43" s="14"/>
      <c r="N43" s="39"/>
      <c r="O43" s="19"/>
      <c r="P43" s="11"/>
      <c r="S43" s="2"/>
    </row>
    <row r="44" spans="2:24">
      <c r="B44" s="12"/>
      <c r="C44" s="20"/>
      <c r="D44" s="11"/>
      <c r="E44" s="29"/>
      <c r="H44" s="14"/>
      <c r="K44" s="19"/>
      <c r="L44" s="11"/>
      <c r="O44" s="19"/>
      <c r="P44" s="11"/>
      <c r="S44" s="2"/>
    </row>
    <row r="45" spans="2:24">
      <c r="B45" s="12"/>
      <c r="C45" s="20"/>
      <c r="D45" s="11"/>
      <c r="E45" s="29"/>
      <c r="H45" s="14"/>
      <c r="K45" s="19"/>
      <c r="L45" s="14"/>
      <c r="N45" s="44"/>
      <c r="O45" s="44"/>
      <c r="P45" s="92"/>
      <c r="S45" s="2"/>
    </row>
    <row r="46" spans="2:24">
      <c r="B46" s="12"/>
      <c r="C46" s="20"/>
      <c r="D46" s="11"/>
      <c r="H46" s="11"/>
      <c r="L46" s="11"/>
      <c r="M46" t="s">
        <v>286</v>
      </c>
      <c r="S46" s="2"/>
    </row>
    <row r="47" spans="2:24">
      <c r="B47" s="12"/>
      <c r="C47" s="20"/>
      <c r="D47" s="11"/>
      <c r="E47" s="29"/>
      <c r="H47" s="14"/>
      <c r="L47" s="11"/>
      <c r="M47" s="33"/>
    </row>
    <row r="48" spans="2:24">
      <c r="B48" s="12"/>
      <c r="C48" s="1"/>
      <c r="D48" s="11"/>
      <c r="E48" s="29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-12810.52</v>
      </c>
      <c r="H51" s="2">
        <f>SUM(H33:H49)</f>
        <v>0</v>
      </c>
      <c r="J51" t="s">
        <v>2</v>
      </c>
      <c r="K51" s="2">
        <f>SUM(K33:K48)</f>
        <v>-1999.9999999999998</v>
      </c>
      <c r="L51" s="2">
        <f>SUM(L33:L46)</f>
        <v>0</v>
      </c>
      <c r="N51" t="s">
        <v>2</v>
      </c>
      <c r="O51" s="2">
        <f>SUM(O33:O43)</f>
        <v>-21950.13</v>
      </c>
      <c r="P51" s="2">
        <f>SUM(P33:P42)</f>
        <v>0</v>
      </c>
    </row>
    <row r="52" spans="2:28">
      <c r="D52" s="2">
        <f>C51-D51</f>
        <v>0</v>
      </c>
      <c r="H52" s="2">
        <f>G51-H51</f>
        <v>-12810.52</v>
      </c>
      <c r="L52" s="2">
        <f>K51-L51</f>
        <v>-1999.9999999999998</v>
      </c>
      <c r="P52" s="2">
        <f>O51-P51</f>
        <v>-21950.13</v>
      </c>
      <c r="U52" s="2"/>
      <c r="AA52" t="s">
        <v>239</v>
      </c>
      <c r="AB52" s="1">
        <v>10261.049999999999</v>
      </c>
    </row>
    <row r="53" spans="2:28">
      <c r="R53" s="2"/>
      <c r="AA53" t="s">
        <v>240</v>
      </c>
      <c r="AB53" s="1">
        <v>7081.32</v>
      </c>
    </row>
    <row r="54" spans="2:28">
      <c r="B54" t="s">
        <v>282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-1360.52</v>
      </c>
      <c r="L55" s="2">
        <v>0</v>
      </c>
      <c r="P55" s="2">
        <f>-277.67-549</f>
        <v>-826.67000000000007</v>
      </c>
      <c r="AA55" t="s">
        <v>242</v>
      </c>
      <c r="AB55" s="2">
        <f>AB54/2</f>
        <v>1589.8649999999998</v>
      </c>
    </row>
    <row r="56" spans="2:28">
      <c r="V56" t="s">
        <v>114</v>
      </c>
      <c r="W56" t="s">
        <v>115</v>
      </c>
      <c r="X56" t="s">
        <v>116</v>
      </c>
    </row>
    <row r="57" spans="2:28">
      <c r="D57" t="s">
        <v>138</v>
      </c>
      <c r="E57" s="34" t="s">
        <v>120</v>
      </c>
      <c r="F57" s="41"/>
      <c r="G57" s="41"/>
      <c r="H57" s="51">
        <v>1113.6600000000001</v>
      </c>
      <c r="I57" s="41"/>
      <c r="J57" s="41"/>
      <c r="K57" s="41"/>
      <c r="L57" s="51">
        <v>0</v>
      </c>
      <c r="M57" s="41"/>
      <c r="N57" s="41"/>
      <c r="O57" s="41"/>
      <c r="P57" s="53"/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/>
      <c r="S58" s="1">
        <f>ABS(H55+L55+P55)</f>
        <v>2187.19</v>
      </c>
      <c r="T58" t="s">
        <v>98</v>
      </c>
      <c r="V58" s="1">
        <f>Z59-Z60</f>
        <v>718.67999999999984</v>
      </c>
      <c r="W58" s="2">
        <f>S58-V58</f>
        <v>1468.5100000000002</v>
      </c>
      <c r="X58" s="2">
        <f>W58/2</f>
        <v>734.25500000000011</v>
      </c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-246.8599999999999</v>
      </c>
      <c r="I59" s="44"/>
      <c r="J59" s="44"/>
      <c r="K59" s="44"/>
      <c r="L59" s="45">
        <f>L57+L55</f>
        <v>0</v>
      </c>
      <c r="M59" s="44"/>
      <c r="N59" s="44"/>
      <c r="O59" s="44"/>
      <c r="P59" s="45"/>
      <c r="S59" s="1"/>
      <c r="Z59" s="1">
        <v>3900</v>
      </c>
      <c r="AA59" s="2">
        <f>X60+Z59</f>
        <v>4634.2550000000001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117</v>
      </c>
      <c r="X60" s="2">
        <f>ABS(X58)</f>
        <v>734.25500000000011</v>
      </c>
      <c r="Z60" s="1">
        <v>3181.32</v>
      </c>
      <c r="AA60" s="2">
        <f>X61+Z60</f>
        <v>4634.2550000000001</v>
      </c>
    </row>
    <row r="61" spans="2:28">
      <c r="D61" t="s">
        <v>139</v>
      </c>
      <c r="H61" s="2"/>
      <c r="L61" s="2"/>
      <c r="P61" s="2"/>
      <c r="W61" t="s">
        <v>118</v>
      </c>
      <c r="X61" s="1">
        <f>V58+ABS(X58)</f>
        <v>1452.9349999999999</v>
      </c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/>
      <c r="I64" s="44"/>
      <c r="J64" s="44"/>
      <c r="K64" s="44"/>
      <c r="L64" s="45"/>
      <c r="M64" s="44"/>
      <c r="N64" s="44"/>
      <c r="O64" s="44"/>
      <c r="P64" s="45"/>
    </row>
    <row r="65" spans="12:24">
      <c r="L65" s="60"/>
      <c r="P65" s="27"/>
      <c r="X65" s="1"/>
    </row>
    <row r="66" spans="12:24">
      <c r="X66" s="2"/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77" priority="1" operator="lessThan">
      <formula>0</formula>
    </cfRule>
    <cfRule type="cellIs" dxfId="76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Hoja22"/>
  <dimension ref="A1:AB84"/>
  <sheetViews>
    <sheetView topLeftCell="A16" workbookViewId="0">
      <selection activeCell="K17" sqref="K17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1034.53</v>
      </c>
      <c r="D2" s="74"/>
      <c r="E2" s="18"/>
      <c r="F2" s="18" t="s">
        <v>0</v>
      </c>
      <c r="G2" s="75">
        <v>672.98</v>
      </c>
      <c r="H2" s="74"/>
      <c r="I2" s="18"/>
      <c r="J2" s="18" t="s">
        <v>0</v>
      </c>
      <c r="K2" s="73">
        <v>7214.63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507.13</v>
      </c>
      <c r="D3" s="11"/>
      <c r="E3" s="76"/>
      <c r="F3" s="18"/>
      <c r="G3" s="75"/>
      <c r="H3" s="11"/>
      <c r="I3" s="18"/>
      <c r="J3" s="18" t="s">
        <v>201</v>
      </c>
      <c r="K3" s="20">
        <v>2999.53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40</v>
      </c>
      <c r="C4" s="23">
        <v>15576.75</v>
      </c>
      <c r="D4" s="11"/>
      <c r="E4" s="18"/>
      <c r="F4" s="18" t="s">
        <v>583</v>
      </c>
      <c r="G4" s="101">
        <v>826.67</v>
      </c>
      <c r="H4" s="11"/>
      <c r="I4" s="18"/>
      <c r="J4" s="18" t="s">
        <v>10</v>
      </c>
      <c r="K4" s="20">
        <v>23.78</v>
      </c>
      <c r="L4" s="77"/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18" t="s">
        <v>586</v>
      </c>
      <c r="C5" s="23">
        <v>950</v>
      </c>
      <c r="D5" s="11"/>
      <c r="E5" s="18"/>
      <c r="F5" s="18" t="s">
        <v>579</v>
      </c>
      <c r="G5" s="101">
        <v>361</v>
      </c>
      <c r="H5" s="11"/>
      <c r="I5" s="18"/>
      <c r="J5" s="18" t="s">
        <v>106</v>
      </c>
      <c r="K5" s="20"/>
      <c r="L5" s="11">
        <v>10244.709999999999</v>
      </c>
      <c r="N5" s="18" t="s">
        <v>497</v>
      </c>
      <c r="O5" s="20">
        <v>2500</v>
      </c>
      <c r="P5" s="11"/>
      <c r="R5" s="18"/>
      <c r="S5" s="20"/>
      <c r="T5" s="11"/>
    </row>
    <row r="6" spans="1:20">
      <c r="B6" s="18" t="s">
        <v>587</v>
      </c>
      <c r="C6" s="20"/>
      <c r="D6" s="128">
        <v>48.12</v>
      </c>
      <c r="E6" s="18"/>
      <c r="F6" s="18" t="s">
        <v>549</v>
      </c>
      <c r="G6" s="101">
        <v>2500</v>
      </c>
      <c r="H6" s="11"/>
      <c r="I6" s="76"/>
      <c r="J6" s="18"/>
      <c r="K6" s="20"/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18" t="s">
        <v>1</v>
      </c>
      <c r="C7" s="20"/>
      <c r="D7" s="24">
        <v>3181.32</v>
      </c>
      <c r="E7" s="76"/>
      <c r="F7" s="18" t="s">
        <v>572</v>
      </c>
      <c r="G7" s="101">
        <v>250</v>
      </c>
      <c r="H7" s="11"/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76</v>
      </c>
      <c r="C8" s="20"/>
      <c r="D8" s="24">
        <v>1300</v>
      </c>
      <c r="E8" s="18"/>
      <c r="F8" s="39" t="s">
        <v>584</v>
      </c>
      <c r="G8" s="20"/>
      <c r="H8" s="100">
        <v>549</v>
      </c>
      <c r="I8" s="76"/>
      <c r="J8" s="18"/>
      <c r="K8" s="20"/>
      <c r="L8" s="39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453</v>
      </c>
      <c r="C9" s="20"/>
      <c r="D9" s="24">
        <v>1452.94</v>
      </c>
      <c r="E9" s="18"/>
      <c r="F9" s="39" t="s">
        <v>472</v>
      </c>
      <c r="G9" s="20"/>
      <c r="H9" s="100">
        <v>277.67</v>
      </c>
      <c r="I9" s="18"/>
      <c r="J9" s="18"/>
      <c r="K9" s="18"/>
      <c r="L9" s="18"/>
      <c r="N9" s="18"/>
      <c r="O9" s="18"/>
      <c r="P9" s="20"/>
      <c r="R9" s="18"/>
      <c r="S9" s="18"/>
      <c r="T9" s="18"/>
    </row>
    <row r="10" spans="1:20">
      <c r="B10" s="39" t="s">
        <v>396</v>
      </c>
      <c r="C10" s="20"/>
      <c r="D10" s="24">
        <v>1000</v>
      </c>
      <c r="E10" s="76"/>
      <c r="F10" s="39" t="s">
        <v>549</v>
      </c>
      <c r="G10" s="20"/>
      <c r="H10" s="100">
        <v>2500</v>
      </c>
      <c r="I10" s="18"/>
      <c r="J10" s="18"/>
      <c r="K10" s="18"/>
      <c r="L10" s="18"/>
      <c r="N10" s="18"/>
      <c r="O10" s="18"/>
      <c r="P10" s="18"/>
      <c r="R10" s="18"/>
      <c r="S10" s="18"/>
      <c r="T10" s="18"/>
    </row>
    <row r="11" spans="1:20">
      <c r="B11" s="39" t="s">
        <v>588</v>
      </c>
      <c r="C11" s="20"/>
      <c r="D11" s="24">
        <v>2500</v>
      </c>
      <c r="E11" s="39"/>
      <c r="F11" s="91" t="s">
        <v>585</v>
      </c>
      <c r="G11" s="20"/>
      <c r="H11" s="11">
        <v>33.979999999999997</v>
      </c>
      <c r="I11" s="18"/>
      <c r="J11" s="18"/>
      <c r="K11" s="18"/>
      <c r="L11" s="18"/>
    </row>
    <row r="12" spans="1:20">
      <c r="B12" s="39" t="s">
        <v>437</v>
      </c>
      <c r="C12" s="20"/>
      <c r="D12" s="24">
        <v>2500</v>
      </c>
      <c r="E12" s="39"/>
      <c r="F12" s="39"/>
      <c r="G12" s="20"/>
      <c r="H12" s="11"/>
      <c r="I12" s="16"/>
      <c r="J12" s="18"/>
      <c r="K12" s="91"/>
      <c r="L12" s="18"/>
    </row>
    <row r="13" spans="1:20">
      <c r="B13" s="39" t="s">
        <v>599</v>
      </c>
      <c r="C13" s="20"/>
      <c r="D13" s="11">
        <v>215</v>
      </c>
      <c r="E13" s="117"/>
      <c r="F13" s="39"/>
      <c r="G13" s="21"/>
      <c r="H13" s="11"/>
      <c r="I13" s="18"/>
      <c r="J13" s="18"/>
      <c r="K13" s="91"/>
      <c r="L13" s="18"/>
    </row>
    <row r="14" spans="1:20">
      <c r="B14" s="39" t="s">
        <v>589</v>
      </c>
      <c r="C14" s="20"/>
      <c r="D14" s="24">
        <v>950</v>
      </c>
      <c r="E14" s="117"/>
      <c r="F14" s="39"/>
      <c r="G14" s="21"/>
      <c r="H14" s="11"/>
      <c r="I14" s="18"/>
      <c r="J14" s="18"/>
      <c r="K14" s="91"/>
      <c r="L14" s="18"/>
    </row>
    <row r="15" spans="1:20">
      <c r="B15" s="39" t="s">
        <v>590</v>
      </c>
      <c r="C15" s="20"/>
      <c r="D15" s="24">
        <v>700</v>
      </c>
      <c r="E15" s="39"/>
      <c r="F15" s="39"/>
      <c r="G15" s="21"/>
      <c r="H15" s="11"/>
      <c r="I15" s="18"/>
      <c r="J15" s="91"/>
      <c r="K15" s="18"/>
      <c r="L15" s="18"/>
    </row>
    <row r="16" spans="1:20">
      <c r="B16" s="39" t="s">
        <v>597</v>
      </c>
      <c r="C16" s="20"/>
      <c r="D16" s="24">
        <v>250</v>
      </c>
      <c r="E16" s="39"/>
      <c r="F16" s="39"/>
      <c r="G16" s="21"/>
      <c r="H16" s="11"/>
      <c r="I16" s="18"/>
      <c r="J16" s="18"/>
      <c r="K16" s="91"/>
      <c r="L16" s="18"/>
    </row>
    <row r="17" spans="1:24">
      <c r="B17" s="39" t="s">
        <v>598</v>
      </c>
      <c r="C17" s="20">
        <v>361</v>
      </c>
      <c r="D17" s="11"/>
      <c r="E17" s="39"/>
      <c r="F17" s="18"/>
      <c r="G17" s="21"/>
      <c r="H17" s="11"/>
      <c r="I17" s="18"/>
      <c r="J17" s="18"/>
      <c r="K17" s="18"/>
      <c r="L17" s="18"/>
    </row>
    <row r="18" spans="1:24">
      <c r="B18" s="39" t="s">
        <v>600</v>
      </c>
      <c r="C18" s="20"/>
      <c r="D18" s="24">
        <v>48</v>
      </c>
      <c r="G18" s="20"/>
      <c r="H18" s="11"/>
    </row>
    <row r="19" spans="1:24">
      <c r="B19" s="39"/>
      <c r="C19" s="20"/>
      <c r="D19" s="11"/>
      <c r="E19" s="96"/>
      <c r="G19" s="20"/>
      <c r="H19" s="11"/>
      <c r="J19" s="2"/>
    </row>
    <row r="20" spans="1:24">
      <c r="B20" s="39"/>
      <c r="C20" s="20"/>
      <c r="D20" s="11"/>
      <c r="G20" s="20"/>
      <c r="H20" s="19"/>
    </row>
    <row r="21" spans="1:24">
      <c r="A21" s="39"/>
      <c r="B21" s="39"/>
      <c r="C21" s="20"/>
      <c r="D21" s="11"/>
      <c r="G21" s="20"/>
      <c r="H21" s="19"/>
    </row>
    <row r="22" spans="1:24">
      <c r="B22" s="39"/>
      <c r="C22" s="20"/>
      <c r="D22" s="11"/>
      <c r="G22" s="20"/>
      <c r="H22" s="19"/>
    </row>
    <row r="23" spans="1:24">
      <c r="B23" s="39"/>
      <c r="C23" s="20"/>
      <c r="D23" s="11"/>
      <c r="G23" s="20"/>
      <c r="H23" s="19"/>
    </row>
    <row r="24" spans="1:24">
      <c r="B24" s="39"/>
      <c r="C24" s="20"/>
      <c r="D24" s="11"/>
      <c r="G24" s="20"/>
      <c r="H24" s="19"/>
    </row>
    <row r="25" spans="1:24">
      <c r="B25" s="39"/>
      <c r="C25" s="20"/>
      <c r="D25" s="11"/>
      <c r="G25" s="20"/>
      <c r="H25" s="19"/>
    </row>
    <row r="26" spans="1:24">
      <c r="D26" s="11"/>
      <c r="G26" s="20"/>
      <c r="H26" s="19"/>
    </row>
    <row r="27" spans="1:24">
      <c r="B27" s="39"/>
      <c r="C27" s="1"/>
      <c r="D27" s="11"/>
      <c r="G27" s="20"/>
      <c r="H27" s="19"/>
    </row>
    <row r="28" spans="1:24">
      <c r="B28" t="s">
        <v>2</v>
      </c>
      <c r="C28" s="2">
        <f>SUM(C2:C24)</f>
        <v>18429.41</v>
      </c>
      <c r="D28" s="2">
        <f>SUM(D3:D26)</f>
        <v>14145.380000000001</v>
      </c>
      <c r="F28" t="s">
        <v>2</v>
      </c>
      <c r="G28" s="2">
        <f>SUM(G2:G18)</f>
        <v>4610.6499999999996</v>
      </c>
      <c r="H28" s="2">
        <f>SUM(H3:H8)</f>
        <v>549</v>
      </c>
      <c r="J28" t="s">
        <v>2</v>
      </c>
      <c r="K28" s="2">
        <f>SUM(K1:K10)</f>
        <v>10237.94</v>
      </c>
      <c r="L28" s="2">
        <f>SUM(L2:L10)</f>
        <v>10244.709999999999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4284.0299999999988</v>
      </c>
      <c r="H29" s="2">
        <f>G28-H28</f>
        <v>4061.6499999999996</v>
      </c>
      <c r="L29" s="2">
        <f>K28-L28</f>
        <v>-6.7699999999986176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-3251.1399999999985</v>
      </c>
      <c r="V31" s="102">
        <v>42753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6">
      <c r="B33" t="s">
        <v>0</v>
      </c>
      <c r="C33" s="3">
        <v>0</v>
      </c>
      <c r="D33" s="4"/>
      <c r="F33" t="s">
        <v>0</v>
      </c>
      <c r="G33" s="3">
        <v>-13338.18</v>
      </c>
      <c r="H33" s="4"/>
      <c r="J33" t="s">
        <v>0</v>
      </c>
      <c r="K33" s="3">
        <v>-3798.02</v>
      </c>
      <c r="L33" s="4"/>
      <c r="M33" s="33"/>
      <c r="N33" t="s">
        <v>0</v>
      </c>
      <c r="O33" s="3">
        <v>-22950.13</v>
      </c>
      <c r="P33" s="4"/>
      <c r="R33" t="s">
        <v>469</v>
      </c>
      <c r="S33" s="1">
        <v>-4998</v>
      </c>
      <c r="T33">
        <v>18</v>
      </c>
      <c r="U33" s="2">
        <f t="shared" ref="U33:U38" si="0">S33/T33</f>
        <v>-277.66666666666669</v>
      </c>
      <c r="V33">
        <v>9</v>
      </c>
      <c r="W33" s="2">
        <f t="shared" ref="W33:W38" si="1">U33*V33</f>
        <v>-2499</v>
      </c>
      <c r="X33" s="2">
        <f t="shared" ref="X33:X38" si="2">S33-W33</f>
        <v>-2499</v>
      </c>
    </row>
    <row r="34" spans="2:26">
      <c r="B34" s="39" t="s">
        <v>13</v>
      </c>
      <c r="C34" s="1"/>
      <c r="D34" s="1">
        <v>0</v>
      </c>
      <c r="G34" s="1"/>
      <c r="H34" s="11"/>
      <c r="K34" s="85"/>
      <c r="L34" s="86"/>
      <c r="M34" s="29"/>
      <c r="O34" s="85"/>
      <c r="P34" s="86"/>
      <c r="Q34" s="93"/>
      <c r="R34" t="s">
        <v>132</v>
      </c>
      <c r="S34" s="101">
        <v>-3144</v>
      </c>
      <c r="T34" s="118">
        <v>6</v>
      </c>
      <c r="U34" s="119">
        <f t="shared" si="0"/>
        <v>-524</v>
      </c>
      <c r="V34" s="118">
        <v>6</v>
      </c>
      <c r="W34" s="119">
        <f t="shared" si="1"/>
        <v>-3144</v>
      </c>
      <c r="X34" s="119">
        <f t="shared" si="2"/>
        <v>0</v>
      </c>
    </row>
    <row r="35" spans="2:26">
      <c r="B35" s="39"/>
      <c r="C35" s="1"/>
      <c r="D35" s="11"/>
      <c r="F35" t="s">
        <v>179</v>
      </c>
      <c r="H35" s="11">
        <v>108</v>
      </c>
      <c r="J35" t="s">
        <v>596</v>
      </c>
      <c r="K35" s="23">
        <v>700</v>
      </c>
      <c r="L35" s="11"/>
      <c r="N35" s="39" t="s">
        <v>555</v>
      </c>
      <c r="O35" s="19">
        <v>1000</v>
      </c>
      <c r="P35" s="14"/>
      <c r="R35" t="s">
        <v>277</v>
      </c>
      <c r="S35" s="101">
        <v>-18198.95</v>
      </c>
      <c r="T35" s="118">
        <v>6</v>
      </c>
      <c r="U35" s="119">
        <f t="shared" si="0"/>
        <v>-3033.1583333333333</v>
      </c>
      <c r="V35" s="118">
        <v>6</v>
      </c>
      <c r="W35" s="119">
        <f t="shared" si="1"/>
        <v>-18198.95</v>
      </c>
      <c r="X35" s="119">
        <f t="shared" si="2"/>
        <v>0</v>
      </c>
    </row>
    <row r="36" spans="2:26">
      <c r="B36" s="39"/>
      <c r="C36" s="1"/>
      <c r="D36" s="11"/>
      <c r="F36" t="s">
        <v>21</v>
      </c>
      <c r="H36" s="11">
        <v>30</v>
      </c>
      <c r="J36" t="s">
        <v>594</v>
      </c>
      <c r="K36" s="23">
        <v>950</v>
      </c>
      <c r="L36" s="11"/>
      <c r="N36" s="39"/>
      <c r="O36" s="19"/>
      <c r="P36" s="11"/>
      <c r="R36" t="s">
        <v>470</v>
      </c>
      <c r="S36" s="101">
        <v>-7768.75</v>
      </c>
      <c r="T36" s="118">
        <v>3</v>
      </c>
      <c r="U36" s="119">
        <f t="shared" si="0"/>
        <v>-2589.5833333333335</v>
      </c>
      <c r="V36" s="118">
        <v>3</v>
      </c>
      <c r="W36" s="119">
        <f t="shared" si="1"/>
        <v>-7768.75</v>
      </c>
      <c r="X36" s="119">
        <f t="shared" si="2"/>
        <v>0</v>
      </c>
    </row>
    <row r="37" spans="2:26">
      <c r="B37" s="39"/>
      <c r="C37" s="20"/>
      <c r="D37" s="11"/>
      <c r="F37" t="s">
        <v>427</v>
      </c>
      <c r="H37" s="11">
        <v>719</v>
      </c>
      <c r="J37" t="s">
        <v>595</v>
      </c>
      <c r="K37" s="23">
        <v>1000</v>
      </c>
      <c r="L37" s="14"/>
      <c r="N37" s="39"/>
      <c r="O37" s="19"/>
      <c r="P37" s="11"/>
      <c r="R37" t="s">
        <v>468</v>
      </c>
      <c r="S37" s="1">
        <v>-5934</v>
      </c>
      <c r="T37">
        <v>6</v>
      </c>
      <c r="U37" s="2">
        <f t="shared" si="0"/>
        <v>-989</v>
      </c>
      <c r="V37">
        <v>3</v>
      </c>
      <c r="W37" s="2">
        <f t="shared" si="1"/>
        <v>-2967</v>
      </c>
      <c r="X37" s="2">
        <f t="shared" si="2"/>
        <v>-2967</v>
      </c>
    </row>
    <row r="38" spans="2:26">
      <c r="B38" s="39"/>
      <c r="C38" s="20"/>
      <c r="D38" s="11"/>
      <c r="F38" s="116" t="s">
        <v>593</v>
      </c>
      <c r="H38" s="11">
        <v>129</v>
      </c>
      <c r="K38" s="19"/>
      <c r="L38" s="12"/>
      <c r="M38" s="29"/>
      <c r="N38" s="39" t="s">
        <v>549</v>
      </c>
      <c r="O38" s="19">
        <v>2500</v>
      </c>
      <c r="Q38" s="29"/>
      <c r="R38" t="s">
        <v>471</v>
      </c>
      <c r="S38" s="1">
        <v>-6588.04</v>
      </c>
      <c r="T38" s="118">
        <v>12</v>
      </c>
      <c r="U38" s="2">
        <f t="shared" si="0"/>
        <v>-549.00333333333333</v>
      </c>
      <c r="V38" s="118">
        <v>3</v>
      </c>
      <c r="W38" s="2">
        <f t="shared" si="1"/>
        <v>-1647.01</v>
      </c>
      <c r="X38" s="2">
        <f t="shared" si="2"/>
        <v>-4941.03</v>
      </c>
    </row>
    <row r="39" spans="2:26">
      <c r="B39" s="39"/>
      <c r="C39" s="20"/>
      <c r="D39" s="11"/>
      <c r="F39" t="s">
        <v>591</v>
      </c>
      <c r="G39" s="1">
        <v>2500</v>
      </c>
      <c r="H39" s="14"/>
      <c r="J39" t="s">
        <v>387</v>
      </c>
      <c r="K39" s="19">
        <v>350</v>
      </c>
      <c r="L39" s="14"/>
      <c r="M39" s="29"/>
      <c r="N39" s="39"/>
      <c r="O39" s="19"/>
      <c r="P39" s="11"/>
      <c r="Q39" s="29"/>
      <c r="R39" t="s">
        <v>11</v>
      </c>
      <c r="S39" s="2">
        <f>SUM(S33:S38)</f>
        <v>-46631.74</v>
      </c>
      <c r="X39" s="2">
        <f>SUM(X33:X38)</f>
        <v>-10407.029999999999</v>
      </c>
    </row>
    <row r="40" spans="2:26">
      <c r="B40" s="39"/>
      <c r="C40" s="20"/>
      <c r="D40" s="11"/>
      <c r="F40" t="s">
        <v>592</v>
      </c>
      <c r="G40" s="1">
        <v>1452.94</v>
      </c>
      <c r="H40" s="14"/>
      <c r="K40" s="19"/>
      <c r="L40" s="14"/>
      <c r="N40" s="39"/>
      <c r="O40" s="19"/>
      <c r="P40" s="14"/>
      <c r="Q40" s="29"/>
    </row>
    <row r="41" spans="2:26">
      <c r="B41" s="39"/>
      <c r="C41" s="20"/>
      <c r="D41" s="11"/>
      <c r="H41" s="14"/>
      <c r="K41" s="19"/>
      <c r="L41" s="14"/>
      <c r="N41" s="39"/>
      <c r="O41" s="19"/>
      <c r="P41" s="11"/>
      <c r="Q41" s="8"/>
    </row>
    <row r="42" spans="2:26">
      <c r="B42" s="39"/>
      <c r="C42" s="20"/>
      <c r="D42" s="11"/>
      <c r="H42" s="14"/>
      <c r="K42" s="19"/>
      <c r="L42" s="14"/>
      <c r="N42" s="39"/>
      <c r="O42" s="19"/>
      <c r="P42" s="11"/>
      <c r="S42" s="2"/>
    </row>
    <row r="43" spans="2:26">
      <c r="B43" s="39"/>
      <c r="C43" s="20"/>
      <c r="D43" s="11"/>
      <c r="H43" s="14"/>
      <c r="K43" s="19"/>
      <c r="L43" s="14"/>
      <c r="N43" s="39"/>
      <c r="O43" s="19"/>
      <c r="P43" s="11"/>
      <c r="S43" s="2"/>
    </row>
    <row r="44" spans="2:26">
      <c r="B44" s="12"/>
      <c r="C44" s="20"/>
      <c r="D44" s="11"/>
      <c r="E44" s="29"/>
      <c r="H44" s="14"/>
      <c r="K44" s="19"/>
      <c r="L44" s="11"/>
      <c r="O44" s="19"/>
      <c r="P44" s="11"/>
      <c r="S44" s="2"/>
      <c r="Z44">
        <f>1000*(0.2699/365)*15</f>
        <v>11.091780821917807</v>
      </c>
    </row>
    <row r="45" spans="2:26">
      <c r="B45" s="12"/>
      <c r="C45" s="20"/>
      <c r="D45" s="11"/>
      <c r="E45" s="29"/>
      <c r="H45" s="14"/>
      <c r="K45" s="19"/>
      <c r="L45" s="14"/>
      <c r="N45" s="44"/>
      <c r="O45" s="44"/>
      <c r="P45" s="92"/>
      <c r="S45" s="2"/>
    </row>
    <row r="46" spans="2:26">
      <c r="B46" s="12"/>
      <c r="C46" s="20"/>
      <c r="D46" s="11"/>
      <c r="H46" s="11"/>
      <c r="L46" s="11"/>
      <c r="M46" t="s">
        <v>286</v>
      </c>
      <c r="S46" s="2"/>
    </row>
    <row r="47" spans="2:26">
      <c r="B47" s="12"/>
      <c r="C47" s="20"/>
      <c r="D47" s="11"/>
      <c r="E47" s="29"/>
      <c r="H47" s="14"/>
      <c r="L47" s="11"/>
      <c r="M47" s="33"/>
    </row>
    <row r="48" spans="2:26">
      <c r="B48" s="12"/>
      <c r="C48" s="1"/>
      <c r="D48" s="11"/>
      <c r="E48" s="29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-9385.24</v>
      </c>
      <c r="H51" s="2">
        <f>SUM(H33:H49)</f>
        <v>986</v>
      </c>
      <c r="J51" t="s">
        <v>2</v>
      </c>
      <c r="K51" s="2">
        <f>SUM(K33:K48)</f>
        <v>-798.02</v>
      </c>
      <c r="L51" s="2">
        <f>SUM(L33:L46)</f>
        <v>0</v>
      </c>
      <c r="N51" t="s">
        <v>2</v>
      </c>
      <c r="O51" s="2">
        <f>SUM(O33:O43)</f>
        <v>-19450.13</v>
      </c>
      <c r="P51" s="2">
        <f>SUM(P33:P42)</f>
        <v>0</v>
      </c>
    </row>
    <row r="52" spans="2:28">
      <c r="D52" s="2">
        <f>C51-D51</f>
        <v>0</v>
      </c>
      <c r="H52" s="2">
        <f>G51-H51</f>
        <v>-10371.24</v>
      </c>
      <c r="L52" s="2">
        <f>K51-L51</f>
        <v>-798.02</v>
      </c>
      <c r="P52" s="2">
        <f>O51-P51</f>
        <v>-19450.13</v>
      </c>
      <c r="U52" s="2"/>
      <c r="AA52" t="s">
        <v>239</v>
      </c>
      <c r="AB52" s="1">
        <v>10261.049999999999</v>
      </c>
    </row>
    <row r="53" spans="2:28">
      <c r="P53" s="2">
        <f>P52-X39</f>
        <v>-9043.1000000000022</v>
      </c>
      <c r="R53" s="2"/>
      <c r="AA53" t="s">
        <v>240</v>
      </c>
      <c r="AB53" s="1">
        <v>7081.32</v>
      </c>
    </row>
    <row r="54" spans="2:28">
      <c r="B54" t="s">
        <v>282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-1360.52</v>
      </c>
      <c r="L55" s="2">
        <v>0</v>
      </c>
      <c r="P55" s="2">
        <f>-277.67-549</f>
        <v>-826.67000000000007</v>
      </c>
      <c r="AA55" t="s">
        <v>242</v>
      </c>
      <c r="AB55" s="2">
        <f>AB54/2</f>
        <v>1589.8649999999998</v>
      </c>
    </row>
    <row r="56" spans="2:28">
      <c r="V56" t="s">
        <v>114</v>
      </c>
      <c r="W56" t="s">
        <v>115</v>
      </c>
      <c r="X56" t="s">
        <v>116</v>
      </c>
    </row>
    <row r="57" spans="2:28">
      <c r="D57" t="s">
        <v>138</v>
      </c>
      <c r="E57" s="34" t="s">
        <v>120</v>
      </c>
      <c r="F57" s="41"/>
      <c r="G57" s="41"/>
      <c r="H57" s="51">
        <v>1113.6600000000001</v>
      </c>
      <c r="I57" s="41"/>
      <c r="J57" s="41"/>
      <c r="K57" s="41"/>
      <c r="L57" s="51">
        <v>0</v>
      </c>
      <c r="M57" s="41"/>
      <c r="N57" s="41"/>
      <c r="O57" s="41"/>
      <c r="P57" s="53"/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/>
      <c r="S58" s="1">
        <f>ABS(H55+L55+P55)</f>
        <v>2187.19</v>
      </c>
      <c r="T58" t="s">
        <v>98</v>
      </c>
      <c r="V58" s="1">
        <f>Z59-Z60</f>
        <v>718.67999999999984</v>
      </c>
      <c r="W58" s="2">
        <f>S58-V58</f>
        <v>1468.5100000000002</v>
      </c>
      <c r="X58" s="2">
        <f>W58/2</f>
        <v>734.25500000000011</v>
      </c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-246.8599999999999</v>
      </c>
      <c r="I59" s="44"/>
      <c r="J59" s="44"/>
      <c r="K59" s="44"/>
      <c r="L59" s="45">
        <f>L57+L55</f>
        <v>0</v>
      </c>
      <c r="M59" s="44"/>
      <c r="N59" s="44"/>
      <c r="O59" s="44"/>
      <c r="P59" s="45"/>
      <c r="S59" s="1"/>
      <c r="Z59" s="1">
        <v>3900</v>
      </c>
      <c r="AA59" s="2">
        <f>X60+Z59</f>
        <v>4634.2550000000001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117</v>
      </c>
      <c r="X60" s="2">
        <f>ABS(X58)</f>
        <v>734.25500000000011</v>
      </c>
      <c r="Z60" s="1">
        <v>3181.32</v>
      </c>
      <c r="AA60" s="2">
        <f>X61+Z60</f>
        <v>4634.2550000000001</v>
      </c>
    </row>
    <row r="61" spans="2:28">
      <c r="D61" t="s">
        <v>139</v>
      </c>
      <c r="H61" s="2"/>
      <c r="L61" s="2"/>
      <c r="P61" s="2"/>
      <c r="W61" t="s">
        <v>118</v>
      </c>
      <c r="X61" s="1">
        <f>V58+ABS(X58)</f>
        <v>1452.9349999999999</v>
      </c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/>
      <c r="I64" s="44"/>
      <c r="J64" s="44"/>
      <c r="K64" s="44"/>
      <c r="L64" s="45"/>
      <c r="M64" s="44"/>
      <c r="N64" s="44"/>
      <c r="O64" s="44"/>
      <c r="P64" s="45"/>
    </row>
    <row r="65" spans="6:24">
      <c r="L65" s="60"/>
      <c r="P65" s="27"/>
      <c r="X65" s="1"/>
    </row>
    <row r="66" spans="6:24">
      <c r="X66" s="2"/>
    </row>
    <row r="70" spans="6:24">
      <c r="F70" s="2">
        <f>13338.18+H52</f>
        <v>2966.9400000000005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75" priority="1" operator="lessThan">
      <formula>0</formula>
    </cfRule>
    <cfRule type="cellIs" dxfId="74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Hoja23"/>
  <dimension ref="A1:AB84"/>
  <sheetViews>
    <sheetView topLeftCell="E13" workbookViewId="0">
      <selection activeCell="P39" sqref="P39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617.25</v>
      </c>
      <c r="D2" s="74"/>
      <c r="E2" s="18"/>
      <c r="F2" s="18" t="s">
        <v>0</v>
      </c>
      <c r="G2" s="75">
        <v>1499.99</v>
      </c>
      <c r="H2" s="74"/>
      <c r="I2" s="18"/>
      <c r="J2" s="18" t="s">
        <v>0</v>
      </c>
      <c r="K2" s="73">
        <v>2500.1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750.88</v>
      </c>
      <c r="D3" s="11"/>
      <c r="E3" s="76"/>
      <c r="F3" s="18"/>
      <c r="G3" s="75"/>
      <c r="H3" s="11"/>
      <c r="I3" s="18"/>
      <c r="J3" s="18" t="s">
        <v>620</v>
      </c>
      <c r="K3" s="20">
        <v>3.18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40</v>
      </c>
      <c r="C4" s="23">
        <v>15625.16</v>
      </c>
      <c r="D4" s="11"/>
      <c r="E4" s="18"/>
      <c r="F4" s="18" t="s">
        <v>583</v>
      </c>
      <c r="G4" s="23">
        <v>764.73</v>
      </c>
      <c r="H4" s="11"/>
      <c r="I4" s="18"/>
      <c r="J4" s="18" t="s">
        <v>621</v>
      </c>
      <c r="K4" s="20"/>
      <c r="L4" s="77">
        <v>1501.11</v>
      </c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18" t="s">
        <v>601</v>
      </c>
      <c r="C5" s="23">
        <v>950</v>
      </c>
      <c r="D5" s="11"/>
      <c r="E5" s="18"/>
      <c r="F5" s="18" t="s">
        <v>604</v>
      </c>
      <c r="G5" s="23">
        <v>250</v>
      </c>
      <c r="H5" s="11"/>
      <c r="I5" s="18"/>
      <c r="J5" s="18"/>
      <c r="K5" s="20"/>
      <c r="L5" s="11"/>
      <c r="N5" s="18" t="s">
        <v>497</v>
      </c>
      <c r="O5" s="20">
        <v>2500</v>
      </c>
      <c r="P5" s="11"/>
      <c r="R5" s="18"/>
      <c r="S5" s="20"/>
      <c r="T5" s="11"/>
    </row>
    <row r="6" spans="1:20">
      <c r="B6" s="18" t="s">
        <v>602</v>
      </c>
      <c r="C6" s="20"/>
      <c r="D6" s="128">
        <v>340</v>
      </c>
      <c r="E6" s="18"/>
      <c r="F6" s="18" t="s">
        <v>549</v>
      </c>
      <c r="G6" s="23">
        <v>2500</v>
      </c>
      <c r="H6" s="11"/>
      <c r="I6" s="76"/>
      <c r="J6" s="18"/>
      <c r="K6" s="20"/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18" t="s">
        <v>603</v>
      </c>
      <c r="C7" s="20"/>
      <c r="D7" s="128">
        <v>5000</v>
      </c>
      <c r="E7" s="76"/>
      <c r="F7" s="18" t="s">
        <v>607</v>
      </c>
      <c r="G7" s="23">
        <v>1500</v>
      </c>
      <c r="H7" s="11"/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409</v>
      </c>
      <c r="C8" s="20"/>
      <c r="D8" s="11">
        <v>500</v>
      </c>
      <c r="E8" s="18"/>
      <c r="F8" s="39" t="s">
        <v>622</v>
      </c>
      <c r="G8" s="23">
        <v>950</v>
      </c>
      <c r="H8" s="11"/>
      <c r="I8" s="76"/>
      <c r="J8" s="18"/>
      <c r="K8" s="20"/>
      <c r="L8" s="39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604</v>
      </c>
      <c r="C9" s="20"/>
      <c r="D9" s="24">
        <v>250</v>
      </c>
      <c r="E9" s="18"/>
      <c r="F9" s="39" t="s">
        <v>623</v>
      </c>
      <c r="G9" s="20"/>
      <c r="H9" s="24">
        <v>150</v>
      </c>
      <c r="I9" s="18"/>
      <c r="J9" s="18"/>
      <c r="K9" s="18"/>
      <c r="L9" s="18"/>
      <c r="N9" s="18"/>
      <c r="O9" s="18"/>
      <c r="P9" s="20"/>
      <c r="R9" s="18"/>
      <c r="S9" s="18"/>
      <c r="T9" s="18"/>
    </row>
    <row r="10" spans="1:20">
      <c r="B10" s="39" t="s">
        <v>610</v>
      </c>
      <c r="C10" s="20"/>
      <c r="D10" s="11">
        <v>1500</v>
      </c>
      <c r="E10" s="76"/>
      <c r="F10" s="39" t="s">
        <v>624</v>
      </c>
      <c r="G10" s="20"/>
      <c r="H10" s="24">
        <v>24</v>
      </c>
      <c r="I10" s="18"/>
      <c r="J10" s="18"/>
      <c r="K10" s="18"/>
      <c r="L10" s="18"/>
      <c r="N10" s="18"/>
      <c r="O10" s="18"/>
      <c r="P10" s="18"/>
      <c r="R10" s="18"/>
      <c r="S10" s="18"/>
      <c r="T10" s="18"/>
    </row>
    <row r="11" spans="1:20">
      <c r="B11" s="39" t="s">
        <v>611</v>
      </c>
      <c r="C11" s="20"/>
      <c r="D11" s="24">
        <v>1500</v>
      </c>
      <c r="E11" s="39"/>
      <c r="F11" s="91" t="s">
        <v>625</v>
      </c>
      <c r="G11" s="20"/>
      <c r="H11" s="24">
        <v>2500</v>
      </c>
      <c r="I11" s="18"/>
      <c r="J11" s="18"/>
      <c r="K11" s="18"/>
      <c r="L11" s="18"/>
    </row>
    <row r="12" spans="1:20">
      <c r="B12" s="39" t="s">
        <v>608</v>
      </c>
      <c r="C12" s="20"/>
      <c r="D12" s="24">
        <v>764.73</v>
      </c>
      <c r="E12" s="39"/>
      <c r="F12" s="39" t="s">
        <v>626</v>
      </c>
      <c r="G12" s="20"/>
      <c r="H12" s="24">
        <v>989</v>
      </c>
      <c r="I12" s="16" t="s">
        <v>627</v>
      </c>
      <c r="J12" s="18"/>
      <c r="K12" s="91"/>
      <c r="L12" s="18"/>
    </row>
    <row r="13" spans="1:20">
      <c r="B13" s="39" t="s">
        <v>549</v>
      </c>
      <c r="C13" s="20"/>
      <c r="D13" s="24">
        <v>2500</v>
      </c>
      <c r="E13" s="117"/>
      <c r="F13" s="39" t="s">
        <v>583</v>
      </c>
      <c r="G13" s="21"/>
      <c r="H13" s="24">
        <v>764.73</v>
      </c>
      <c r="I13" s="18"/>
      <c r="J13" s="18"/>
      <c r="K13" s="91"/>
      <c r="L13" s="18"/>
    </row>
    <row r="14" spans="1:20">
      <c r="B14" s="39" t="s">
        <v>548</v>
      </c>
      <c r="C14" s="20"/>
      <c r="D14" s="24">
        <v>3500</v>
      </c>
      <c r="E14" s="117"/>
      <c r="F14" s="39" t="s">
        <v>631</v>
      </c>
      <c r="G14" s="70">
        <v>12900</v>
      </c>
      <c r="H14" s="11"/>
      <c r="I14" s="18"/>
      <c r="J14" s="18"/>
      <c r="K14" s="91"/>
      <c r="L14" s="18"/>
    </row>
    <row r="15" spans="1:20">
      <c r="B15" s="39" t="s">
        <v>609</v>
      </c>
      <c r="C15" s="23">
        <v>361</v>
      </c>
      <c r="D15" s="11"/>
      <c r="E15" s="39"/>
      <c r="F15" s="39" t="s">
        <v>632</v>
      </c>
      <c r="G15" s="21"/>
      <c r="H15" s="24">
        <v>6990</v>
      </c>
      <c r="I15" s="18"/>
      <c r="J15" s="91"/>
      <c r="K15" s="18"/>
      <c r="L15" s="18"/>
    </row>
    <row r="16" spans="1:20">
      <c r="B16" s="39" t="s">
        <v>612</v>
      </c>
      <c r="C16" s="20"/>
      <c r="D16" s="24">
        <v>950</v>
      </c>
      <c r="E16" s="39"/>
      <c r="F16" s="39"/>
      <c r="G16" s="21"/>
      <c r="H16" s="11"/>
      <c r="I16" s="18"/>
      <c r="J16" s="18"/>
      <c r="K16" s="91"/>
      <c r="L16" s="18"/>
    </row>
    <row r="17" spans="1:24">
      <c r="B17" s="39" t="s">
        <v>201</v>
      </c>
      <c r="C17" s="20"/>
      <c r="D17" s="11">
        <v>1000</v>
      </c>
      <c r="E17" s="39"/>
      <c r="F17" s="18"/>
      <c r="G17" s="21"/>
      <c r="H17" s="11"/>
      <c r="I17" s="18"/>
      <c r="J17" s="18"/>
      <c r="K17" s="18"/>
      <c r="L17" s="18"/>
    </row>
    <row r="18" spans="1:24">
      <c r="B18" s="39" t="s">
        <v>613</v>
      </c>
      <c r="C18" s="23">
        <v>125.47</v>
      </c>
      <c r="D18" s="11"/>
      <c r="G18" s="20"/>
      <c r="H18" s="11"/>
    </row>
    <row r="19" spans="1:24">
      <c r="B19" s="39" t="s">
        <v>614</v>
      </c>
      <c r="C19" s="23">
        <v>302.13</v>
      </c>
      <c r="D19" s="11"/>
      <c r="E19" s="96"/>
      <c r="G19" s="20"/>
      <c r="H19" s="11"/>
      <c r="J19" s="2"/>
    </row>
    <row r="20" spans="1:24">
      <c r="B20" s="39" t="s">
        <v>614</v>
      </c>
      <c r="C20" s="23">
        <v>24.6</v>
      </c>
      <c r="D20" s="11"/>
      <c r="G20" s="20"/>
      <c r="H20" s="19"/>
    </row>
    <row r="21" spans="1:24">
      <c r="A21" s="39"/>
      <c r="B21" s="39" t="s">
        <v>615</v>
      </c>
      <c r="C21" s="23">
        <v>792</v>
      </c>
      <c r="D21" s="11"/>
      <c r="G21" s="20"/>
      <c r="H21" s="19"/>
    </row>
    <row r="22" spans="1:24">
      <c r="B22" s="39" t="s">
        <v>349</v>
      </c>
      <c r="C22" s="20"/>
      <c r="D22" s="24">
        <v>1421.46</v>
      </c>
      <c r="G22" s="20"/>
      <c r="H22" s="19"/>
    </row>
    <row r="23" spans="1:24">
      <c r="B23" s="39" t="s">
        <v>616</v>
      </c>
      <c r="C23" s="23">
        <v>950</v>
      </c>
      <c r="D23" s="11"/>
      <c r="G23" s="20"/>
      <c r="H23" s="19"/>
    </row>
    <row r="24" spans="1:24">
      <c r="B24" s="39" t="s">
        <v>617</v>
      </c>
      <c r="C24" s="20"/>
      <c r="D24" s="24">
        <v>950</v>
      </c>
      <c r="G24" s="20"/>
      <c r="H24" s="19"/>
    </row>
    <row r="25" spans="1:24">
      <c r="B25" s="39" t="s">
        <v>618</v>
      </c>
      <c r="C25" s="23">
        <v>1501.11</v>
      </c>
      <c r="D25" s="11"/>
      <c r="G25" s="20"/>
      <c r="H25" s="19"/>
    </row>
    <row r="26" spans="1:24">
      <c r="B26" s="39" t="s">
        <v>619</v>
      </c>
      <c r="C26" s="23">
        <v>25</v>
      </c>
      <c r="D26" s="11"/>
      <c r="G26" s="20"/>
      <c r="H26" s="19"/>
    </row>
    <row r="27" spans="1:24">
      <c r="B27" s="39"/>
      <c r="C27" s="1"/>
      <c r="D27" s="11"/>
      <c r="G27" s="20"/>
      <c r="H27" s="19"/>
    </row>
    <row r="28" spans="1:24">
      <c r="B28" t="s">
        <v>2</v>
      </c>
      <c r="C28" s="2">
        <f>SUM(C2:C26)</f>
        <v>22024.600000000002</v>
      </c>
      <c r="D28" s="2">
        <f>SUM(D3:D26)</f>
        <v>20176.189999999999</v>
      </c>
      <c r="F28" t="s">
        <v>2</v>
      </c>
      <c r="G28" s="2">
        <f>SUM(G2:G18)</f>
        <v>20364.72</v>
      </c>
      <c r="H28" s="2">
        <f>SUM(H3:H19)</f>
        <v>11417.73</v>
      </c>
      <c r="J28" t="s">
        <v>2</v>
      </c>
      <c r="K28" s="2">
        <f>SUM(K1:K10)</f>
        <v>2503.2799999999997</v>
      </c>
      <c r="L28" s="2">
        <f>SUM(L2:L10)</f>
        <v>1501.11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1848.4100000000035</v>
      </c>
      <c r="H29" s="2">
        <f>G28-H28</f>
        <v>8946.9900000000016</v>
      </c>
      <c r="L29" s="2">
        <f>K28-L28</f>
        <v>1002.1699999999998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-815.52000000000339</v>
      </c>
      <c r="V31" s="102">
        <v>42812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6">
      <c r="B33" t="s">
        <v>0</v>
      </c>
      <c r="C33" s="3">
        <v>0</v>
      </c>
      <c r="D33" s="4"/>
      <c r="F33" t="s">
        <v>0</v>
      </c>
      <c r="G33" s="3">
        <v>-12261.54</v>
      </c>
      <c r="H33" s="4"/>
      <c r="J33" t="s">
        <v>0</v>
      </c>
      <c r="K33" s="3">
        <v>-1286.97</v>
      </c>
      <c r="L33" s="4"/>
      <c r="M33" s="33"/>
      <c r="N33" t="s">
        <v>0</v>
      </c>
      <c r="O33" s="3">
        <v>-20672.86</v>
      </c>
      <c r="P33" s="4"/>
      <c r="R33" t="s">
        <v>469</v>
      </c>
      <c r="S33" s="1">
        <v>-4998</v>
      </c>
      <c r="T33">
        <v>18</v>
      </c>
      <c r="U33" s="2">
        <f t="shared" ref="U33:U39" si="0">S33/T33</f>
        <v>-277.66666666666669</v>
      </c>
      <c r="V33">
        <v>10</v>
      </c>
      <c r="W33" s="2">
        <f>U33*V33</f>
        <v>-2776.666666666667</v>
      </c>
      <c r="X33" s="2">
        <f>S33-W33</f>
        <v>-2221.333333333333</v>
      </c>
    </row>
    <row r="34" spans="2:26">
      <c r="B34" s="39" t="s">
        <v>13</v>
      </c>
      <c r="C34" s="1"/>
      <c r="D34" s="1">
        <v>0</v>
      </c>
      <c r="F34" t="s">
        <v>349</v>
      </c>
      <c r="G34" s="23">
        <v>1421.46</v>
      </c>
      <c r="H34" s="11"/>
      <c r="K34" s="85"/>
      <c r="L34" s="86"/>
      <c r="M34" s="29"/>
      <c r="O34" s="85"/>
      <c r="P34" s="86"/>
      <c r="Q34" s="93"/>
      <c r="R34" t="s">
        <v>132</v>
      </c>
      <c r="S34" s="101">
        <v>-3144</v>
      </c>
      <c r="T34" s="118">
        <v>6</v>
      </c>
      <c r="U34" s="119">
        <f t="shared" si="0"/>
        <v>-524</v>
      </c>
      <c r="V34" s="118">
        <v>6</v>
      </c>
      <c r="W34" s="119">
        <f t="shared" ref="W34:W39" si="1">U34*V34</f>
        <v>-3144</v>
      </c>
      <c r="X34" s="119">
        <f t="shared" ref="X34:X39" si="2">S34-W34</f>
        <v>0</v>
      </c>
      <c r="Z34">
        <f>6990+2330</f>
        <v>9320</v>
      </c>
    </row>
    <row r="35" spans="2:26">
      <c r="B35" s="39"/>
      <c r="C35" s="1"/>
      <c r="D35" s="11"/>
      <c r="F35" t="s">
        <v>605</v>
      </c>
      <c r="H35" s="11"/>
      <c r="I35" s="8">
        <v>42809</v>
      </c>
      <c r="K35" s="23"/>
      <c r="L35" s="11"/>
      <c r="N35" s="39"/>
      <c r="O35" s="19"/>
      <c r="P35" s="14"/>
      <c r="R35" t="s">
        <v>277</v>
      </c>
      <c r="S35" s="101">
        <v>-18198.95</v>
      </c>
      <c r="T35" s="118">
        <v>6</v>
      </c>
      <c r="U35" s="119">
        <f t="shared" si="0"/>
        <v>-3033.1583333333333</v>
      </c>
      <c r="V35" s="118">
        <v>6</v>
      </c>
      <c r="W35" s="119">
        <f t="shared" si="1"/>
        <v>-18198.95</v>
      </c>
      <c r="X35" s="119">
        <f t="shared" si="2"/>
        <v>0</v>
      </c>
    </row>
    <row r="36" spans="2:26">
      <c r="B36" s="39"/>
      <c r="C36" s="1"/>
      <c r="D36" s="11"/>
      <c r="F36" t="s">
        <v>540</v>
      </c>
      <c r="G36" s="60">
        <v>3500</v>
      </c>
      <c r="H36" s="11"/>
      <c r="J36" t="s">
        <v>601</v>
      </c>
      <c r="K36" s="23">
        <v>950</v>
      </c>
      <c r="L36" s="11"/>
      <c r="N36" s="39" t="s">
        <v>606</v>
      </c>
      <c r="O36" s="27">
        <v>989</v>
      </c>
      <c r="P36" s="11"/>
      <c r="R36" t="s">
        <v>470</v>
      </c>
      <c r="S36" s="101">
        <v>-7768.75</v>
      </c>
      <c r="T36" s="118">
        <v>3</v>
      </c>
      <c r="U36" s="119">
        <f t="shared" si="0"/>
        <v>-2589.5833333333335</v>
      </c>
      <c r="V36" s="118">
        <v>3</v>
      </c>
      <c r="W36" s="119">
        <f t="shared" si="1"/>
        <v>-7768.75</v>
      </c>
      <c r="X36" s="119">
        <f t="shared" si="2"/>
        <v>0</v>
      </c>
    </row>
    <row r="37" spans="2:26">
      <c r="B37" s="39"/>
      <c r="C37" s="20"/>
      <c r="D37" s="11"/>
      <c r="F37" t="s">
        <v>629</v>
      </c>
      <c r="H37" s="11">
        <v>279.10000000000002</v>
      </c>
      <c r="J37" t="s">
        <v>47</v>
      </c>
      <c r="K37" s="23"/>
      <c r="L37" s="11">
        <v>500</v>
      </c>
      <c r="N37" s="39" t="s">
        <v>540</v>
      </c>
      <c r="O37" s="27">
        <v>2500</v>
      </c>
      <c r="P37" s="11"/>
      <c r="R37" t="s">
        <v>468</v>
      </c>
      <c r="S37" s="1">
        <v>-5934</v>
      </c>
      <c r="T37">
        <v>6</v>
      </c>
      <c r="U37" s="2">
        <f t="shared" si="0"/>
        <v>-989</v>
      </c>
      <c r="V37">
        <v>4</v>
      </c>
      <c r="W37" s="2">
        <f t="shared" si="1"/>
        <v>-3956</v>
      </c>
      <c r="X37" s="2">
        <f t="shared" si="2"/>
        <v>-1978</v>
      </c>
    </row>
    <row r="38" spans="2:26">
      <c r="B38" s="39"/>
      <c r="C38" s="20"/>
      <c r="D38" s="11"/>
      <c r="F38" s="116"/>
      <c r="H38" s="11"/>
      <c r="J38" t="s">
        <v>159</v>
      </c>
      <c r="K38" s="19"/>
      <c r="L38" s="11">
        <v>400</v>
      </c>
      <c r="M38" s="29" t="s">
        <v>628</v>
      </c>
      <c r="N38" s="39" t="s">
        <v>94</v>
      </c>
      <c r="O38" s="27">
        <v>764.73</v>
      </c>
      <c r="Q38" s="29"/>
      <c r="R38" t="s">
        <v>471</v>
      </c>
      <c r="S38" s="1">
        <v>-6588.04</v>
      </c>
      <c r="T38" s="118">
        <v>12</v>
      </c>
      <c r="U38" s="2">
        <f t="shared" si="0"/>
        <v>-549.00333333333333</v>
      </c>
      <c r="V38" s="118">
        <v>4</v>
      </c>
      <c r="W38" s="2">
        <f t="shared" si="1"/>
        <v>-2196.0133333333333</v>
      </c>
      <c r="X38" s="2">
        <f t="shared" si="2"/>
        <v>-4392.0266666666666</v>
      </c>
    </row>
    <row r="39" spans="2:26">
      <c r="B39" s="39"/>
      <c r="C39" s="20"/>
      <c r="D39" s="11"/>
      <c r="G39" s="1"/>
      <c r="H39" s="14"/>
      <c r="J39" t="s">
        <v>169</v>
      </c>
      <c r="K39" s="27">
        <v>1000</v>
      </c>
      <c r="L39" s="11"/>
      <c r="M39" s="29"/>
      <c r="N39" s="39" t="s">
        <v>633</v>
      </c>
      <c r="O39" s="19"/>
      <c r="P39" s="11"/>
      <c r="Q39" s="29"/>
      <c r="R39" t="s">
        <v>630</v>
      </c>
      <c r="S39" s="101">
        <v>6990</v>
      </c>
      <c r="T39" s="118">
        <v>3</v>
      </c>
      <c r="U39" s="119">
        <f t="shared" si="0"/>
        <v>2330</v>
      </c>
      <c r="V39" s="118">
        <v>1</v>
      </c>
      <c r="W39" s="119">
        <f t="shared" si="1"/>
        <v>2330</v>
      </c>
      <c r="X39" s="119">
        <f t="shared" si="2"/>
        <v>4660</v>
      </c>
    </row>
    <row r="40" spans="2:26">
      <c r="B40" s="39"/>
      <c r="C40" s="20"/>
      <c r="D40" s="11"/>
      <c r="G40" s="1"/>
      <c r="H40" s="14"/>
      <c r="K40" s="19"/>
      <c r="L40" s="11"/>
      <c r="N40" s="39"/>
      <c r="O40" s="19"/>
      <c r="P40" s="14"/>
      <c r="Q40" s="29"/>
      <c r="R40" t="s">
        <v>11</v>
      </c>
      <c r="S40" s="2">
        <f>SUM(S33:S39)</f>
        <v>-39641.74</v>
      </c>
      <c r="X40" s="2">
        <f>SUM(X33:X39)</f>
        <v>-3931.3600000000006</v>
      </c>
    </row>
    <row r="41" spans="2:26">
      <c r="B41" s="39"/>
      <c r="C41" s="20"/>
      <c r="D41" s="11"/>
      <c r="H41" s="14"/>
      <c r="K41" s="19"/>
      <c r="L41" s="11"/>
      <c r="N41" s="39"/>
      <c r="O41" s="19"/>
      <c r="P41" s="11"/>
      <c r="Q41" s="8"/>
    </row>
    <row r="42" spans="2:26">
      <c r="B42" s="39"/>
      <c r="C42" s="20"/>
      <c r="D42" s="11"/>
      <c r="H42" s="14"/>
      <c r="K42" s="19"/>
      <c r="L42" s="14"/>
      <c r="N42" s="39"/>
      <c r="O42" s="19"/>
      <c r="P42" s="11"/>
      <c r="S42" s="2"/>
    </row>
    <row r="43" spans="2:26">
      <c r="B43" s="39"/>
      <c r="C43" s="20"/>
      <c r="D43" s="11"/>
      <c r="H43" s="14"/>
      <c r="K43" s="19"/>
      <c r="L43" s="14"/>
      <c r="N43" s="39"/>
      <c r="O43" s="19"/>
      <c r="P43" s="11"/>
      <c r="S43" s="2"/>
    </row>
    <row r="44" spans="2:26">
      <c r="B44" s="12"/>
      <c r="C44" s="20"/>
      <c r="D44" s="11"/>
      <c r="E44" s="29"/>
      <c r="H44" s="14"/>
      <c r="K44" s="19"/>
      <c r="L44" s="11"/>
      <c r="O44" s="19"/>
      <c r="P44" s="11"/>
      <c r="S44" s="2"/>
      <c r="Z44">
        <f>1000*(0.2699/365)*15</f>
        <v>11.091780821917807</v>
      </c>
    </row>
    <row r="45" spans="2:26">
      <c r="B45" s="12"/>
      <c r="C45" s="20"/>
      <c r="D45" s="11"/>
      <c r="E45" s="29"/>
      <c r="H45" s="14"/>
      <c r="K45" s="19"/>
      <c r="L45" s="14"/>
      <c r="N45" s="44"/>
      <c r="O45" s="44"/>
      <c r="P45" s="92"/>
      <c r="S45" s="2"/>
    </row>
    <row r="46" spans="2:26">
      <c r="B46" s="12"/>
      <c r="C46" s="20"/>
      <c r="D46" s="11"/>
      <c r="H46" s="11"/>
      <c r="L46" s="11"/>
      <c r="M46" t="s">
        <v>286</v>
      </c>
      <c r="S46" s="2"/>
    </row>
    <row r="47" spans="2:26">
      <c r="B47" s="12"/>
      <c r="C47" s="20"/>
      <c r="D47" s="11"/>
      <c r="E47" s="29"/>
      <c r="H47" s="14"/>
      <c r="L47" s="11"/>
      <c r="M47" s="33"/>
    </row>
    <row r="48" spans="2:26">
      <c r="B48" s="12"/>
      <c r="C48" s="1"/>
      <c r="D48" s="11"/>
      <c r="E48" s="29"/>
      <c r="H48" s="11"/>
      <c r="L48" s="11"/>
      <c r="M48" s="33"/>
    </row>
    <row r="49" spans="2:28">
      <c r="B49" s="12"/>
      <c r="C49" s="1"/>
      <c r="D49" s="11"/>
      <c r="H49" s="14"/>
      <c r="L49" s="11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-7340.0800000000017</v>
      </c>
      <c r="H51" s="2">
        <f>SUM(H33:H49)</f>
        <v>279.10000000000002</v>
      </c>
      <c r="J51" t="s">
        <v>2</v>
      </c>
      <c r="K51" s="2">
        <f>SUM(K33:K48)</f>
        <v>663.03</v>
      </c>
      <c r="L51" s="2">
        <f>SUM(L33:L46)</f>
        <v>900</v>
      </c>
      <c r="N51" t="s">
        <v>2</v>
      </c>
      <c r="O51" s="2">
        <f>SUM(O33:O43)</f>
        <v>-16419.13</v>
      </c>
      <c r="P51" s="2">
        <f>SUM(P33:P42)</f>
        <v>0</v>
      </c>
    </row>
    <row r="52" spans="2:28">
      <c r="D52" s="2">
        <f>C51-D51</f>
        <v>0</v>
      </c>
      <c r="H52" s="2">
        <f>G51-H51</f>
        <v>-7619.1800000000021</v>
      </c>
      <c r="L52" s="2">
        <f>K51-L51</f>
        <v>-236.97000000000003</v>
      </c>
      <c r="P52" s="2">
        <f>O51-P51</f>
        <v>-16419.13</v>
      </c>
      <c r="U52" s="2"/>
      <c r="AA52" t="s">
        <v>239</v>
      </c>
      <c r="AB52" s="1">
        <v>10261.049999999999</v>
      </c>
    </row>
    <row r="53" spans="2:28">
      <c r="P53" s="2">
        <f>P52-X40</f>
        <v>-12487.77</v>
      </c>
      <c r="R53" s="2"/>
      <c r="AA53" t="s">
        <v>240</v>
      </c>
      <c r="AB53" s="1">
        <v>7081.32</v>
      </c>
    </row>
    <row r="54" spans="2:28">
      <c r="B54" t="s">
        <v>282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-1421.46</v>
      </c>
      <c r="L55" s="2">
        <v>0</v>
      </c>
      <c r="P55" s="2">
        <f>-277.67-549</f>
        <v>-826.67000000000007</v>
      </c>
      <c r="AA55" t="s">
        <v>242</v>
      </c>
      <c r="AB55" s="2">
        <f>AB54/2</f>
        <v>1589.8649999999998</v>
      </c>
    </row>
    <row r="56" spans="2:28">
      <c r="V56" t="s">
        <v>114</v>
      </c>
      <c r="W56" t="s">
        <v>115</v>
      </c>
      <c r="X56" t="s">
        <v>116</v>
      </c>
    </row>
    <row r="57" spans="2:28">
      <c r="D57" t="s">
        <v>138</v>
      </c>
      <c r="E57" s="34" t="s">
        <v>120</v>
      </c>
      <c r="F57" s="41"/>
      <c r="G57" s="41"/>
      <c r="H57" s="51">
        <v>1113.6600000000001</v>
      </c>
      <c r="I57" s="41"/>
      <c r="J57" s="41"/>
      <c r="K57" s="41"/>
      <c r="L57" s="51">
        <v>0</v>
      </c>
      <c r="M57" s="41"/>
      <c r="N57" s="41"/>
      <c r="O57" s="41"/>
      <c r="P57" s="53"/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/>
      <c r="S58" s="1">
        <f>ABS(H55+L55+P55)</f>
        <v>2248.13</v>
      </c>
      <c r="T58" t="s">
        <v>98</v>
      </c>
      <c r="V58" s="1">
        <f>Z59-Z60</f>
        <v>718.67999999999984</v>
      </c>
      <c r="W58" s="2">
        <f>S58-V58</f>
        <v>1529.4500000000003</v>
      </c>
      <c r="X58" s="2">
        <f>W58/2</f>
        <v>764.72500000000014</v>
      </c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-307.79999999999995</v>
      </c>
      <c r="I59" s="44"/>
      <c r="J59" s="44"/>
      <c r="K59" s="44"/>
      <c r="L59" s="45">
        <f>L57+L55</f>
        <v>0</v>
      </c>
      <c r="M59" s="44"/>
      <c r="N59" s="44"/>
      <c r="O59" s="44"/>
      <c r="P59" s="45"/>
      <c r="S59" s="1"/>
      <c r="Z59" s="1">
        <v>3900</v>
      </c>
      <c r="AA59" s="2">
        <f>X60+Z59</f>
        <v>4664.7250000000004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117</v>
      </c>
      <c r="X60" s="2">
        <f>ABS(X58)</f>
        <v>764.72500000000014</v>
      </c>
      <c r="Z60" s="1">
        <v>3181.32</v>
      </c>
      <c r="AA60" s="2">
        <f>X61+Z60</f>
        <v>4664.7250000000004</v>
      </c>
    </row>
    <row r="61" spans="2:28">
      <c r="D61" t="s">
        <v>139</v>
      </c>
      <c r="H61" s="2"/>
      <c r="L61" s="2"/>
      <c r="P61" s="2"/>
      <c r="W61" t="s">
        <v>118</v>
      </c>
      <c r="X61" s="1">
        <f>V58+ABS(X58)</f>
        <v>1483.405</v>
      </c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/>
      <c r="I64" s="44"/>
      <c r="J64" s="44"/>
      <c r="K64" s="44"/>
      <c r="L64" s="45"/>
      <c r="M64" s="44"/>
      <c r="N64" s="44"/>
      <c r="O64" s="44"/>
      <c r="P64" s="45"/>
    </row>
    <row r="65" spans="6:24">
      <c r="L65" s="60"/>
      <c r="P65" s="27"/>
      <c r="X65" s="1"/>
    </row>
    <row r="66" spans="6:24">
      <c r="X66" s="2"/>
    </row>
    <row r="70" spans="6:24">
      <c r="F70" s="2">
        <f>13338.18+H52</f>
        <v>5718.9999999999982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Hoja24"/>
  <dimension ref="A1:AB84"/>
  <sheetViews>
    <sheetView topLeftCell="G25" workbookViewId="0">
      <selection activeCell="M46" sqref="M46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645.44000000000005</v>
      </c>
      <c r="D2" s="74"/>
      <c r="E2" s="18"/>
      <c r="F2" s="18" t="s">
        <v>0</v>
      </c>
      <c r="G2" s="75">
        <v>1499.99</v>
      </c>
      <c r="H2" s="74"/>
      <c r="I2" s="18"/>
      <c r="J2" s="18" t="s">
        <v>0</v>
      </c>
      <c r="K2" s="73">
        <v>2500.1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616.20000000000005</v>
      </c>
      <c r="D3" s="11"/>
      <c r="E3" s="76"/>
      <c r="F3" s="18"/>
      <c r="G3" s="75"/>
      <c r="H3" s="11"/>
      <c r="I3" s="18"/>
      <c r="J3" s="18" t="s">
        <v>620</v>
      </c>
      <c r="K3" s="20">
        <v>3.18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40</v>
      </c>
      <c r="C4" s="23">
        <v>15576.75</v>
      </c>
      <c r="D4" s="11"/>
      <c r="E4" s="18"/>
      <c r="F4" s="18" t="s">
        <v>583</v>
      </c>
      <c r="G4" s="23">
        <v>764.73</v>
      </c>
      <c r="H4" s="11"/>
      <c r="I4" s="18"/>
      <c r="J4" s="18" t="s">
        <v>621</v>
      </c>
      <c r="K4" s="20"/>
      <c r="L4" s="77">
        <v>1501.11</v>
      </c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18" t="s">
        <v>636</v>
      </c>
      <c r="C5" s="20">
        <v>272.43</v>
      </c>
      <c r="D5" s="11"/>
      <c r="E5" s="18"/>
      <c r="F5" s="18" t="s">
        <v>604</v>
      </c>
      <c r="G5" s="23">
        <v>250</v>
      </c>
      <c r="H5" s="11"/>
      <c r="I5" s="18"/>
      <c r="J5" s="18"/>
      <c r="K5" s="20"/>
      <c r="L5" s="11"/>
      <c r="N5" s="18" t="s">
        <v>497</v>
      </c>
      <c r="O5" s="20">
        <v>2500</v>
      </c>
      <c r="P5" s="11"/>
      <c r="R5" s="18"/>
      <c r="S5" s="20"/>
      <c r="T5" s="11"/>
    </row>
    <row r="6" spans="1:20">
      <c r="B6" s="18" t="s">
        <v>637</v>
      </c>
      <c r="C6" s="20">
        <v>118.5</v>
      </c>
      <c r="D6" s="11"/>
      <c r="E6" s="18"/>
      <c r="F6" s="18" t="s">
        <v>549</v>
      </c>
      <c r="G6" s="23">
        <v>2500</v>
      </c>
      <c r="H6" s="11"/>
      <c r="I6" s="76"/>
      <c r="J6" s="18"/>
      <c r="K6" s="20"/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18" t="s">
        <v>640</v>
      </c>
      <c r="C7" s="20"/>
      <c r="D7" s="24">
        <v>869.95</v>
      </c>
      <c r="E7" s="76"/>
      <c r="F7" s="18" t="s">
        <v>607</v>
      </c>
      <c r="G7" s="23">
        <v>1500</v>
      </c>
      <c r="H7" s="11"/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548</v>
      </c>
      <c r="C8" s="20"/>
      <c r="D8" s="24">
        <v>6000</v>
      </c>
      <c r="E8" s="18"/>
      <c r="F8" s="39" t="s">
        <v>622</v>
      </c>
      <c r="G8" s="23">
        <v>950</v>
      </c>
      <c r="H8" s="11"/>
      <c r="I8" s="76"/>
      <c r="J8" s="18"/>
      <c r="K8" s="20"/>
      <c r="L8" s="39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638</v>
      </c>
      <c r="C9" s="20"/>
      <c r="D9" s="24">
        <v>1421.46</v>
      </c>
      <c r="E9" s="18"/>
      <c r="F9" s="39" t="s">
        <v>623</v>
      </c>
      <c r="G9" s="20"/>
      <c r="H9" s="24">
        <v>150</v>
      </c>
      <c r="I9" s="18"/>
      <c r="J9" s="18"/>
      <c r="K9" s="18"/>
      <c r="L9" s="18"/>
      <c r="N9" s="18"/>
      <c r="O9" s="18"/>
      <c r="P9" s="20"/>
      <c r="R9" s="18"/>
      <c r="S9" s="18"/>
      <c r="T9" s="18"/>
    </row>
    <row r="10" spans="1:20">
      <c r="B10" s="39" t="s">
        <v>639</v>
      </c>
      <c r="C10" s="20"/>
      <c r="D10" s="24">
        <v>61.94</v>
      </c>
      <c r="E10" s="76"/>
      <c r="F10" s="39" t="s">
        <v>624</v>
      </c>
      <c r="G10" s="20"/>
      <c r="H10" s="24">
        <v>24</v>
      </c>
      <c r="I10" s="18"/>
      <c r="J10" s="18"/>
      <c r="K10" s="18"/>
      <c r="L10" s="18"/>
      <c r="N10" s="18"/>
      <c r="O10" s="18"/>
      <c r="P10" s="18"/>
      <c r="R10" s="18"/>
      <c r="S10" s="18"/>
      <c r="T10" s="18"/>
    </row>
    <row r="11" spans="1:20">
      <c r="B11" s="39" t="s">
        <v>76</v>
      </c>
      <c r="C11" s="20"/>
      <c r="D11" s="11">
        <v>1200</v>
      </c>
      <c r="E11" s="39"/>
      <c r="F11" s="91" t="s">
        <v>625</v>
      </c>
      <c r="G11" s="20"/>
      <c r="H11" s="24">
        <v>2500</v>
      </c>
      <c r="I11" s="18"/>
      <c r="J11" s="18"/>
      <c r="K11" s="18"/>
      <c r="L11" s="18"/>
    </row>
    <row r="12" spans="1:20">
      <c r="B12" s="39" t="s">
        <v>1</v>
      </c>
      <c r="C12" s="20"/>
      <c r="D12" s="24">
        <v>3181.32</v>
      </c>
      <c r="E12" s="39"/>
      <c r="F12" s="39" t="s">
        <v>626</v>
      </c>
      <c r="G12" s="20"/>
      <c r="H12" s="24">
        <v>989</v>
      </c>
      <c r="I12" s="16" t="s">
        <v>627</v>
      </c>
      <c r="J12" s="18"/>
      <c r="K12" s="91"/>
      <c r="L12" s="18"/>
    </row>
    <row r="13" spans="1:20">
      <c r="B13" s="39" t="s">
        <v>641</v>
      </c>
      <c r="C13" s="20"/>
      <c r="D13" s="24">
        <v>250</v>
      </c>
      <c r="E13" s="117"/>
      <c r="F13" s="39" t="s">
        <v>583</v>
      </c>
      <c r="G13" s="21"/>
      <c r="H13" s="24">
        <v>764.73</v>
      </c>
      <c r="I13" s="18"/>
      <c r="J13" s="18"/>
      <c r="K13" s="91"/>
      <c r="L13" s="18"/>
    </row>
    <row r="14" spans="1:20">
      <c r="B14" s="39"/>
      <c r="C14" s="20"/>
      <c r="D14" s="11"/>
      <c r="E14" s="117"/>
      <c r="F14" s="39" t="s">
        <v>631</v>
      </c>
      <c r="G14" s="70">
        <v>12900</v>
      </c>
      <c r="H14" s="11"/>
      <c r="I14" s="18"/>
      <c r="J14" s="18"/>
      <c r="K14" s="91"/>
      <c r="L14" s="18"/>
    </row>
    <row r="15" spans="1:20">
      <c r="B15" s="39"/>
      <c r="C15" s="20"/>
      <c r="D15" s="11"/>
      <c r="E15" s="39"/>
      <c r="F15" s="39" t="s">
        <v>632</v>
      </c>
      <c r="G15" s="21"/>
      <c r="H15" s="24">
        <v>6990</v>
      </c>
      <c r="I15" s="18"/>
      <c r="J15" s="91"/>
      <c r="K15" s="18"/>
      <c r="L15" s="18"/>
    </row>
    <row r="16" spans="1:20">
      <c r="B16" s="39"/>
      <c r="C16" s="20"/>
      <c r="D16" s="11"/>
      <c r="E16" s="39"/>
      <c r="F16" s="39"/>
      <c r="G16" s="21"/>
      <c r="H16" s="11"/>
      <c r="I16" s="18"/>
      <c r="J16" s="18"/>
      <c r="K16" s="91"/>
      <c r="L16" s="18"/>
    </row>
    <row r="17" spans="1:24">
      <c r="B17" s="39"/>
      <c r="C17" s="20"/>
      <c r="D17" s="11"/>
      <c r="E17" s="39"/>
      <c r="F17" s="129" t="s">
        <v>1</v>
      </c>
      <c r="G17" s="130">
        <v>3181.32</v>
      </c>
      <c r="H17" s="97"/>
      <c r="I17" s="18"/>
      <c r="J17" s="18"/>
      <c r="K17" s="18"/>
      <c r="L17" s="18"/>
    </row>
    <row r="18" spans="1:24">
      <c r="B18" s="39"/>
      <c r="C18" s="20"/>
      <c r="D18" s="11"/>
      <c r="F18" s="39" t="s">
        <v>642</v>
      </c>
      <c r="G18" s="23">
        <v>61.94</v>
      </c>
      <c r="H18" s="11"/>
    </row>
    <row r="19" spans="1:24">
      <c r="B19" s="39"/>
      <c r="C19" s="20"/>
      <c r="D19" s="11"/>
      <c r="E19" s="96"/>
      <c r="F19" s="39" t="s">
        <v>641</v>
      </c>
      <c r="G19" s="23">
        <v>250</v>
      </c>
      <c r="H19" s="11"/>
      <c r="J19" s="2"/>
    </row>
    <row r="20" spans="1:24">
      <c r="B20" s="39"/>
      <c r="C20" s="20"/>
      <c r="D20" s="11"/>
      <c r="F20" s="39" t="s">
        <v>643</v>
      </c>
      <c r="G20" s="20"/>
      <c r="H20" s="19">
        <v>769</v>
      </c>
    </row>
    <row r="21" spans="1:24">
      <c r="A21" s="39"/>
      <c r="B21" s="39"/>
      <c r="C21" s="20"/>
      <c r="D21" s="11"/>
      <c r="F21" s="39" t="s">
        <v>644</v>
      </c>
      <c r="G21" s="20"/>
      <c r="H21" s="19">
        <v>499</v>
      </c>
    </row>
    <row r="22" spans="1:24">
      <c r="B22" s="39"/>
      <c r="C22" s="20"/>
      <c r="D22" s="11"/>
      <c r="F22" s="39" t="s">
        <v>645</v>
      </c>
      <c r="G22" s="20"/>
      <c r="H22" s="19">
        <v>2330</v>
      </c>
    </row>
    <row r="23" spans="1:24">
      <c r="B23" s="39"/>
      <c r="C23" s="20"/>
      <c r="D23" s="11"/>
      <c r="G23" s="20"/>
      <c r="H23" s="19"/>
    </row>
    <row r="24" spans="1:24">
      <c r="B24" s="39"/>
      <c r="C24" s="20"/>
      <c r="D24" s="11"/>
      <c r="F24" t="s">
        <v>646</v>
      </c>
      <c r="G24" s="20"/>
      <c r="H24" s="19"/>
    </row>
    <row r="25" spans="1:24">
      <c r="B25" s="39"/>
      <c r="C25" s="20"/>
      <c r="D25" s="11"/>
      <c r="F25" t="s">
        <v>9</v>
      </c>
      <c r="G25" s="20"/>
      <c r="H25" s="19">
        <v>3181.32</v>
      </c>
    </row>
    <row r="26" spans="1:24">
      <c r="B26" s="39"/>
      <c r="C26" s="20"/>
      <c r="D26" s="11"/>
      <c r="F26" t="s">
        <v>647</v>
      </c>
      <c r="G26" s="20">
        <v>1000</v>
      </c>
      <c r="H26" s="19"/>
    </row>
    <row r="27" spans="1:24">
      <c r="B27" s="39"/>
      <c r="C27" s="1"/>
      <c r="D27" s="11"/>
      <c r="F27" t="s">
        <v>648</v>
      </c>
      <c r="G27" s="20"/>
      <c r="H27" s="19">
        <v>989</v>
      </c>
    </row>
    <row r="28" spans="1:24">
      <c r="B28" t="s">
        <v>2</v>
      </c>
      <c r="C28" s="2">
        <f>SUM(C2:C26)</f>
        <v>17229.32</v>
      </c>
      <c r="D28" s="2">
        <f>SUM(D3:D26)</f>
        <v>12984.67</v>
      </c>
      <c r="F28" t="s">
        <v>2</v>
      </c>
      <c r="G28" s="2">
        <f>SUM(G2:G27)</f>
        <v>24857.98</v>
      </c>
      <c r="H28" s="2">
        <f>SUM(H3:H27)</f>
        <v>19186.05</v>
      </c>
      <c r="J28" t="s">
        <v>2</v>
      </c>
      <c r="K28" s="2">
        <f>SUM(K1:K10)</f>
        <v>2503.2799999999997</v>
      </c>
      <c r="L28" s="2">
        <f>SUM(L2:L10)</f>
        <v>1501.11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4244.6499999999996</v>
      </c>
      <c r="H29" s="2">
        <f>G28-H28</f>
        <v>5671.93</v>
      </c>
      <c r="L29" s="2">
        <f>K28-L28</f>
        <v>1002.1699999999998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-3211.7599999999993</v>
      </c>
      <c r="V31" s="102">
        <v>42812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6">
      <c r="B33" t="s">
        <v>0</v>
      </c>
      <c r="C33" s="3">
        <v>0</v>
      </c>
      <c r="D33" s="4"/>
      <c r="F33" t="s">
        <v>0</v>
      </c>
      <c r="G33" s="3">
        <v>-9040.64</v>
      </c>
      <c r="H33" s="4"/>
      <c r="J33" t="s">
        <v>0</v>
      </c>
      <c r="K33" s="3">
        <v>-1286.97</v>
      </c>
      <c r="L33" s="4"/>
      <c r="M33" s="33"/>
      <c r="N33" t="s">
        <v>0</v>
      </c>
      <c r="O33" s="3">
        <v>-20672.86</v>
      </c>
      <c r="P33" s="4"/>
      <c r="R33" t="s">
        <v>469</v>
      </c>
      <c r="S33" s="1">
        <v>-4998</v>
      </c>
      <c r="T33">
        <v>18</v>
      </c>
      <c r="U33" s="2">
        <f t="shared" ref="U33:U39" si="0">S33/T33</f>
        <v>-277.66666666666669</v>
      </c>
      <c r="V33">
        <v>11</v>
      </c>
      <c r="W33" s="2">
        <f>U33*V33</f>
        <v>-3054.3333333333335</v>
      </c>
      <c r="X33" s="2">
        <f>S33-W33</f>
        <v>-1943.6666666666665</v>
      </c>
    </row>
    <row r="34" spans="2:26">
      <c r="B34" s="39" t="s">
        <v>13</v>
      </c>
      <c r="C34" s="1"/>
      <c r="D34" s="1">
        <v>0</v>
      </c>
      <c r="F34" t="s">
        <v>349</v>
      </c>
      <c r="G34" s="23">
        <v>1421.46</v>
      </c>
      <c r="H34" s="11"/>
      <c r="K34" s="85"/>
      <c r="L34" s="86"/>
      <c r="M34" s="29"/>
      <c r="O34" s="85"/>
      <c r="P34" s="86"/>
      <c r="Q34" s="93"/>
      <c r="R34" t="s">
        <v>132</v>
      </c>
      <c r="S34" s="101">
        <v>-3144</v>
      </c>
      <c r="T34" s="118">
        <v>6</v>
      </c>
      <c r="U34" s="119">
        <f t="shared" si="0"/>
        <v>-524</v>
      </c>
      <c r="V34" s="118">
        <v>6</v>
      </c>
      <c r="W34" s="119">
        <f t="shared" ref="W34:W39" si="1">U34*V34</f>
        <v>-3144</v>
      </c>
      <c r="X34" s="119">
        <f t="shared" ref="X34:X39" si="2">S34-W34</f>
        <v>0</v>
      </c>
      <c r="Z34">
        <f>6990+2330</f>
        <v>9320</v>
      </c>
    </row>
    <row r="35" spans="2:26">
      <c r="B35" s="39"/>
      <c r="C35" s="1"/>
      <c r="D35" s="11"/>
      <c r="F35" t="s">
        <v>605</v>
      </c>
      <c r="G35" s="60">
        <v>1421.46</v>
      </c>
      <c r="H35" s="11"/>
      <c r="I35" s="8">
        <v>42809</v>
      </c>
      <c r="K35" s="23"/>
      <c r="L35" s="11"/>
      <c r="N35" s="39"/>
      <c r="O35" s="19"/>
      <c r="P35" s="14"/>
      <c r="R35" t="s">
        <v>277</v>
      </c>
      <c r="S35" s="101">
        <v>-18198.95</v>
      </c>
      <c r="T35" s="118">
        <v>6</v>
      </c>
      <c r="U35" s="119">
        <f t="shared" si="0"/>
        <v>-3033.1583333333333</v>
      </c>
      <c r="V35" s="118">
        <v>6</v>
      </c>
      <c r="W35" s="119">
        <f t="shared" si="1"/>
        <v>-18198.95</v>
      </c>
      <c r="X35" s="119">
        <f t="shared" si="2"/>
        <v>0</v>
      </c>
    </row>
    <row r="36" spans="2:26">
      <c r="B36" s="39"/>
      <c r="C36" s="1"/>
      <c r="D36" s="11"/>
      <c r="F36" t="s">
        <v>392</v>
      </c>
      <c r="G36" s="1"/>
      <c r="H36" s="24">
        <v>869.95</v>
      </c>
      <c r="J36" t="s">
        <v>601</v>
      </c>
      <c r="K36" s="23">
        <v>950</v>
      </c>
      <c r="L36" s="11"/>
      <c r="N36" s="39" t="s">
        <v>606</v>
      </c>
      <c r="O36" s="27">
        <v>989</v>
      </c>
      <c r="P36" s="11"/>
      <c r="R36" t="s">
        <v>470</v>
      </c>
      <c r="S36" s="101">
        <v>-7768.75</v>
      </c>
      <c r="T36" s="118">
        <v>3</v>
      </c>
      <c r="U36" s="119">
        <f t="shared" si="0"/>
        <v>-2589.5833333333335</v>
      </c>
      <c r="V36" s="118">
        <v>3</v>
      </c>
      <c r="W36" s="119">
        <f t="shared" si="1"/>
        <v>-7768.75</v>
      </c>
      <c r="X36" s="119">
        <f t="shared" si="2"/>
        <v>0</v>
      </c>
    </row>
    <row r="37" spans="2:26">
      <c r="B37" s="39"/>
      <c r="C37" s="20"/>
      <c r="D37" s="11"/>
      <c r="F37" t="s">
        <v>349</v>
      </c>
      <c r="G37" s="23">
        <v>869.95</v>
      </c>
      <c r="H37" s="11"/>
      <c r="J37" t="s">
        <v>47</v>
      </c>
      <c r="K37" s="23"/>
      <c r="L37" s="11">
        <v>500</v>
      </c>
      <c r="N37" s="39" t="s">
        <v>540</v>
      </c>
      <c r="O37" s="27">
        <v>2500</v>
      </c>
      <c r="P37" s="11"/>
      <c r="R37" t="s">
        <v>468</v>
      </c>
      <c r="S37" s="1">
        <v>-5934</v>
      </c>
      <c r="T37">
        <v>6</v>
      </c>
      <c r="U37" s="2">
        <f t="shared" si="0"/>
        <v>-989</v>
      </c>
      <c r="V37">
        <v>5</v>
      </c>
      <c r="W37" s="2">
        <f t="shared" si="1"/>
        <v>-4945</v>
      </c>
      <c r="X37" s="2">
        <f t="shared" si="2"/>
        <v>-989</v>
      </c>
    </row>
    <row r="38" spans="2:26">
      <c r="B38" s="39"/>
      <c r="C38" s="20"/>
      <c r="D38" s="11"/>
      <c r="F38" s="116" t="s">
        <v>427</v>
      </c>
      <c r="H38" s="24">
        <v>769</v>
      </c>
      <c r="J38" t="s">
        <v>159</v>
      </c>
      <c r="K38" s="19"/>
      <c r="L38" s="11">
        <v>400</v>
      </c>
      <c r="M38" s="29" t="s">
        <v>628</v>
      </c>
      <c r="N38" s="39" t="s">
        <v>94</v>
      </c>
      <c r="O38" s="27">
        <v>764.73</v>
      </c>
      <c r="Q38" s="29"/>
      <c r="R38" t="s">
        <v>471</v>
      </c>
      <c r="S38" s="1">
        <v>-6588.04</v>
      </c>
      <c r="T38" s="118">
        <v>12</v>
      </c>
      <c r="U38" s="2">
        <f t="shared" si="0"/>
        <v>-549.00333333333333</v>
      </c>
      <c r="V38" s="118">
        <v>5</v>
      </c>
      <c r="W38" s="2">
        <f t="shared" si="1"/>
        <v>-2745.0166666666664</v>
      </c>
      <c r="X38" s="2">
        <f t="shared" si="2"/>
        <v>-3843.0233333333335</v>
      </c>
    </row>
    <row r="39" spans="2:26">
      <c r="B39" s="39"/>
      <c r="C39" s="20"/>
      <c r="D39" s="11"/>
      <c r="F39" t="s">
        <v>172</v>
      </c>
      <c r="G39" s="1"/>
      <c r="H39" s="32">
        <v>65</v>
      </c>
      <c r="J39" t="s">
        <v>169</v>
      </c>
      <c r="K39" s="27">
        <v>1000</v>
      </c>
      <c r="L39" s="11"/>
      <c r="M39" s="29"/>
      <c r="N39" s="39" t="s">
        <v>633</v>
      </c>
      <c r="O39" s="19"/>
      <c r="P39" s="11">
        <v>6990</v>
      </c>
      <c r="Q39" s="29"/>
      <c r="R39" t="s">
        <v>630</v>
      </c>
      <c r="S39" s="101">
        <v>-6990</v>
      </c>
      <c r="T39" s="118">
        <v>3</v>
      </c>
      <c r="U39" s="119">
        <f t="shared" si="0"/>
        <v>-2330</v>
      </c>
      <c r="V39" s="118">
        <v>1</v>
      </c>
      <c r="W39" s="119">
        <f t="shared" si="1"/>
        <v>-2330</v>
      </c>
      <c r="X39" s="119">
        <f t="shared" si="2"/>
        <v>-4660</v>
      </c>
    </row>
    <row r="40" spans="2:26">
      <c r="B40" s="39"/>
      <c r="C40" s="20"/>
      <c r="D40" s="11"/>
      <c r="F40" t="s">
        <v>540</v>
      </c>
      <c r="G40" s="23">
        <v>6000</v>
      </c>
      <c r="H40" s="14"/>
      <c r="K40" s="19"/>
      <c r="L40" s="11"/>
      <c r="N40" s="39" t="s">
        <v>634</v>
      </c>
      <c r="O40" s="19"/>
      <c r="P40" s="14">
        <v>6990</v>
      </c>
      <c r="Q40" s="29"/>
      <c r="R40" t="s">
        <v>11</v>
      </c>
      <c r="S40" s="2">
        <f>SUM(S33:S39)</f>
        <v>-53621.74</v>
      </c>
      <c r="X40" s="2">
        <f>SUM(X33:X39)</f>
        <v>-11435.69</v>
      </c>
    </row>
    <row r="41" spans="2:26">
      <c r="B41" s="39"/>
      <c r="C41" s="20"/>
      <c r="D41" s="11"/>
      <c r="F41" t="s">
        <v>20</v>
      </c>
      <c r="H41" s="14">
        <v>129</v>
      </c>
      <c r="K41" s="19"/>
      <c r="L41" s="11"/>
      <c r="N41" s="39" t="s">
        <v>635</v>
      </c>
      <c r="O41" s="19">
        <v>6990</v>
      </c>
      <c r="P41" s="11"/>
      <c r="Q41" s="8"/>
    </row>
    <row r="42" spans="2:26">
      <c r="B42" s="39"/>
      <c r="C42" s="20"/>
      <c r="D42" s="11"/>
      <c r="H42" s="14"/>
      <c r="K42" s="19"/>
      <c r="L42" s="14"/>
      <c r="N42" s="39"/>
      <c r="O42" s="19"/>
      <c r="P42" s="11"/>
      <c r="S42" s="2"/>
    </row>
    <row r="43" spans="2:26">
      <c r="B43" s="39"/>
      <c r="C43" s="20"/>
      <c r="D43" s="11"/>
      <c r="H43" s="14"/>
      <c r="K43" s="19"/>
      <c r="L43" s="14"/>
      <c r="N43" s="39" t="s">
        <v>650</v>
      </c>
      <c r="O43" s="19"/>
      <c r="P43" s="11">
        <v>62.29</v>
      </c>
      <c r="S43" s="2"/>
    </row>
    <row r="44" spans="2:26">
      <c r="B44" s="12"/>
      <c r="C44" s="20"/>
      <c r="D44" s="11"/>
      <c r="E44" s="29"/>
      <c r="H44" s="14"/>
      <c r="K44" s="19"/>
      <c r="L44" s="11"/>
      <c r="N44" s="39" t="s">
        <v>650</v>
      </c>
      <c r="O44" s="19"/>
      <c r="P44" s="11">
        <v>90.72</v>
      </c>
      <c r="S44" s="2"/>
      <c r="Z44">
        <f>1000*(0.2699/365)*15</f>
        <v>11.091780821917807</v>
      </c>
    </row>
    <row r="45" spans="2:26">
      <c r="B45" s="12"/>
      <c r="C45" s="20"/>
      <c r="D45" s="11"/>
      <c r="E45" s="29"/>
      <c r="H45" s="14"/>
      <c r="K45" s="19"/>
      <c r="L45" s="14"/>
      <c r="N45" s="39" t="s">
        <v>651</v>
      </c>
      <c r="O45" s="19"/>
      <c r="P45" s="11">
        <v>14.52</v>
      </c>
      <c r="S45" s="2"/>
    </row>
    <row r="46" spans="2:26">
      <c r="B46" s="12"/>
      <c r="C46" s="20"/>
      <c r="D46" s="11"/>
      <c r="H46" s="11"/>
      <c r="L46" s="11"/>
      <c r="N46" s="39" t="s">
        <v>493</v>
      </c>
      <c r="O46" s="19"/>
      <c r="P46" s="11">
        <v>4218.91</v>
      </c>
      <c r="S46" s="2"/>
    </row>
    <row r="47" spans="2:26">
      <c r="B47" s="12"/>
      <c r="C47" s="20"/>
      <c r="D47" s="11"/>
      <c r="E47" s="29"/>
      <c r="H47" s="14"/>
      <c r="L47" s="11"/>
      <c r="M47" s="33"/>
      <c r="N47" s="39" t="s">
        <v>169</v>
      </c>
      <c r="O47" s="19">
        <v>989</v>
      </c>
      <c r="P47" s="11"/>
    </row>
    <row r="48" spans="2:26">
      <c r="B48" s="12"/>
      <c r="C48" s="1"/>
      <c r="D48" s="11"/>
      <c r="E48" s="29"/>
      <c r="H48" s="11"/>
      <c r="L48" s="11"/>
      <c r="M48" s="33"/>
      <c r="N48" s="39" t="s">
        <v>169</v>
      </c>
      <c r="O48" s="19">
        <v>2330</v>
      </c>
      <c r="P48" s="11"/>
    </row>
    <row r="49" spans="2:28">
      <c r="B49" s="12"/>
      <c r="C49" s="1"/>
      <c r="D49" s="11"/>
      <c r="H49" s="14"/>
      <c r="L49" s="11"/>
      <c r="N49" s="39"/>
      <c r="O49" s="19"/>
      <c r="P49" s="11"/>
    </row>
    <row r="50" spans="2:28">
      <c r="B50" s="12"/>
      <c r="C50" s="1"/>
      <c r="D50" s="11"/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672.23000000000047</v>
      </c>
      <c r="H51" s="2">
        <f>SUM(H33:H49)</f>
        <v>1832.95</v>
      </c>
      <c r="J51" t="s">
        <v>2</v>
      </c>
      <c r="K51" s="2">
        <f>SUM(K33:K48)</f>
        <v>663.03</v>
      </c>
      <c r="L51" s="2">
        <f>SUM(L33:L46)</f>
        <v>900</v>
      </c>
      <c r="N51" t="s">
        <v>2</v>
      </c>
      <c r="O51" s="2">
        <f>SUM(O33:O50)</f>
        <v>-6110.130000000001</v>
      </c>
      <c r="P51" s="2">
        <f>SUM(P33:P50)</f>
        <v>18366.440000000002</v>
      </c>
    </row>
    <row r="52" spans="2:28">
      <c r="D52" s="2">
        <f>C51-D51</f>
        <v>0</v>
      </c>
      <c r="H52" s="2">
        <f>G51-H51</f>
        <v>-1160.7199999999996</v>
      </c>
      <c r="L52" s="2">
        <f>K51-L51</f>
        <v>-236.97000000000003</v>
      </c>
      <c r="P52" s="2">
        <f>O51-P51</f>
        <v>-24476.570000000003</v>
      </c>
      <c r="U52" s="2"/>
      <c r="AA52" t="s">
        <v>239</v>
      </c>
      <c r="AB52" s="1">
        <v>10261.049999999999</v>
      </c>
    </row>
    <row r="53" spans="2:28">
      <c r="P53" s="2">
        <f>P52-X40</f>
        <v>-13040.880000000003</v>
      </c>
      <c r="R53" s="2"/>
      <c r="AA53" t="s">
        <v>240</v>
      </c>
      <c r="AB53" s="1">
        <v>7081.32</v>
      </c>
    </row>
    <row r="54" spans="2:28">
      <c r="B54" t="s">
        <v>282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-1421.46</v>
      </c>
      <c r="L55" s="2">
        <v>0</v>
      </c>
      <c r="P55" s="2">
        <f>-277.67-549</f>
        <v>-826.67000000000007</v>
      </c>
      <c r="AA55" t="s">
        <v>242</v>
      </c>
      <c r="AB55" s="2">
        <f>AB54/2</f>
        <v>1589.8649999999998</v>
      </c>
    </row>
    <row r="56" spans="2:28">
      <c r="V56" t="s">
        <v>114</v>
      </c>
      <c r="W56" t="s">
        <v>115</v>
      </c>
      <c r="X56" t="s">
        <v>116</v>
      </c>
    </row>
    <row r="57" spans="2:28">
      <c r="D57" t="s">
        <v>138</v>
      </c>
      <c r="E57" s="34" t="s">
        <v>120</v>
      </c>
      <c r="F57" s="41"/>
      <c r="G57" s="41"/>
      <c r="H57" s="51">
        <v>1113.6600000000001</v>
      </c>
      <c r="I57" s="41"/>
      <c r="J57" s="41"/>
      <c r="K57" s="41"/>
      <c r="L57" s="51">
        <v>0</v>
      </c>
      <c r="M57" s="41"/>
      <c r="N57" s="41"/>
      <c r="O57" s="41"/>
      <c r="P57" s="53"/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/>
      <c r="S58" s="1">
        <f>ABS(H55+L55+P55)</f>
        <v>2248.13</v>
      </c>
      <c r="T58" t="s">
        <v>98</v>
      </c>
      <c r="V58" s="1">
        <f>Z59-Z60</f>
        <v>718.67999999999984</v>
      </c>
      <c r="W58" s="2">
        <f>S58-V58</f>
        <v>1529.4500000000003</v>
      </c>
      <c r="X58" s="2">
        <f>W58/2</f>
        <v>764.72500000000014</v>
      </c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-307.79999999999995</v>
      </c>
      <c r="I59" s="44"/>
      <c r="J59" s="44"/>
      <c r="K59" s="44"/>
      <c r="L59" s="45">
        <f>L57+L55</f>
        <v>0</v>
      </c>
      <c r="M59" s="44"/>
      <c r="N59" s="44"/>
      <c r="O59" s="44"/>
      <c r="P59" s="45"/>
      <c r="S59" s="1"/>
      <c r="Z59" s="1">
        <v>3900</v>
      </c>
      <c r="AA59" s="2">
        <f>X60+Z59</f>
        <v>4664.7250000000004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W60" t="s">
        <v>117</v>
      </c>
      <c r="X60" s="2">
        <f>ABS(X58)</f>
        <v>764.72500000000014</v>
      </c>
      <c r="Z60" s="1">
        <v>3181.32</v>
      </c>
      <c r="AA60" s="2">
        <f>X61+Z60</f>
        <v>4664.7250000000004</v>
      </c>
    </row>
    <row r="61" spans="2:28">
      <c r="D61" t="s">
        <v>139</v>
      </c>
      <c r="H61" s="2"/>
      <c r="L61" s="2"/>
      <c r="P61" s="2"/>
      <c r="W61" t="s">
        <v>118</v>
      </c>
      <c r="X61" s="1">
        <f>V58+ABS(X58)</f>
        <v>1483.405</v>
      </c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T62" s="2"/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</row>
    <row r="64" spans="2:28">
      <c r="E64" s="37" t="s">
        <v>122</v>
      </c>
      <c r="F64" s="44"/>
      <c r="G64" s="44"/>
      <c r="H64" s="45"/>
      <c r="I64" s="44"/>
      <c r="J64" s="44"/>
      <c r="K64" s="44"/>
      <c r="L64" s="45"/>
      <c r="M64" s="44"/>
      <c r="N64" s="44"/>
      <c r="O64" s="44"/>
      <c r="P64" s="45"/>
    </row>
    <row r="65" spans="6:24">
      <c r="L65" s="60"/>
      <c r="P65" s="27"/>
      <c r="X65" s="1"/>
    </row>
    <row r="66" spans="6:24">
      <c r="X66" s="2"/>
    </row>
    <row r="70" spans="6:24">
      <c r="F70" s="2">
        <f>13338.18+H52</f>
        <v>12177.460000000001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71" priority="1" operator="lessThan">
      <formula>0</formula>
    </cfRule>
    <cfRule type="cellIs" dxfId="7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Hoja25"/>
  <dimension ref="A1:AB84"/>
  <sheetViews>
    <sheetView topLeftCell="H31" workbookViewId="0">
      <selection activeCell="G22" sqref="G22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577.16</v>
      </c>
      <c r="D2" s="74"/>
      <c r="E2" s="18"/>
      <c r="F2" s="18" t="s">
        <v>0</v>
      </c>
      <c r="G2" s="75">
        <v>5671.93</v>
      </c>
      <c r="H2" s="74"/>
      <c r="I2" s="18"/>
      <c r="J2" s="18" t="s">
        <v>0</v>
      </c>
      <c r="K2" s="73">
        <v>2500.1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574.27</v>
      </c>
      <c r="D3" s="11"/>
      <c r="E3" s="76"/>
      <c r="F3" s="39" t="s">
        <v>657</v>
      </c>
      <c r="G3" s="20"/>
      <c r="H3" s="24">
        <v>2000</v>
      </c>
      <c r="I3" s="18"/>
      <c r="J3" s="18" t="s">
        <v>620</v>
      </c>
      <c r="K3" s="20">
        <v>3.18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193</v>
      </c>
      <c r="C4" s="23">
        <v>15625.16</v>
      </c>
      <c r="D4" s="11"/>
      <c r="E4" s="18"/>
      <c r="F4" s="39" t="s">
        <v>540</v>
      </c>
      <c r="G4" s="23">
        <v>6000</v>
      </c>
      <c r="H4" s="11"/>
      <c r="I4" s="18"/>
      <c r="J4" s="18" t="s">
        <v>621</v>
      </c>
      <c r="K4" s="20"/>
      <c r="L4" s="77">
        <v>1501.11</v>
      </c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131" t="s">
        <v>654</v>
      </c>
      <c r="C5" s="20"/>
      <c r="D5" s="103">
        <v>300</v>
      </c>
      <c r="E5" s="18"/>
      <c r="F5" s="39" t="s">
        <v>656</v>
      </c>
      <c r="G5" s="20"/>
      <c r="H5" s="24">
        <v>6000</v>
      </c>
      <c r="I5" s="18"/>
      <c r="J5" s="18"/>
      <c r="K5" s="20"/>
      <c r="L5" s="11"/>
      <c r="N5" s="18" t="s">
        <v>497</v>
      </c>
      <c r="O5" s="20">
        <v>2500</v>
      </c>
      <c r="P5" s="11"/>
      <c r="R5" s="18"/>
      <c r="S5" s="20"/>
      <c r="T5" s="11"/>
    </row>
    <row r="6" spans="1:20">
      <c r="B6" s="18" t="s">
        <v>658</v>
      </c>
      <c r="C6" s="20"/>
      <c r="D6" s="24">
        <v>6000</v>
      </c>
      <c r="E6" s="18"/>
      <c r="F6" s="39" t="s">
        <v>230</v>
      </c>
      <c r="G6" s="23">
        <v>826.67</v>
      </c>
      <c r="H6" s="11"/>
      <c r="I6" s="76"/>
      <c r="J6" s="18"/>
      <c r="K6" s="20"/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74" t="s">
        <v>230</v>
      </c>
      <c r="C7" s="132"/>
      <c r="D7" s="133">
        <v>826.67</v>
      </c>
      <c r="E7" s="76"/>
      <c r="F7" s="39" t="s">
        <v>583</v>
      </c>
      <c r="G7" s="20"/>
      <c r="H7" s="24">
        <v>826.67</v>
      </c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77" t="s">
        <v>659</v>
      </c>
      <c r="C8" s="19"/>
      <c r="D8" s="134">
        <v>260.43</v>
      </c>
      <c r="E8" s="18"/>
      <c r="F8" s="39"/>
      <c r="G8" s="20"/>
      <c r="H8" s="11"/>
      <c r="I8" s="76"/>
      <c r="J8" s="18"/>
      <c r="K8" s="20"/>
      <c r="L8" s="39"/>
      <c r="N8" s="18" t="s">
        <v>502</v>
      </c>
      <c r="O8" s="20"/>
      <c r="P8" s="19">
        <v>3500</v>
      </c>
      <c r="R8" s="18"/>
      <c r="S8" s="20"/>
      <c r="T8" s="39"/>
    </row>
    <row r="9" spans="1:20">
      <c r="B9" s="109" t="s">
        <v>17</v>
      </c>
      <c r="C9" s="135"/>
      <c r="D9" s="136">
        <v>672.03</v>
      </c>
      <c r="E9" s="18"/>
      <c r="F9" s="39"/>
      <c r="G9" s="20"/>
      <c r="H9" s="11"/>
      <c r="I9" s="18"/>
      <c r="J9" s="18"/>
      <c r="K9" s="18"/>
      <c r="L9" s="18"/>
      <c r="N9" s="18"/>
      <c r="O9" s="18"/>
      <c r="P9" s="20"/>
      <c r="R9" s="18"/>
      <c r="S9" s="18"/>
      <c r="T9" s="18"/>
    </row>
    <row r="10" spans="1:20">
      <c r="B10" s="39" t="s">
        <v>660</v>
      </c>
      <c r="C10" s="20"/>
      <c r="D10" s="24">
        <v>3900</v>
      </c>
      <c r="E10" s="76"/>
      <c r="F10" s="39"/>
      <c r="G10" s="20"/>
      <c r="H10" s="11"/>
      <c r="I10" s="18"/>
      <c r="J10" s="18"/>
      <c r="K10" s="18"/>
      <c r="L10" s="18"/>
      <c r="N10" s="18"/>
      <c r="O10" s="18"/>
      <c r="P10" s="18"/>
      <c r="R10" s="18"/>
      <c r="S10" s="18"/>
      <c r="T10" s="18"/>
    </row>
    <row r="11" spans="1:20">
      <c r="B11" s="39" t="s">
        <v>4</v>
      </c>
      <c r="C11" s="20"/>
      <c r="D11" s="24">
        <v>1600</v>
      </c>
      <c r="E11" s="39"/>
      <c r="F11" s="39"/>
      <c r="G11" s="20"/>
      <c r="H11" s="11"/>
      <c r="I11" s="18"/>
      <c r="J11" s="18"/>
      <c r="K11" s="18"/>
      <c r="L11" s="18"/>
    </row>
    <row r="12" spans="1:20">
      <c r="B12" s="39" t="s">
        <v>661</v>
      </c>
      <c r="C12" s="20"/>
      <c r="D12" s="24">
        <v>586.33000000000004</v>
      </c>
      <c r="E12" s="39"/>
      <c r="F12" s="39"/>
      <c r="G12" s="20"/>
      <c r="H12" s="11"/>
      <c r="I12" s="16"/>
      <c r="J12" s="18"/>
      <c r="K12" s="91"/>
      <c r="L12" s="18"/>
    </row>
    <row r="13" spans="1:20">
      <c r="B13" s="39" t="s">
        <v>662</v>
      </c>
      <c r="C13" s="20"/>
      <c r="D13" s="24">
        <v>700</v>
      </c>
      <c r="E13" s="117"/>
      <c r="F13" s="39"/>
      <c r="G13" s="20"/>
      <c r="H13" s="11"/>
      <c r="I13" s="18"/>
      <c r="J13" s="18"/>
      <c r="K13" s="91"/>
      <c r="L13" s="18"/>
    </row>
    <row r="14" spans="1:20">
      <c r="B14" s="39"/>
      <c r="C14" s="20"/>
      <c r="D14" s="11"/>
      <c r="E14" s="117"/>
      <c r="F14" s="39"/>
      <c r="G14" s="20"/>
      <c r="H14" s="11"/>
      <c r="I14" s="18"/>
      <c r="J14" s="18"/>
      <c r="K14" s="91"/>
      <c r="L14" s="18"/>
    </row>
    <row r="15" spans="1:20">
      <c r="B15" s="39" t="s">
        <v>663</v>
      </c>
      <c r="C15" s="20"/>
      <c r="D15" s="24">
        <v>1500</v>
      </c>
      <c r="E15" s="39"/>
      <c r="F15" s="39"/>
      <c r="G15" s="20"/>
      <c r="H15" s="11"/>
      <c r="I15" s="18"/>
      <c r="J15" s="91"/>
      <c r="K15" s="18"/>
      <c r="L15" s="18"/>
    </row>
    <row r="16" spans="1:20">
      <c r="B16" s="39" t="s">
        <v>664</v>
      </c>
      <c r="C16" s="24">
        <v>361</v>
      </c>
      <c r="D16" s="11"/>
      <c r="E16" s="39"/>
      <c r="F16" s="39"/>
      <c r="G16" s="20"/>
      <c r="H16" s="11"/>
      <c r="I16" s="18"/>
      <c r="J16" s="18"/>
      <c r="K16" s="91"/>
      <c r="L16" s="18"/>
    </row>
    <row r="17" spans="1:24">
      <c r="B17" s="39" t="s">
        <v>665</v>
      </c>
      <c r="C17" s="24">
        <v>25</v>
      </c>
      <c r="D17" s="11"/>
      <c r="E17" s="39"/>
      <c r="F17" s="39"/>
      <c r="G17" s="20"/>
      <c r="H17" s="11"/>
      <c r="I17" s="18"/>
      <c r="J17" s="18"/>
      <c r="K17" s="18"/>
      <c r="L17" s="18"/>
    </row>
    <row r="18" spans="1:24">
      <c r="B18" s="39" t="s">
        <v>666</v>
      </c>
      <c r="C18" s="20"/>
      <c r="D18" s="24">
        <v>361.25</v>
      </c>
      <c r="F18" s="39"/>
      <c r="G18" s="20"/>
      <c r="H18" s="11"/>
    </row>
    <row r="19" spans="1:24">
      <c r="B19" s="39" t="s">
        <v>667</v>
      </c>
      <c r="C19" s="20">
        <v>450</v>
      </c>
      <c r="D19" s="11">
        <v>450</v>
      </c>
      <c r="E19" s="96"/>
      <c r="F19" s="39"/>
      <c r="G19" s="20"/>
      <c r="H19" s="11"/>
      <c r="J19" s="2"/>
    </row>
    <row r="20" spans="1:24">
      <c r="B20" s="39"/>
      <c r="C20" s="20"/>
      <c r="D20" s="11"/>
      <c r="F20" s="39"/>
      <c r="G20" s="20"/>
      <c r="H20" s="19"/>
    </row>
    <row r="21" spans="1:24">
      <c r="A21" s="39"/>
      <c r="B21" s="39"/>
      <c r="C21" s="20"/>
      <c r="D21" s="11"/>
      <c r="F21" s="39"/>
      <c r="G21" s="20"/>
      <c r="H21" s="19"/>
    </row>
    <row r="22" spans="1:24">
      <c r="B22" s="39"/>
      <c r="C22" s="20"/>
      <c r="D22" s="11"/>
      <c r="F22" s="39"/>
      <c r="G22" s="20"/>
      <c r="H22" s="19"/>
    </row>
    <row r="23" spans="1:24">
      <c r="B23" s="39"/>
      <c r="C23" s="20"/>
      <c r="D23" s="11"/>
      <c r="G23" s="20"/>
      <c r="H23" s="19"/>
    </row>
    <row r="24" spans="1:24">
      <c r="B24" s="39"/>
      <c r="C24" s="20"/>
      <c r="D24" s="11"/>
      <c r="G24" s="20"/>
      <c r="H24" s="19"/>
    </row>
    <row r="25" spans="1:24">
      <c r="B25" s="39"/>
      <c r="C25" s="20"/>
      <c r="D25" s="11"/>
      <c r="G25" s="20"/>
      <c r="H25" s="19"/>
    </row>
    <row r="26" spans="1:24">
      <c r="B26" s="39"/>
      <c r="C26" s="20"/>
      <c r="D26" s="11"/>
      <c r="G26" s="20"/>
      <c r="H26" s="19"/>
    </row>
    <row r="27" spans="1:24">
      <c r="B27" s="39"/>
      <c r="C27" s="1"/>
      <c r="D27" s="11"/>
      <c r="G27" s="20"/>
      <c r="H27" s="19"/>
    </row>
    <row r="28" spans="1:24">
      <c r="B28" t="s">
        <v>2</v>
      </c>
      <c r="C28" s="2">
        <f>SUM(C2:C26)</f>
        <v>17612.59</v>
      </c>
      <c r="D28" s="2">
        <f>SUM(D3:D26)</f>
        <v>17156.71</v>
      </c>
      <c r="F28" t="s">
        <v>2</v>
      </c>
      <c r="G28" s="2">
        <f>SUM(G2:G27)</f>
        <v>12498.6</v>
      </c>
      <c r="H28" s="2">
        <f>SUM(H3:H27)</f>
        <v>8826.67</v>
      </c>
      <c r="J28" t="s">
        <v>2</v>
      </c>
      <c r="K28" s="2">
        <f>SUM(K1:K10)</f>
        <v>2503.2799999999997</v>
      </c>
      <c r="L28" s="2">
        <f>SUM(L2:L10)</f>
        <v>1501.11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455.88000000000102</v>
      </c>
      <c r="H29" s="2">
        <f>G28-H28</f>
        <v>3671.9300000000003</v>
      </c>
      <c r="L29" s="2">
        <f>K28-L28</f>
        <v>1002.1699999999998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577.00999999999908</v>
      </c>
      <c r="V31" s="102">
        <v>42843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6">
      <c r="B33" t="s">
        <v>0</v>
      </c>
      <c r="C33" s="3">
        <v>0</v>
      </c>
      <c r="D33" s="4"/>
      <c r="F33" t="s">
        <v>0</v>
      </c>
      <c r="G33" s="3">
        <v>-2783.83</v>
      </c>
      <c r="H33" s="4"/>
      <c r="J33" t="s">
        <v>0</v>
      </c>
      <c r="K33" s="3">
        <v>-260.43</v>
      </c>
      <c r="L33" s="4"/>
      <c r="M33" s="33"/>
      <c r="N33" t="s">
        <v>0</v>
      </c>
      <c r="O33" s="3">
        <v>-24476.57</v>
      </c>
      <c r="P33" s="4"/>
      <c r="R33" t="s">
        <v>469</v>
      </c>
      <c r="S33" s="1">
        <v>-4998</v>
      </c>
      <c r="T33">
        <v>18</v>
      </c>
      <c r="U33" s="2">
        <f t="shared" ref="U33:U40" si="0">S33/T33</f>
        <v>-277.66666666666669</v>
      </c>
      <c r="V33">
        <v>12</v>
      </c>
      <c r="W33" s="2">
        <f>U33*V33</f>
        <v>-3332</v>
      </c>
      <c r="X33" s="2">
        <f>S33-W33</f>
        <v>-1666</v>
      </c>
    </row>
    <row r="34" spans="2:26">
      <c r="B34" s="39" t="s">
        <v>13</v>
      </c>
      <c r="C34" s="1"/>
      <c r="D34" s="1">
        <v>0</v>
      </c>
      <c r="F34" t="s">
        <v>649</v>
      </c>
      <c r="H34" s="11">
        <v>366</v>
      </c>
      <c r="K34" s="19"/>
      <c r="L34" s="14"/>
      <c r="M34" s="29"/>
      <c r="O34" s="85"/>
      <c r="P34" s="86"/>
      <c r="Q34" s="93"/>
      <c r="R34" t="s">
        <v>132</v>
      </c>
      <c r="S34" s="101">
        <v>-3144</v>
      </c>
      <c r="T34" s="118">
        <v>6</v>
      </c>
      <c r="U34" s="119">
        <f t="shared" si="0"/>
        <v>-524</v>
      </c>
      <c r="V34" s="118">
        <v>6</v>
      </c>
      <c r="W34" s="119">
        <f t="shared" ref="W34:W40" si="1">U34*V34</f>
        <v>-3144</v>
      </c>
      <c r="X34" s="119">
        <f t="shared" ref="X34:X40" si="2">S34-W34</f>
        <v>0</v>
      </c>
      <c r="Z34">
        <f>6990+2330</f>
        <v>9320</v>
      </c>
    </row>
    <row r="35" spans="2:26">
      <c r="B35" s="39"/>
      <c r="C35" s="1"/>
      <c r="D35" s="11"/>
      <c r="F35" t="s">
        <v>668</v>
      </c>
      <c r="H35" s="14">
        <v>450</v>
      </c>
      <c r="I35" s="8"/>
      <c r="K35" s="19"/>
      <c r="L35" s="14"/>
      <c r="N35" s="39" t="s">
        <v>540</v>
      </c>
      <c r="O35" s="19">
        <v>6000</v>
      </c>
      <c r="P35" s="14"/>
      <c r="R35" t="s">
        <v>277</v>
      </c>
      <c r="S35" s="101">
        <v>-18198.95</v>
      </c>
      <c r="T35" s="118">
        <v>6</v>
      </c>
      <c r="U35" s="119">
        <f t="shared" si="0"/>
        <v>-3033.1583333333333</v>
      </c>
      <c r="V35" s="118">
        <v>6</v>
      </c>
      <c r="W35" s="119">
        <f t="shared" si="1"/>
        <v>-18198.95</v>
      </c>
      <c r="X35" s="119">
        <f t="shared" si="2"/>
        <v>0</v>
      </c>
    </row>
    <row r="36" spans="2:26">
      <c r="B36" s="39"/>
      <c r="C36" s="1"/>
      <c r="D36" s="11"/>
      <c r="F36" t="s">
        <v>169</v>
      </c>
      <c r="G36">
        <v>672.03</v>
      </c>
      <c r="H36" s="14"/>
      <c r="K36" s="19"/>
      <c r="L36" s="14"/>
      <c r="N36" s="39" t="s">
        <v>653</v>
      </c>
      <c r="O36" s="19">
        <v>2000</v>
      </c>
      <c r="P36" s="11"/>
      <c r="R36" t="s">
        <v>470</v>
      </c>
      <c r="S36" s="101">
        <v>-7768.75</v>
      </c>
      <c r="T36" s="118">
        <v>3</v>
      </c>
      <c r="U36" s="119">
        <f t="shared" si="0"/>
        <v>-2589.5833333333335</v>
      </c>
      <c r="V36" s="118">
        <v>3</v>
      </c>
      <c r="W36" s="119">
        <f t="shared" si="1"/>
        <v>-7768.75</v>
      </c>
      <c r="X36" s="119">
        <f t="shared" si="2"/>
        <v>0</v>
      </c>
    </row>
    <row r="37" spans="2:26">
      <c r="B37" s="39"/>
      <c r="C37" s="20"/>
      <c r="D37" s="11"/>
      <c r="F37" t="s">
        <v>669</v>
      </c>
      <c r="H37" s="14">
        <v>130</v>
      </c>
      <c r="K37" s="19"/>
      <c r="L37" s="14"/>
      <c r="N37" s="39" t="s">
        <v>655</v>
      </c>
      <c r="O37" s="19">
        <v>826.67</v>
      </c>
      <c r="P37" s="11"/>
      <c r="R37" t="s">
        <v>468</v>
      </c>
      <c r="S37" s="1">
        <v>-5934</v>
      </c>
      <c r="T37">
        <v>6</v>
      </c>
      <c r="U37" s="2">
        <f t="shared" si="0"/>
        <v>-989</v>
      </c>
      <c r="V37">
        <v>6</v>
      </c>
      <c r="W37" s="2">
        <f t="shared" si="1"/>
        <v>-5934</v>
      </c>
      <c r="X37" s="2">
        <f t="shared" si="2"/>
        <v>0</v>
      </c>
    </row>
    <row r="38" spans="2:26">
      <c r="B38" s="39"/>
      <c r="C38" s="20"/>
      <c r="D38" s="11"/>
      <c r="F38" s="116"/>
      <c r="H38" s="14"/>
      <c r="K38" s="19"/>
      <c r="L38" s="14"/>
      <c r="M38" s="29"/>
      <c r="N38" s="39"/>
      <c r="O38" s="19"/>
      <c r="P38" s="11"/>
      <c r="Q38" s="29"/>
      <c r="R38" t="s">
        <v>471</v>
      </c>
      <c r="S38" s="1">
        <v>-6588.04</v>
      </c>
      <c r="T38" s="118">
        <v>12</v>
      </c>
      <c r="U38" s="2">
        <f t="shared" si="0"/>
        <v>-549.00333333333333</v>
      </c>
      <c r="V38" s="118">
        <v>6</v>
      </c>
      <c r="W38" s="2">
        <f t="shared" si="1"/>
        <v>-3294.02</v>
      </c>
      <c r="X38" s="2">
        <f t="shared" si="2"/>
        <v>-3294.02</v>
      </c>
    </row>
    <row r="39" spans="2:26">
      <c r="B39" s="39"/>
      <c r="C39" s="20"/>
      <c r="D39" s="11"/>
      <c r="H39" s="14"/>
      <c r="K39" s="19"/>
      <c r="L39" s="14"/>
      <c r="M39" s="29"/>
      <c r="N39" s="39"/>
      <c r="O39" s="19"/>
      <c r="P39" s="11"/>
      <c r="Q39" s="29"/>
      <c r="R39" t="s">
        <v>630</v>
      </c>
      <c r="S39" s="101">
        <v>-6990</v>
      </c>
      <c r="T39" s="118">
        <v>3</v>
      </c>
      <c r="U39" s="119">
        <f t="shared" si="0"/>
        <v>-2330</v>
      </c>
      <c r="V39" s="118">
        <v>2</v>
      </c>
      <c r="W39" s="119">
        <f t="shared" si="1"/>
        <v>-4660</v>
      </c>
      <c r="X39" s="119">
        <f t="shared" si="2"/>
        <v>-2330</v>
      </c>
    </row>
    <row r="40" spans="2:26">
      <c r="B40" s="39"/>
      <c r="C40" s="20"/>
      <c r="D40" s="11"/>
      <c r="H40" s="14"/>
      <c r="K40" s="19"/>
      <c r="L40" s="11"/>
      <c r="N40" s="39"/>
      <c r="O40" s="19"/>
      <c r="P40" s="14"/>
      <c r="Q40" s="29"/>
      <c r="R40" t="s">
        <v>493</v>
      </c>
      <c r="S40" s="101">
        <v>-4218.91</v>
      </c>
      <c r="T40" s="118">
        <v>3</v>
      </c>
      <c r="U40" s="119">
        <f t="shared" si="0"/>
        <v>-1406.3033333333333</v>
      </c>
      <c r="V40" s="118">
        <v>1</v>
      </c>
      <c r="W40" s="119">
        <f t="shared" si="1"/>
        <v>-1406.3033333333333</v>
      </c>
      <c r="X40" s="119">
        <f t="shared" si="2"/>
        <v>-2812.6066666666666</v>
      </c>
    </row>
    <row r="41" spans="2:26">
      <c r="B41" s="39"/>
      <c r="C41" s="20"/>
      <c r="D41" s="11"/>
      <c r="H41" s="14"/>
      <c r="K41" s="19"/>
      <c r="L41" s="11"/>
      <c r="N41" s="39"/>
      <c r="O41" s="19"/>
      <c r="P41" s="11"/>
      <c r="Q41" s="8"/>
      <c r="R41" t="s">
        <v>11</v>
      </c>
      <c r="S41" s="2">
        <f>SUM(S33:S40)</f>
        <v>-57840.649999999994</v>
      </c>
      <c r="X41" s="2">
        <f>SUM(X33:X40)</f>
        <v>-10102.626666666667</v>
      </c>
    </row>
    <row r="42" spans="2:26">
      <c r="B42" s="39"/>
      <c r="C42" s="20"/>
      <c r="D42" s="11"/>
      <c r="H42" s="14"/>
      <c r="K42" s="19"/>
      <c r="L42" s="14"/>
      <c r="N42" s="39"/>
      <c r="O42" s="19"/>
      <c r="P42" s="11"/>
    </row>
    <row r="43" spans="2:26">
      <c r="B43" s="39"/>
      <c r="C43" s="20"/>
      <c r="D43" s="11"/>
      <c r="H43" s="14"/>
      <c r="K43" s="19"/>
      <c r="L43" s="14"/>
      <c r="N43" s="39"/>
      <c r="O43" s="19"/>
      <c r="P43" s="11"/>
      <c r="S43" s="2"/>
    </row>
    <row r="44" spans="2:26">
      <c r="B44" s="12"/>
      <c r="C44" s="20"/>
      <c r="D44" s="11"/>
      <c r="E44" s="29"/>
      <c r="H44" s="14"/>
      <c r="K44" s="19"/>
      <c r="L44" s="11"/>
      <c r="N44" s="39"/>
      <c r="O44" s="19"/>
      <c r="P44" s="11"/>
      <c r="S44" s="2"/>
      <c r="Z44">
        <f>1000*(0.2699/365)*15</f>
        <v>11.091780821917807</v>
      </c>
    </row>
    <row r="45" spans="2:26">
      <c r="B45" s="12"/>
      <c r="C45" s="20"/>
      <c r="D45" s="11"/>
      <c r="E45" s="29"/>
      <c r="H45" s="14"/>
      <c r="K45" s="19"/>
      <c r="L45" s="14"/>
      <c r="N45" s="39"/>
      <c r="O45" s="19"/>
      <c r="P45" s="11"/>
      <c r="S45" s="2"/>
    </row>
    <row r="46" spans="2:26">
      <c r="B46" s="12"/>
      <c r="C46" s="20"/>
      <c r="D46" s="11"/>
      <c r="H46" s="11"/>
      <c r="L46" s="11"/>
      <c r="N46" s="39"/>
      <c r="O46" s="19"/>
      <c r="P46" s="11"/>
      <c r="S46" s="2"/>
    </row>
    <row r="47" spans="2:26">
      <c r="B47" s="12"/>
      <c r="C47" s="20"/>
      <c r="D47" s="11"/>
      <c r="E47" s="29"/>
      <c r="H47" s="14"/>
      <c r="L47" s="11"/>
      <c r="M47" s="33"/>
      <c r="N47" s="39"/>
      <c r="O47" s="19"/>
      <c r="P47" s="11"/>
      <c r="S47" s="2"/>
    </row>
    <row r="48" spans="2:26">
      <c r="B48" s="12"/>
      <c r="C48" s="1"/>
      <c r="D48" s="11"/>
      <c r="E48" s="29"/>
      <c r="H48" s="11"/>
      <c r="L48" s="11"/>
      <c r="M48" s="33"/>
      <c r="N48" s="39"/>
      <c r="O48" s="19"/>
      <c r="P48" s="11"/>
    </row>
    <row r="49" spans="2:28">
      <c r="B49" s="12"/>
      <c r="C49" s="1"/>
      <c r="D49" s="11"/>
      <c r="H49" s="14"/>
      <c r="L49" s="11"/>
      <c r="N49" s="39"/>
      <c r="O49" s="19"/>
      <c r="P49" s="11"/>
      <c r="S49" t="s">
        <v>652</v>
      </c>
    </row>
    <row r="50" spans="2:28">
      <c r="B50" s="12"/>
      <c r="C50" s="1"/>
      <c r="D50" s="11"/>
      <c r="S50" s="1">
        <v>989</v>
      </c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-2111.8000000000002</v>
      </c>
      <c r="H51" s="2">
        <f>SUM(H33:H49)</f>
        <v>946</v>
      </c>
      <c r="J51" t="s">
        <v>2</v>
      </c>
      <c r="K51" s="2">
        <f>SUM(K33:K48)</f>
        <v>-260.43</v>
      </c>
      <c r="L51" s="2">
        <f>SUM(L33:L46)</f>
        <v>0</v>
      </c>
      <c r="N51" t="s">
        <v>2</v>
      </c>
      <c r="O51" s="2">
        <f>SUM(O33:O50)</f>
        <v>-15649.9</v>
      </c>
      <c r="P51" s="2">
        <f>SUM(P33:P50)</f>
        <v>0</v>
      </c>
      <c r="S51" s="1">
        <v>2330</v>
      </c>
    </row>
    <row r="52" spans="2:28">
      <c r="D52" s="2">
        <f>C51-D51</f>
        <v>0</v>
      </c>
      <c r="H52" s="2">
        <f>G51-H51</f>
        <v>-3057.8</v>
      </c>
      <c r="L52" s="2">
        <f>K51-L51</f>
        <v>-260.43</v>
      </c>
      <c r="P52" s="2">
        <f>O51-P51</f>
        <v>-15649.9</v>
      </c>
      <c r="S52" s="1">
        <v>6000</v>
      </c>
      <c r="AA52" t="s">
        <v>239</v>
      </c>
      <c r="AB52" s="1">
        <v>10261.049999999999</v>
      </c>
    </row>
    <row r="53" spans="2:28">
      <c r="P53" s="2">
        <f>P52-X41</f>
        <v>-5547.2733333333326</v>
      </c>
      <c r="S53" s="1">
        <v>826.67</v>
      </c>
      <c r="U53" s="2"/>
      <c r="AA53" t="s">
        <v>240</v>
      </c>
      <c r="AB53" s="1">
        <v>7081.32</v>
      </c>
    </row>
    <row r="54" spans="2:28">
      <c r="B54" t="s">
        <v>282</v>
      </c>
      <c r="R54" s="2"/>
      <c r="S54" s="1">
        <v>-12141.04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-3149.83</v>
      </c>
      <c r="L55" s="2">
        <v>-260.43</v>
      </c>
      <c r="P55" s="2">
        <f>-277.67-549</f>
        <v>-826.67000000000007</v>
      </c>
      <c r="S55" s="1">
        <f>SUM(S50:S54)</f>
        <v>-1995.3700000000008</v>
      </c>
      <c r="AA55" t="s">
        <v>242</v>
      </c>
      <c r="AB55" s="2">
        <f>AB54/2</f>
        <v>1589.8649999999998</v>
      </c>
    </row>
    <row r="57" spans="2:28">
      <c r="D57" t="s">
        <v>138</v>
      </c>
      <c r="E57" s="34" t="s">
        <v>120</v>
      </c>
      <c r="F57" s="41"/>
      <c r="G57" s="41"/>
      <c r="H57" s="51">
        <v>672.03</v>
      </c>
      <c r="I57" s="41"/>
      <c r="J57" s="41"/>
      <c r="K57" s="41"/>
      <c r="L57" s="51">
        <v>932.46</v>
      </c>
      <c r="M57" s="41"/>
      <c r="N57" s="41"/>
      <c r="O57" s="41"/>
      <c r="P57" s="51">
        <v>1759.13</v>
      </c>
      <c r="V57" t="s">
        <v>114</v>
      </c>
      <c r="W57" t="s">
        <v>115</v>
      </c>
      <c r="X57" t="s">
        <v>116</v>
      </c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/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-2477.8000000000002</v>
      </c>
      <c r="I59" s="44"/>
      <c r="J59" s="44"/>
      <c r="K59" s="44"/>
      <c r="L59" s="45">
        <f>L57+L55</f>
        <v>672.03</v>
      </c>
      <c r="M59" s="44"/>
      <c r="N59" s="44"/>
      <c r="O59" s="44"/>
      <c r="P59" s="45">
        <f>P57+P55</f>
        <v>932.46</v>
      </c>
      <c r="T59" t="s">
        <v>98</v>
      </c>
      <c r="V59" s="1">
        <f>Z59-Z60</f>
        <v>718.67999999999984</v>
      </c>
      <c r="W59" s="2">
        <f>S60-V59</f>
        <v>3518.2500000000005</v>
      </c>
      <c r="X59" s="2">
        <f>W59/2</f>
        <v>1759.1250000000002</v>
      </c>
      <c r="Z59" s="1">
        <v>3900</v>
      </c>
      <c r="AA59" s="2">
        <f>X61+Z59</f>
        <v>5659.125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S60" s="1">
        <f>ABS(H55+L55+P55)</f>
        <v>4236.93</v>
      </c>
      <c r="Z60" s="1">
        <v>3181.32</v>
      </c>
      <c r="AA60" s="2">
        <f>X62+Z60</f>
        <v>5659.125</v>
      </c>
    </row>
    <row r="61" spans="2:28">
      <c r="D61" t="s">
        <v>139</v>
      </c>
      <c r="H61" s="2"/>
      <c r="L61" s="2"/>
      <c r="P61" s="2"/>
      <c r="S61" s="1"/>
      <c r="W61" t="s">
        <v>117</v>
      </c>
      <c r="X61" s="2">
        <f>ABS(X59)</f>
        <v>1759.1250000000002</v>
      </c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W62" t="s">
        <v>118</v>
      </c>
      <c r="X62" s="1">
        <f>V59+ABS(X59)</f>
        <v>2477.8050000000003</v>
      </c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  <c r="T63" s="2"/>
    </row>
    <row r="64" spans="2:28">
      <c r="E64" s="37" t="s">
        <v>122</v>
      </c>
      <c r="F64" s="44"/>
      <c r="G64" s="44"/>
      <c r="H64" s="45"/>
      <c r="I64" s="44"/>
      <c r="J64" s="44"/>
      <c r="K64" s="44"/>
      <c r="L64" s="45"/>
      <c r="M64" s="44"/>
      <c r="N64" s="44"/>
      <c r="O64" s="44"/>
      <c r="P64" s="45"/>
    </row>
    <row r="65" spans="6:24">
      <c r="L65" s="60"/>
      <c r="P65" s="27"/>
    </row>
    <row r="66" spans="6:24">
      <c r="X66" s="1"/>
    </row>
    <row r="67" spans="6:24">
      <c r="X67" s="2"/>
    </row>
    <row r="70" spans="6:24">
      <c r="F70" s="2">
        <f>13338.18+H52</f>
        <v>10280.380000000001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69" priority="1" operator="lessThan">
      <formula>0</formula>
    </cfRule>
    <cfRule type="cellIs" dxfId="68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Hoja26"/>
  <dimension ref="A1:AB84"/>
  <sheetViews>
    <sheetView topLeftCell="I31" workbookViewId="0">
      <selection activeCell="P41" sqref="P41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455.88</v>
      </c>
      <c r="D2" s="74"/>
      <c r="E2" s="18"/>
      <c r="F2" s="18" t="s">
        <v>0</v>
      </c>
      <c r="G2" s="75">
        <v>3671.93</v>
      </c>
      <c r="H2" s="74"/>
      <c r="I2" s="18"/>
      <c r="J2" s="18" t="s">
        <v>0</v>
      </c>
      <c r="K2" s="73">
        <v>1002.17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668.2</v>
      </c>
      <c r="D3" s="11"/>
      <c r="E3" s="76"/>
      <c r="F3" s="39" t="s">
        <v>678</v>
      </c>
      <c r="G3" s="20"/>
      <c r="H3" s="24">
        <v>989</v>
      </c>
      <c r="I3" s="18"/>
      <c r="J3" s="18" t="s">
        <v>620</v>
      </c>
      <c r="K3" s="20">
        <v>9.11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193</v>
      </c>
      <c r="C4" s="23">
        <v>15576.75</v>
      </c>
      <c r="D4" s="11"/>
      <c r="E4" s="18"/>
      <c r="F4" s="39" t="s">
        <v>679</v>
      </c>
      <c r="G4" s="20"/>
      <c r="H4" s="24">
        <v>1341.47</v>
      </c>
      <c r="I4" s="18"/>
      <c r="J4" s="18" t="s">
        <v>691</v>
      </c>
      <c r="K4" s="23">
        <v>1501.73</v>
      </c>
      <c r="L4" s="77"/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39" t="s">
        <v>670</v>
      </c>
      <c r="C5" s="23">
        <v>246.04</v>
      </c>
      <c r="D5" s="11"/>
      <c r="E5" s="18"/>
      <c r="F5" s="39" t="s">
        <v>677</v>
      </c>
      <c r="G5" s="23">
        <v>5000</v>
      </c>
      <c r="H5" s="11"/>
      <c r="I5" s="18"/>
      <c r="J5" s="18" t="s">
        <v>691</v>
      </c>
      <c r="K5" s="23">
        <v>499.13</v>
      </c>
      <c r="L5" s="11"/>
      <c r="N5" s="18" t="s">
        <v>497</v>
      </c>
      <c r="O5" s="20">
        <v>2500</v>
      </c>
      <c r="P5" s="11"/>
      <c r="R5" s="18"/>
      <c r="S5" s="20"/>
      <c r="T5" s="11"/>
    </row>
    <row r="6" spans="1:20">
      <c r="B6" s="39" t="s">
        <v>671</v>
      </c>
      <c r="C6" s="23">
        <v>409.49</v>
      </c>
      <c r="D6" s="11"/>
      <c r="E6" s="18"/>
      <c r="F6" s="39" t="s">
        <v>680</v>
      </c>
      <c r="G6" s="20"/>
      <c r="H6" s="24">
        <v>3221.5</v>
      </c>
      <c r="I6" s="76"/>
      <c r="J6" s="18"/>
      <c r="K6" s="20"/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39" t="s">
        <v>672</v>
      </c>
      <c r="C7" s="23">
        <v>783.99</v>
      </c>
      <c r="D7" s="11"/>
      <c r="E7" s="76"/>
      <c r="F7" s="39" t="s">
        <v>680</v>
      </c>
      <c r="G7" s="20"/>
      <c r="H7" s="141">
        <v>1778.5</v>
      </c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673</v>
      </c>
      <c r="C8" s="20"/>
      <c r="D8" s="24">
        <v>180</v>
      </c>
      <c r="E8" s="18"/>
      <c r="F8" s="39" t="s">
        <v>1</v>
      </c>
      <c r="G8" s="23">
        <v>3181.32</v>
      </c>
      <c r="H8" s="11"/>
      <c r="I8" s="76"/>
      <c r="J8" s="18"/>
      <c r="K8" s="20"/>
      <c r="L8" s="39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662</v>
      </c>
      <c r="C9" s="20"/>
      <c r="D9" s="24">
        <v>1501.73</v>
      </c>
      <c r="E9" s="137" t="s">
        <v>674</v>
      </c>
      <c r="F9" s="39" t="s">
        <v>9</v>
      </c>
      <c r="G9" s="20"/>
      <c r="H9" s="24">
        <v>3181.32</v>
      </c>
      <c r="I9" s="18"/>
      <c r="J9" s="18"/>
      <c r="K9" s="18"/>
      <c r="L9" s="18"/>
      <c r="N9" s="18"/>
      <c r="O9" s="18"/>
      <c r="P9" s="20"/>
      <c r="R9" s="18"/>
      <c r="S9" s="18"/>
      <c r="T9" s="18"/>
    </row>
    <row r="10" spans="1:20">
      <c r="B10" s="39" t="s">
        <v>675</v>
      </c>
      <c r="C10" s="20"/>
      <c r="D10" s="24">
        <v>499.13</v>
      </c>
      <c r="E10" s="138" t="s">
        <v>676</v>
      </c>
      <c r="F10" s="39"/>
      <c r="G10" s="20"/>
      <c r="H10" s="11"/>
      <c r="I10" s="18"/>
      <c r="J10" s="18"/>
      <c r="K10" s="18"/>
      <c r="L10" s="18"/>
      <c r="N10" s="18"/>
      <c r="O10" s="18"/>
      <c r="P10" s="18"/>
      <c r="R10" s="18"/>
      <c r="S10" s="18"/>
      <c r="T10" s="18"/>
    </row>
    <row r="11" spans="1:20">
      <c r="B11" s="39" t="s">
        <v>675</v>
      </c>
      <c r="C11" s="139">
        <v>700</v>
      </c>
      <c r="D11" s="11">
        <v>700</v>
      </c>
      <c r="E11" s="39"/>
      <c r="F11" s="39"/>
      <c r="G11" s="20"/>
      <c r="H11" s="11"/>
      <c r="I11" s="18"/>
      <c r="J11" s="18"/>
      <c r="K11" s="18"/>
      <c r="L11" s="18"/>
    </row>
    <row r="12" spans="1:20">
      <c r="B12" s="39" t="s">
        <v>677</v>
      </c>
      <c r="C12" s="20"/>
      <c r="D12" s="24">
        <v>5000</v>
      </c>
      <c r="E12" s="39" t="s">
        <v>437</v>
      </c>
      <c r="F12" s="39"/>
      <c r="G12" s="20"/>
      <c r="H12" s="11"/>
      <c r="I12" s="16"/>
      <c r="J12" s="18"/>
      <c r="K12" s="91"/>
      <c r="L12" s="18"/>
    </row>
    <row r="13" spans="1:20">
      <c r="B13" s="39" t="s">
        <v>681</v>
      </c>
      <c r="C13" s="20"/>
      <c r="D13" s="24">
        <v>450</v>
      </c>
      <c r="E13" s="39" t="s">
        <v>265</v>
      </c>
      <c r="F13" s="39"/>
      <c r="G13" s="20"/>
      <c r="H13" s="11"/>
      <c r="I13" s="18"/>
      <c r="J13" s="18"/>
      <c r="K13" s="91"/>
      <c r="L13" s="18"/>
    </row>
    <row r="14" spans="1:20">
      <c r="B14" s="39" t="s">
        <v>682</v>
      </c>
      <c r="C14" s="20"/>
      <c r="D14" s="24">
        <v>291.27999999999997</v>
      </c>
      <c r="E14" s="39" t="s">
        <v>265</v>
      </c>
      <c r="F14" s="39"/>
      <c r="G14" s="20"/>
      <c r="H14" s="11"/>
      <c r="I14" s="18"/>
      <c r="J14" s="18"/>
      <c r="K14" s="91"/>
      <c r="L14" s="18"/>
    </row>
    <row r="15" spans="1:20">
      <c r="B15" s="39" t="s">
        <v>683</v>
      </c>
      <c r="C15" s="20"/>
      <c r="D15" s="24">
        <v>2477.81</v>
      </c>
      <c r="E15" s="39" t="s">
        <v>685</v>
      </c>
      <c r="F15" s="39"/>
      <c r="G15" s="20"/>
      <c r="H15" s="11"/>
      <c r="I15" s="18"/>
      <c r="J15" s="91"/>
      <c r="K15" s="18"/>
      <c r="L15" s="18"/>
    </row>
    <row r="16" spans="1:20">
      <c r="B16" s="39" t="s">
        <v>684</v>
      </c>
      <c r="C16" s="139"/>
      <c r="D16" s="100">
        <v>1000</v>
      </c>
      <c r="E16" s="39"/>
      <c r="F16" s="39"/>
      <c r="G16" s="20"/>
      <c r="H16" s="11"/>
      <c r="I16" s="18"/>
      <c r="J16" s="18"/>
      <c r="K16" s="91"/>
      <c r="L16" s="18"/>
    </row>
    <row r="17" spans="1:24">
      <c r="B17" s="39" t="s">
        <v>689</v>
      </c>
      <c r="C17" s="20"/>
      <c r="D17" s="24">
        <v>1438</v>
      </c>
      <c r="E17" s="39" t="s">
        <v>685</v>
      </c>
      <c r="F17" s="39"/>
      <c r="G17" s="20"/>
      <c r="H17" s="11"/>
      <c r="I17" s="18"/>
      <c r="J17" s="18"/>
      <c r="K17" s="18"/>
      <c r="L17" s="18"/>
    </row>
    <row r="18" spans="1:24">
      <c r="B18" s="39" t="s">
        <v>1</v>
      </c>
      <c r="C18" s="20"/>
      <c r="D18" s="24">
        <v>3181.32</v>
      </c>
      <c r="E18" s="39" t="s">
        <v>437</v>
      </c>
      <c r="F18" s="39"/>
      <c r="G18" s="20"/>
      <c r="H18" s="11"/>
    </row>
    <row r="19" spans="1:24">
      <c r="B19" s="39" t="s">
        <v>693</v>
      </c>
      <c r="C19" s="101">
        <v>127.85</v>
      </c>
      <c r="D19" s="11"/>
      <c r="E19" s="96"/>
      <c r="F19" s="39"/>
      <c r="G19" s="20"/>
      <c r="H19" s="11"/>
      <c r="J19" s="2"/>
    </row>
    <row r="20" spans="1:24">
      <c r="B20" s="39" t="s">
        <v>694</v>
      </c>
      <c r="C20" s="20"/>
      <c r="D20" s="100">
        <v>100</v>
      </c>
      <c r="F20" s="39"/>
      <c r="G20" s="20"/>
      <c r="H20" s="19"/>
    </row>
    <row r="21" spans="1:24">
      <c r="A21" s="39"/>
      <c r="B21" s="39" t="s">
        <v>695</v>
      </c>
      <c r="C21" s="20"/>
      <c r="D21" s="100">
        <v>127.85</v>
      </c>
      <c r="F21" s="140"/>
      <c r="G21" s="20"/>
      <c r="H21" s="19"/>
    </row>
    <row r="22" spans="1:24">
      <c r="B22" s="39" t="s">
        <v>697</v>
      </c>
      <c r="C22" s="101">
        <v>21.28</v>
      </c>
      <c r="D22" s="11"/>
      <c r="F22" s="39"/>
      <c r="G22" s="20"/>
      <c r="H22" s="19"/>
    </row>
    <row r="23" spans="1:24">
      <c r="B23" s="39" t="s">
        <v>698</v>
      </c>
      <c r="C23" s="20"/>
      <c r="D23" s="100">
        <v>136</v>
      </c>
      <c r="G23" s="20"/>
      <c r="H23" s="19"/>
    </row>
    <row r="24" spans="1:24">
      <c r="B24" s="39" t="s">
        <v>86</v>
      </c>
      <c r="C24" s="20"/>
      <c r="D24" s="100">
        <v>641.15</v>
      </c>
      <c r="G24" s="20"/>
      <c r="H24" s="19"/>
    </row>
    <row r="25" spans="1:24">
      <c r="B25" s="39" t="s">
        <v>53</v>
      </c>
      <c r="C25" s="20"/>
      <c r="D25" s="100">
        <v>98</v>
      </c>
      <c r="G25" s="20"/>
      <c r="H25" s="19"/>
    </row>
    <row r="26" spans="1:24">
      <c r="B26" s="39" t="s">
        <v>53</v>
      </c>
      <c r="C26" s="20"/>
      <c r="D26" s="100">
        <v>210</v>
      </c>
      <c r="G26" s="20"/>
      <c r="H26" s="19"/>
    </row>
    <row r="27" spans="1:24">
      <c r="B27" s="39" t="s">
        <v>699</v>
      </c>
      <c r="C27" s="1"/>
      <c r="D27" s="100">
        <v>950</v>
      </c>
      <c r="G27" s="20"/>
      <c r="H27" s="19"/>
    </row>
    <row r="28" spans="1:24">
      <c r="B28" t="s">
        <v>2</v>
      </c>
      <c r="C28" s="2">
        <f>SUM(C2:C26)</f>
        <v>18989.480000000003</v>
      </c>
      <c r="D28" s="2">
        <f>SUM(D3:D27)</f>
        <v>18982.27</v>
      </c>
      <c r="F28" t="s">
        <v>2</v>
      </c>
      <c r="G28" s="2">
        <f>SUM(G2:G27)</f>
        <v>11853.25</v>
      </c>
      <c r="H28" s="2">
        <f>SUM(H3:H27)</f>
        <v>10511.79</v>
      </c>
      <c r="J28" t="s">
        <v>2</v>
      </c>
      <c r="K28" s="2">
        <f>SUM(K1:K10)</f>
        <v>3012.1400000000003</v>
      </c>
      <c r="L28" s="2">
        <f>SUM(L2:L10)</f>
        <v>0</v>
      </c>
      <c r="N28" t="s">
        <v>2</v>
      </c>
      <c r="O28" s="2">
        <f>SUM(O1:O10)</f>
        <v>4300</v>
      </c>
      <c r="P28" s="2">
        <f>SUM(P2:P10)</f>
        <v>4300</v>
      </c>
      <c r="R28" t="s">
        <v>2</v>
      </c>
      <c r="S28" s="2">
        <f>SUM(S1:S10)</f>
        <v>5000</v>
      </c>
      <c r="T28" s="2">
        <f>SUM(T2:T10)</f>
        <v>5000</v>
      </c>
    </row>
    <row r="29" spans="1:24">
      <c r="D29" s="2">
        <f>C28-D28</f>
        <v>7.2100000000027649</v>
      </c>
      <c r="H29" s="2">
        <f>G28-H28</f>
        <v>1341.4599999999991</v>
      </c>
      <c r="L29" s="2">
        <f>K28-L28</f>
        <v>3012.1400000000003</v>
      </c>
      <c r="P29" s="2">
        <f>O28-P28</f>
        <v>0</v>
      </c>
      <c r="T29" s="2">
        <f>S28-T28</f>
        <v>0</v>
      </c>
    </row>
    <row r="30" spans="1:24">
      <c r="A30">
        <v>1032.8900000000001</v>
      </c>
    </row>
    <row r="31" spans="1:24">
      <c r="A31" s="2">
        <f>A30-D29</f>
        <v>1025.6799999999973</v>
      </c>
      <c r="V31" s="102">
        <v>42843</v>
      </c>
    </row>
    <row r="32" spans="1:24">
      <c r="C32" s="217" t="s">
        <v>12</v>
      </c>
      <c r="D32" s="217"/>
      <c r="G32" s="217" t="s">
        <v>16</v>
      </c>
      <c r="H32" s="217"/>
      <c r="K32" s="217" t="s">
        <v>77</v>
      </c>
      <c r="L32" s="217"/>
      <c r="O32" s="217" t="s">
        <v>90</v>
      </c>
      <c r="P32" s="217"/>
      <c r="S32" t="s">
        <v>163</v>
      </c>
      <c r="T32" t="s">
        <v>335</v>
      </c>
      <c r="U32" t="s">
        <v>165</v>
      </c>
      <c r="V32" t="s">
        <v>336</v>
      </c>
      <c r="W32" t="s">
        <v>337</v>
      </c>
      <c r="X32" t="s">
        <v>338</v>
      </c>
    </row>
    <row r="33" spans="2:26">
      <c r="B33" t="s">
        <v>0</v>
      </c>
      <c r="C33" s="3">
        <v>0</v>
      </c>
      <c r="D33" s="4"/>
      <c r="F33" t="s">
        <v>0</v>
      </c>
      <c r="G33" s="3">
        <v>-3057.8</v>
      </c>
      <c r="H33" s="4"/>
      <c r="J33" t="s">
        <v>0</v>
      </c>
      <c r="K33" s="3">
        <v>-260.43</v>
      </c>
      <c r="L33" s="4"/>
      <c r="M33" s="33"/>
      <c r="N33" t="s">
        <v>0</v>
      </c>
      <c r="O33" s="3">
        <v>-17040.599999999999</v>
      </c>
      <c r="P33" s="4"/>
      <c r="R33" t="s">
        <v>469</v>
      </c>
      <c r="S33" s="1">
        <v>-4998</v>
      </c>
      <c r="T33">
        <v>18</v>
      </c>
      <c r="U33" s="2">
        <f t="shared" ref="U33:U40" si="0">S33/T33</f>
        <v>-277.66666666666669</v>
      </c>
      <c r="V33">
        <v>12</v>
      </c>
      <c r="W33" s="2">
        <f>U33*V33</f>
        <v>-3332</v>
      </c>
      <c r="X33" s="2">
        <f>S33-W33</f>
        <v>-1666</v>
      </c>
    </row>
    <row r="34" spans="2:26">
      <c r="B34" s="39" t="s">
        <v>13</v>
      </c>
      <c r="C34" s="1"/>
      <c r="D34" s="1">
        <v>0</v>
      </c>
      <c r="F34" t="s">
        <v>686</v>
      </c>
      <c r="H34" s="100">
        <v>1729.28</v>
      </c>
      <c r="K34" s="19"/>
      <c r="L34" s="14"/>
      <c r="M34" s="29"/>
      <c r="N34" t="s">
        <v>678</v>
      </c>
      <c r="O34" s="27">
        <v>989</v>
      </c>
      <c r="P34" s="11"/>
      <c r="Q34" s="93"/>
      <c r="R34" t="s">
        <v>132</v>
      </c>
      <c r="S34" s="101">
        <v>-3144</v>
      </c>
      <c r="T34" s="118">
        <v>6</v>
      </c>
      <c r="U34" s="119">
        <f t="shared" si="0"/>
        <v>-524</v>
      </c>
      <c r="V34" s="118">
        <v>6</v>
      </c>
      <c r="W34" s="119">
        <f t="shared" ref="W34:W40" si="1">U34*V34</f>
        <v>-3144</v>
      </c>
      <c r="X34" s="119">
        <f t="shared" ref="X34:X40" si="2">S34-W34</f>
        <v>0</v>
      </c>
      <c r="Z34">
        <f>6990+2330</f>
        <v>9320</v>
      </c>
    </row>
    <row r="35" spans="2:26">
      <c r="B35" s="39"/>
      <c r="C35" s="1"/>
      <c r="D35" s="11"/>
      <c r="F35" t="s">
        <v>427</v>
      </c>
      <c r="H35" s="100">
        <v>719</v>
      </c>
      <c r="I35" s="8"/>
      <c r="K35" s="19"/>
      <c r="L35" s="14"/>
      <c r="N35" s="39" t="s">
        <v>692</v>
      </c>
      <c r="O35" s="27">
        <v>1341.47</v>
      </c>
      <c r="P35" s="11"/>
      <c r="R35" t="s">
        <v>277</v>
      </c>
      <c r="S35" s="101">
        <v>-18198.95</v>
      </c>
      <c r="T35" s="118">
        <v>6</v>
      </c>
      <c r="U35" s="119">
        <f t="shared" si="0"/>
        <v>-3033.1583333333333</v>
      </c>
      <c r="V35" s="118">
        <v>6</v>
      </c>
      <c r="W35" s="119">
        <f t="shared" si="1"/>
        <v>-18198.95</v>
      </c>
      <c r="X35" s="119">
        <f t="shared" si="2"/>
        <v>0</v>
      </c>
    </row>
    <row r="36" spans="2:26">
      <c r="B36" s="39"/>
      <c r="C36" s="1"/>
      <c r="D36" s="11"/>
      <c r="F36" t="s">
        <v>20</v>
      </c>
      <c r="H36" s="100">
        <v>129</v>
      </c>
      <c r="K36" s="19"/>
      <c r="L36" s="14"/>
      <c r="N36" s="39" t="s">
        <v>692</v>
      </c>
      <c r="O36" s="27">
        <v>3221.5</v>
      </c>
      <c r="P36" s="11"/>
      <c r="R36" t="s">
        <v>470</v>
      </c>
      <c r="S36" s="101">
        <v>-7768.75</v>
      </c>
      <c r="T36" s="118">
        <v>3</v>
      </c>
      <c r="U36" s="119">
        <f t="shared" si="0"/>
        <v>-2589.5833333333335</v>
      </c>
      <c r="V36" s="118">
        <v>3</v>
      </c>
      <c r="W36" s="119">
        <f t="shared" si="1"/>
        <v>-7768.75</v>
      </c>
      <c r="X36" s="119">
        <f t="shared" si="2"/>
        <v>0</v>
      </c>
    </row>
    <row r="37" spans="2:26">
      <c r="B37" s="39"/>
      <c r="C37" s="20"/>
      <c r="D37" s="11"/>
      <c r="F37" t="s">
        <v>687</v>
      </c>
      <c r="H37" s="100">
        <v>149</v>
      </c>
      <c r="K37" s="19"/>
      <c r="L37" s="14"/>
      <c r="N37" s="39" t="s">
        <v>692</v>
      </c>
      <c r="O37" s="27">
        <v>1778.5</v>
      </c>
      <c r="P37" s="11"/>
      <c r="R37" t="s">
        <v>468</v>
      </c>
      <c r="S37" s="101">
        <v>-5934</v>
      </c>
      <c r="T37" s="118">
        <v>6</v>
      </c>
      <c r="U37" s="119">
        <f t="shared" si="0"/>
        <v>-989</v>
      </c>
      <c r="V37" s="118">
        <v>6</v>
      </c>
      <c r="W37" s="119">
        <f t="shared" si="1"/>
        <v>-5934</v>
      </c>
      <c r="X37" s="119">
        <f t="shared" si="2"/>
        <v>0</v>
      </c>
    </row>
    <row r="38" spans="2:26">
      <c r="B38" s="39"/>
      <c r="C38" s="20"/>
      <c r="D38" s="11"/>
      <c r="F38" s="116" t="s">
        <v>169</v>
      </c>
      <c r="G38" s="118">
        <v>2477.81</v>
      </c>
      <c r="H38" s="14"/>
      <c r="K38" s="19"/>
      <c r="L38" s="14"/>
      <c r="M38" s="29"/>
      <c r="N38" s="39" t="s">
        <v>629</v>
      </c>
      <c r="O38" s="19"/>
      <c r="P38" s="24">
        <v>143.84</v>
      </c>
      <c r="Q38" s="29"/>
      <c r="R38" t="s">
        <v>471</v>
      </c>
      <c r="S38" s="1">
        <v>-6588.04</v>
      </c>
      <c r="T38">
        <v>12</v>
      </c>
      <c r="U38" s="2">
        <f t="shared" si="0"/>
        <v>-549.00333333333333</v>
      </c>
      <c r="V38">
        <v>6</v>
      </c>
      <c r="W38" s="2">
        <f t="shared" si="1"/>
        <v>-3294.02</v>
      </c>
      <c r="X38" s="2">
        <f t="shared" si="2"/>
        <v>-3294.02</v>
      </c>
    </row>
    <row r="39" spans="2:26">
      <c r="B39" s="39"/>
      <c r="C39" s="20"/>
      <c r="D39" s="11"/>
      <c r="F39" t="s">
        <v>688</v>
      </c>
      <c r="G39" s="118">
        <v>450</v>
      </c>
      <c r="H39" s="14"/>
      <c r="K39" s="19"/>
      <c r="L39" s="14"/>
      <c r="M39" s="29"/>
      <c r="N39" s="39" t="s">
        <v>696</v>
      </c>
      <c r="O39" s="19"/>
      <c r="P39" s="24">
        <v>49</v>
      </c>
      <c r="Q39" s="29"/>
      <c r="R39" t="s">
        <v>630</v>
      </c>
      <c r="S39" s="1">
        <v>-6990</v>
      </c>
      <c r="T39">
        <v>3</v>
      </c>
      <c r="U39" s="2">
        <f t="shared" si="0"/>
        <v>-2330</v>
      </c>
      <c r="V39">
        <v>2</v>
      </c>
      <c r="W39" s="2">
        <f t="shared" si="1"/>
        <v>-4660</v>
      </c>
      <c r="X39" s="2">
        <f t="shared" si="2"/>
        <v>-2330</v>
      </c>
    </row>
    <row r="40" spans="2:26">
      <c r="B40" s="39"/>
      <c r="C40" s="20"/>
      <c r="D40" s="11"/>
      <c r="F40" t="s">
        <v>690</v>
      </c>
      <c r="G40" s="118">
        <v>1729.28</v>
      </c>
      <c r="H40" s="14"/>
      <c r="K40" s="19"/>
      <c r="L40" s="11"/>
      <c r="N40" s="39" t="s">
        <v>493</v>
      </c>
      <c r="O40" s="19"/>
      <c r="P40" s="14">
        <v>4218.91</v>
      </c>
      <c r="Q40" s="29"/>
      <c r="R40" t="s">
        <v>493</v>
      </c>
      <c r="S40" s="1">
        <v>-4218.91</v>
      </c>
      <c r="T40">
        <v>3</v>
      </c>
      <c r="U40" s="2">
        <f t="shared" si="0"/>
        <v>-1406.3033333333333</v>
      </c>
      <c r="V40">
        <v>1</v>
      </c>
      <c r="W40" s="2">
        <f t="shared" si="1"/>
        <v>-1406.3033333333333</v>
      </c>
      <c r="X40" s="2">
        <f t="shared" si="2"/>
        <v>-2812.6066666666666</v>
      </c>
    </row>
    <row r="41" spans="2:26">
      <c r="B41" s="39"/>
      <c r="C41" s="20"/>
      <c r="D41" s="11"/>
      <c r="F41" t="s">
        <v>21</v>
      </c>
      <c r="H41" s="142">
        <v>319.83999999999997</v>
      </c>
      <c r="K41" s="19"/>
      <c r="L41" s="11"/>
      <c r="N41" s="39"/>
      <c r="O41" s="19"/>
      <c r="P41" s="11"/>
      <c r="Q41" s="8"/>
      <c r="R41" t="s">
        <v>11</v>
      </c>
      <c r="S41" s="2">
        <f>SUM(S33:S40)</f>
        <v>-57840.649999999994</v>
      </c>
      <c r="X41" s="2">
        <f>SUM(X33:X40)</f>
        <v>-10102.626666666667</v>
      </c>
    </row>
    <row r="42" spans="2:26">
      <c r="B42" s="39"/>
      <c r="C42" s="20"/>
      <c r="D42" s="11"/>
      <c r="F42" t="s">
        <v>700</v>
      </c>
      <c r="H42" s="142">
        <v>41.18</v>
      </c>
      <c r="K42" s="19"/>
      <c r="L42" s="14"/>
      <c r="N42" s="39"/>
      <c r="O42" s="19"/>
      <c r="P42" s="11"/>
    </row>
    <row r="43" spans="2:26">
      <c r="B43" s="39"/>
      <c r="C43" s="20"/>
      <c r="D43" s="11"/>
      <c r="F43" t="s">
        <v>701</v>
      </c>
      <c r="G43" s="118">
        <v>194.14</v>
      </c>
      <c r="H43" s="14"/>
      <c r="K43" s="19"/>
      <c r="L43" s="14"/>
      <c r="N43" s="39"/>
      <c r="O43" s="19"/>
      <c r="P43" s="11"/>
      <c r="S43" s="2"/>
    </row>
    <row r="44" spans="2:26">
      <c r="B44" s="12"/>
      <c r="C44" s="20"/>
      <c r="D44" s="11"/>
      <c r="E44" s="29"/>
      <c r="H44" s="14"/>
      <c r="K44" s="19"/>
      <c r="L44" s="11"/>
      <c r="N44" s="39"/>
      <c r="O44" s="19"/>
      <c r="P44" s="11"/>
      <c r="S44" s="2"/>
      <c r="Z44">
        <f>1000*(0.2699/365)*15</f>
        <v>11.091780821917807</v>
      </c>
    </row>
    <row r="45" spans="2:26">
      <c r="B45" s="12"/>
      <c r="C45" s="20"/>
      <c r="D45" s="11"/>
      <c r="E45" s="29"/>
      <c r="H45" s="14"/>
      <c r="K45" s="19"/>
      <c r="L45" s="14"/>
      <c r="N45" s="39"/>
      <c r="O45" s="19"/>
      <c r="P45" s="11"/>
      <c r="S45" s="2"/>
    </row>
    <row r="46" spans="2:26">
      <c r="B46" s="12"/>
      <c r="C46" s="20"/>
      <c r="D46" s="11"/>
      <c r="H46" s="11"/>
      <c r="L46" s="11"/>
      <c r="N46" s="39"/>
      <c r="O46" s="19"/>
      <c r="P46" s="11"/>
      <c r="S46" s="2"/>
    </row>
    <row r="47" spans="2:26">
      <c r="B47" s="12"/>
      <c r="C47" s="20"/>
      <c r="D47" s="11"/>
      <c r="E47" s="29"/>
      <c r="H47" s="14"/>
      <c r="L47" s="11"/>
      <c r="M47" s="33"/>
      <c r="N47" s="39"/>
      <c r="O47" s="19"/>
      <c r="P47" s="11"/>
      <c r="S47" s="2"/>
    </row>
    <row r="48" spans="2:26">
      <c r="B48" s="12"/>
      <c r="C48" s="1"/>
      <c r="D48" s="11"/>
      <c r="E48" s="29"/>
      <c r="H48" s="11"/>
      <c r="L48" s="11"/>
      <c r="M48" s="33"/>
      <c r="N48" s="39"/>
      <c r="O48" s="19"/>
      <c r="P48" s="11"/>
    </row>
    <row r="49" spans="2:28">
      <c r="B49" s="12"/>
      <c r="C49" s="1"/>
      <c r="D49" s="11"/>
      <c r="H49" s="14"/>
      <c r="L49" s="11"/>
      <c r="N49" s="39"/>
      <c r="O49" s="19"/>
      <c r="P49" s="11"/>
      <c r="S49" t="s">
        <v>652</v>
      </c>
    </row>
    <row r="50" spans="2:28">
      <c r="B50" s="12"/>
      <c r="C50" s="1"/>
      <c r="D50" s="11"/>
      <c r="S50" s="1">
        <v>989</v>
      </c>
    </row>
    <row r="51" spans="2:28">
      <c r="B51" t="s">
        <v>2</v>
      </c>
      <c r="C51" s="2">
        <f>SUM(C33:C48)</f>
        <v>0</v>
      </c>
      <c r="D51" s="2">
        <f>SUM(D34:D50)</f>
        <v>0</v>
      </c>
      <c r="F51" t="s">
        <v>2</v>
      </c>
      <c r="G51" s="2">
        <f>SUM(G33:G50)</f>
        <v>1793.4299999999998</v>
      </c>
      <c r="H51" s="2">
        <f>SUM(H33:H49)</f>
        <v>3087.2999999999997</v>
      </c>
      <c r="J51" t="s">
        <v>2</v>
      </c>
      <c r="K51" s="2">
        <f>SUM(K33:K48)</f>
        <v>-260.43</v>
      </c>
      <c r="L51" s="2">
        <f>SUM(L33:L46)</f>
        <v>0</v>
      </c>
      <c r="N51" t="s">
        <v>2</v>
      </c>
      <c r="O51" s="2">
        <f>SUM(O33:O50)</f>
        <v>-9710.1299999999992</v>
      </c>
      <c r="P51" s="2">
        <f>SUM(P33:P50)</f>
        <v>4411.75</v>
      </c>
      <c r="S51" s="1">
        <v>2330</v>
      </c>
    </row>
    <row r="52" spans="2:28">
      <c r="D52" s="2">
        <f>C51-D51</f>
        <v>0</v>
      </c>
      <c r="H52" s="2">
        <f>G51-H51</f>
        <v>-1293.8699999999999</v>
      </c>
      <c r="L52" s="2">
        <f>K51-L51</f>
        <v>-260.43</v>
      </c>
      <c r="P52" s="2">
        <f>O51-P51</f>
        <v>-14121.88</v>
      </c>
      <c r="S52" s="1">
        <v>6000</v>
      </c>
      <c r="AA52" t="s">
        <v>239</v>
      </c>
      <c r="AB52" s="1">
        <v>10261.049999999999</v>
      </c>
    </row>
    <row r="53" spans="2:28">
      <c r="P53" s="2">
        <f>P52-X41</f>
        <v>-4019.2533333333322</v>
      </c>
      <c r="S53" s="1">
        <v>826.67</v>
      </c>
      <c r="U53" s="2"/>
      <c r="AA53" t="s">
        <v>240</v>
      </c>
      <c r="AB53" s="1">
        <v>7081.32</v>
      </c>
    </row>
    <row r="54" spans="2:28">
      <c r="B54" t="s">
        <v>282</v>
      </c>
      <c r="R54" s="2"/>
      <c r="S54" s="1">
        <v>-12141.04</v>
      </c>
      <c r="AA54" t="s">
        <v>241</v>
      </c>
      <c r="AB54" s="1">
        <f>AB52-AB53</f>
        <v>3179.7299999999996</v>
      </c>
    </row>
    <row r="55" spans="2:28">
      <c r="E55" t="s">
        <v>235</v>
      </c>
      <c r="H55" s="2">
        <v>-3149.83</v>
      </c>
      <c r="L55" s="2">
        <v>-260.43</v>
      </c>
      <c r="P55" s="2">
        <f>-277.67-549</f>
        <v>-826.67000000000007</v>
      </c>
      <c r="S55" s="1">
        <f>SUM(S50:S54)</f>
        <v>-1995.3700000000008</v>
      </c>
      <c r="AA55" t="s">
        <v>242</v>
      </c>
      <c r="AB55" s="2">
        <f>AB54/2</f>
        <v>1589.8649999999998</v>
      </c>
    </row>
    <row r="57" spans="2:28">
      <c r="D57" t="s">
        <v>138</v>
      </c>
      <c r="E57" s="34" t="s">
        <v>120</v>
      </c>
      <c r="F57" s="41"/>
      <c r="G57" s="41"/>
      <c r="H57" s="51">
        <v>672.03</v>
      </c>
      <c r="I57" s="41"/>
      <c r="J57" s="41"/>
      <c r="K57" s="41"/>
      <c r="L57" s="51">
        <v>932.46</v>
      </c>
      <c r="M57" s="41"/>
      <c r="N57" s="41"/>
      <c r="O57" s="41"/>
      <c r="P57" s="51">
        <v>1759.13</v>
      </c>
      <c r="V57" t="s">
        <v>114</v>
      </c>
      <c r="W57" t="s">
        <v>115</v>
      </c>
      <c r="X57" t="s">
        <v>116</v>
      </c>
    </row>
    <row r="58" spans="2:28">
      <c r="E58" s="36" t="s">
        <v>121</v>
      </c>
      <c r="F58" s="22"/>
      <c r="G58" s="22"/>
      <c r="H58" s="43">
        <v>0</v>
      </c>
      <c r="I58" s="22"/>
      <c r="J58" s="22"/>
      <c r="K58" s="22"/>
      <c r="L58" s="43">
        <v>0</v>
      </c>
      <c r="M58" s="22"/>
      <c r="N58" s="22"/>
      <c r="O58" s="22"/>
      <c r="P58" s="43"/>
      <c r="Z58" t="s">
        <v>119</v>
      </c>
      <c r="AA58" t="s">
        <v>11</v>
      </c>
    </row>
    <row r="59" spans="2:28">
      <c r="E59" s="37" t="s">
        <v>122</v>
      </c>
      <c r="F59" s="44"/>
      <c r="G59" s="44"/>
      <c r="H59" s="45">
        <f>H57+H55</f>
        <v>-2477.8000000000002</v>
      </c>
      <c r="I59" s="44"/>
      <c r="J59" s="44"/>
      <c r="K59" s="44"/>
      <c r="L59" s="45">
        <f>L57+L55</f>
        <v>672.03</v>
      </c>
      <c r="M59" s="44"/>
      <c r="N59" s="44"/>
      <c r="O59" s="44"/>
      <c r="P59" s="45">
        <f>P57+P55</f>
        <v>932.46</v>
      </c>
      <c r="T59" t="s">
        <v>98</v>
      </c>
      <c r="V59" s="1">
        <f>Z59-Z60</f>
        <v>718.67999999999984</v>
      </c>
      <c r="W59" s="2">
        <f>S60-V59</f>
        <v>3518.2500000000005</v>
      </c>
      <c r="X59" s="2">
        <f>W59/2</f>
        <v>1759.1250000000002</v>
      </c>
      <c r="Z59" s="1">
        <v>3900</v>
      </c>
      <c r="AA59" s="2">
        <f>X61+Z59</f>
        <v>5659.125</v>
      </c>
    </row>
    <row r="60" spans="2:28">
      <c r="E60" s="22"/>
      <c r="F60" s="22"/>
      <c r="G60" s="22"/>
      <c r="H60" s="25"/>
      <c r="I60" s="22"/>
      <c r="J60" s="22"/>
      <c r="K60" s="22"/>
      <c r="L60" s="25"/>
      <c r="M60" s="22"/>
      <c r="N60" s="22"/>
      <c r="O60" s="22"/>
      <c r="P60" s="25"/>
      <c r="S60" s="1">
        <f>ABS(H55+L55+P55)</f>
        <v>4236.93</v>
      </c>
      <c r="Z60" s="1">
        <v>3181.32</v>
      </c>
      <c r="AA60" s="2">
        <f>X62+Z60</f>
        <v>5659.125</v>
      </c>
    </row>
    <row r="61" spans="2:28">
      <c r="D61" t="s">
        <v>139</v>
      </c>
      <c r="H61" s="2"/>
      <c r="L61" s="2"/>
      <c r="P61" s="2"/>
      <c r="S61" s="1"/>
      <c r="W61" t="s">
        <v>117</v>
      </c>
      <c r="X61" s="2">
        <f>ABS(X59)</f>
        <v>1759.1250000000002</v>
      </c>
    </row>
    <row r="62" spans="2:28">
      <c r="E62" s="34" t="s">
        <v>169</v>
      </c>
      <c r="F62" s="41"/>
      <c r="G62" s="41"/>
      <c r="H62" s="51"/>
      <c r="I62" s="41"/>
      <c r="J62" s="41"/>
      <c r="K62" s="41"/>
      <c r="L62" s="51"/>
      <c r="M62" s="41"/>
      <c r="N62" s="41"/>
      <c r="O62" s="41"/>
      <c r="P62" s="53"/>
      <c r="W62" t="s">
        <v>118</v>
      </c>
      <c r="X62" s="1">
        <f>V59+ABS(X59)</f>
        <v>2477.8050000000003</v>
      </c>
      <c r="Z62" s="2"/>
    </row>
    <row r="63" spans="2:28">
      <c r="E63" s="36" t="s">
        <v>244</v>
      </c>
      <c r="F63" s="22"/>
      <c r="G63" s="22"/>
      <c r="H63" s="43"/>
      <c r="I63" s="22"/>
      <c r="J63" s="22"/>
      <c r="K63" s="22"/>
      <c r="L63" s="43"/>
      <c r="M63" s="22"/>
      <c r="N63" s="22"/>
      <c r="O63" s="22"/>
      <c r="P63" s="43"/>
      <c r="T63" s="2"/>
    </row>
    <row r="64" spans="2:28">
      <c r="E64" s="37" t="s">
        <v>122</v>
      </c>
      <c r="F64" s="44"/>
      <c r="G64" s="44"/>
      <c r="H64" s="45"/>
      <c r="I64" s="44"/>
      <c r="J64" s="44"/>
      <c r="K64" s="44"/>
      <c r="L64" s="45"/>
      <c r="M64" s="44"/>
      <c r="N64" s="44"/>
      <c r="O64" s="44"/>
      <c r="P64" s="45"/>
    </row>
    <row r="65" spans="6:24">
      <c r="L65" s="60"/>
      <c r="P65" s="27"/>
    </row>
    <row r="66" spans="6:24">
      <c r="X66" s="1"/>
    </row>
    <row r="67" spans="6:24">
      <c r="X67" s="2"/>
    </row>
    <row r="70" spans="6:24">
      <c r="F70" s="2">
        <f>13338.18+H52</f>
        <v>12044.310000000001</v>
      </c>
    </row>
    <row r="84" spans="2:2">
      <c r="B84">
        <f>879+179</f>
        <v>1058</v>
      </c>
    </row>
  </sheetData>
  <mergeCells count="9">
    <mergeCell ref="S1:T1"/>
    <mergeCell ref="C32:D32"/>
    <mergeCell ref="G32:H32"/>
    <mergeCell ref="K32:L32"/>
    <mergeCell ref="O32:P32"/>
    <mergeCell ref="C1:D1"/>
    <mergeCell ref="G1:H1"/>
    <mergeCell ref="K1:L1"/>
    <mergeCell ref="O1:P1"/>
  </mergeCells>
  <conditionalFormatting sqref="P52 L52 H29 L29 D52 H52 D29 P29 T29">
    <cfRule type="cellIs" dxfId="67" priority="1" operator="lessThan">
      <formula>0</formula>
    </cfRule>
    <cfRule type="cellIs" dxfId="66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Hoja27"/>
  <dimension ref="A1:AB87"/>
  <sheetViews>
    <sheetView topLeftCell="J34" workbookViewId="0">
      <selection activeCell="O37" sqref="O37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7.11</v>
      </c>
      <c r="D2" s="74"/>
      <c r="E2" s="18"/>
      <c r="F2" s="18" t="s">
        <v>0</v>
      </c>
      <c r="G2" s="75">
        <v>1341.46</v>
      </c>
      <c r="H2" s="74"/>
      <c r="I2" s="18"/>
      <c r="J2" s="18" t="s">
        <v>0</v>
      </c>
      <c r="K2" s="73">
        <v>3012.14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15625.16</v>
      </c>
      <c r="D3" s="11"/>
      <c r="E3" s="76"/>
      <c r="F3" s="39" t="s">
        <v>705</v>
      </c>
      <c r="G3" s="23">
        <v>826.67</v>
      </c>
      <c r="H3" s="11"/>
      <c r="I3" s="18"/>
      <c r="J3" s="18" t="s">
        <v>710</v>
      </c>
      <c r="K3" s="20">
        <v>10000.1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193</v>
      </c>
      <c r="C4" s="23">
        <v>673.92</v>
      </c>
      <c r="D4" s="11"/>
      <c r="E4" s="18"/>
      <c r="F4" s="39" t="s">
        <v>706</v>
      </c>
      <c r="G4" s="23">
        <v>2400</v>
      </c>
      <c r="H4" s="11"/>
      <c r="I4" s="18"/>
      <c r="J4" s="18" t="s">
        <v>711</v>
      </c>
      <c r="K4" s="20">
        <v>6.6</v>
      </c>
      <c r="L4" s="77"/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144" t="s">
        <v>222</v>
      </c>
      <c r="C5" s="145"/>
      <c r="D5" s="149">
        <v>826.67</v>
      </c>
      <c r="E5" s="18"/>
      <c r="F5" s="39" t="s">
        <v>705</v>
      </c>
      <c r="G5" s="20"/>
      <c r="H5" s="11"/>
      <c r="I5" s="18"/>
      <c r="J5" s="18" t="s">
        <v>726</v>
      </c>
      <c r="K5" s="20">
        <v>2600.81</v>
      </c>
      <c r="L5" s="11"/>
      <c r="N5" s="18" t="s">
        <v>497</v>
      </c>
      <c r="O5" s="20">
        <v>2500</v>
      </c>
      <c r="P5" s="11"/>
      <c r="R5" s="18"/>
      <c r="S5" s="20"/>
      <c r="T5" s="11"/>
    </row>
    <row r="6" spans="1:20">
      <c r="B6" s="146" t="s">
        <v>219</v>
      </c>
      <c r="C6" s="147"/>
      <c r="D6" s="148">
        <v>185.36</v>
      </c>
      <c r="E6" s="18"/>
      <c r="F6" s="39" t="s">
        <v>717</v>
      </c>
      <c r="G6" s="20"/>
      <c r="H6" s="11">
        <v>2400</v>
      </c>
      <c r="I6" s="76"/>
      <c r="J6" s="18" t="s">
        <v>737</v>
      </c>
      <c r="K6" s="20"/>
      <c r="L6" s="77">
        <v>1000</v>
      </c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39" t="s">
        <v>549</v>
      </c>
      <c r="C7" s="139"/>
      <c r="D7" s="24">
        <v>2400</v>
      </c>
      <c r="E7" s="76"/>
      <c r="F7" s="39" t="s">
        <v>705</v>
      </c>
      <c r="G7" s="20"/>
      <c r="H7" s="11">
        <v>826.67</v>
      </c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721</v>
      </c>
      <c r="C8" s="139"/>
      <c r="D8" s="24">
        <v>2600.81</v>
      </c>
      <c r="E8" s="18"/>
      <c r="F8" s="39" t="s">
        <v>165</v>
      </c>
      <c r="G8" s="20"/>
      <c r="H8" s="11">
        <v>1341.46</v>
      </c>
      <c r="I8" s="76"/>
      <c r="J8" s="18"/>
      <c r="K8" s="20"/>
      <c r="L8" s="77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713</v>
      </c>
      <c r="C9" s="20"/>
      <c r="D9" s="24">
        <v>3900</v>
      </c>
      <c r="E9" s="137"/>
      <c r="F9" s="39"/>
      <c r="G9" s="20"/>
      <c r="H9" s="11"/>
      <c r="I9" s="18"/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76</v>
      </c>
      <c r="C10" s="20"/>
      <c r="D10" s="24">
        <v>1500</v>
      </c>
      <c r="E10" s="76"/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718</v>
      </c>
      <c r="C11" s="20"/>
      <c r="D11" s="24">
        <v>1100</v>
      </c>
      <c r="E11" s="39" t="s">
        <v>722</v>
      </c>
      <c r="F11" s="39"/>
      <c r="G11" s="20"/>
      <c r="H11" s="11"/>
      <c r="I11" s="18"/>
      <c r="J11" s="18"/>
      <c r="K11" s="20"/>
      <c r="L11" s="77"/>
    </row>
    <row r="12" spans="1:20">
      <c r="B12" s="39" t="s">
        <v>719</v>
      </c>
      <c r="C12" s="20">
        <v>250</v>
      </c>
      <c r="D12" s="24">
        <v>1250</v>
      </c>
      <c r="E12" s="39" t="s">
        <v>729</v>
      </c>
      <c r="F12" s="39"/>
      <c r="G12" s="20"/>
      <c r="H12" s="11"/>
      <c r="I12" s="16"/>
      <c r="J12" s="18"/>
      <c r="K12" s="20"/>
      <c r="L12" s="77"/>
    </row>
    <row r="13" spans="1:20">
      <c r="B13" s="39" t="s">
        <v>615</v>
      </c>
      <c r="C13" s="20"/>
      <c r="D13" s="24">
        <v>162.08000000000001</v>
      </c>
      <c r="E13" s="39"/>
      <c r="F13" s="39"/>
      <c r="G13" s="20"/>
      <c r="H13" s="11"/>
      <c r="I13" s="18"/>
      <c r="J13" s="18"/>
      <c r="K13" s="20"/>
      <c r="L13" s="77"/>
    </row>
    <row r="14" spans="1:20">
      <c r="B14" s="39" t="s">
        <v>714</v>
      </c>
      <c r="C14" s="20"/>
      <c r="D14" s="24">
        <v>201.91</v>
      </c>
      <c r="E14" s="39"/>
      <c r="F14" s="39"/>
      <c r="G14" s="20"/>
      <c r="H14" s="11"/>
      <c r="I14" s="18"/>
      <c r="J14" s="18"/>
      <c r="K14" s="20"/>
      <c r="L14" s="77"/>
    </row>
    <row r="15" spans="1:20">
      <c r="B15" s="39" t="s">
        <v>332</v>
      </c>
      <c r="C15" s="23">
        <v>361</v>
      </c>
      <c r="D15" s="11"/>
      <c r="E15" s="39"/>
      <c r="F15" s="39"/>
      <c r="G15" s="20"/>
      <c r="H15" s="11"/>
      <c r="I15" s="18"/>
      <c r="J15" s="91"/>
      <c r="K15" s="20"/>
      <c r="L15" s="77"/>
    </row>
    <row r="16" spans="1:20">
      <c r="B16" s="39" t="s">
        <v>716</v>
      </c>
      <c r="C16" s="20"/>
      <c r="D16" s="24">
        <v>569</v>
      </c>
      <c r="E16" s="39"/>
      <c r="F16" s="39"/>
      <c r="G16" s="20"/>
      <c r="H16" s="11"/>
      <c r="I16" s="18"/>
      <c r="J16" s="18"/>
      <c r="K16" s="20"/>
      <c r="L16" s="77"/>
    </row>
    <row r="17" spans="1:20">
      <c r="B17" s="39" t="s">
        <v>720</v>
      </c>
      <c r="C17" s="20"/>
      <c r="D17" s="24">
        <v>1200</v>
      </c>
      <c r="E17" s="39"/>
      <c r="F17" s="39"/>
      <c r="G17" s="20"/>
      <c r="H17" s="11"/>
      <c r="I17" s="18"/>
      <c r="J17" s="18"/>
      <c r="K17" s="20"/>
      <c r="L17" s="77"/>
    </row>
    <row r="18" spans="1:20">
      <c r="B18" s="39" t="s">
        <v>724</v>
      </c>
      <c r="C18" s="20"/>
      <c r="D18" s="24">
        <v>200</v>
      </c>
      <c r="E18" s="39"/>
      <c r="F18" s="39"/>
      <c r="G18" s="20"/>
      <c r="H18" s="11"/>
      <c r="K18" s="20"/>
      <c r="L18" s="77"/>
    </row>
    <row r="19" spans="1:20">
      <c r="B19" s="39" t="s">
        <v>725</v>
      </c>
      <c r="C19" s="20"/>
      <c r="D19" s="24">
        <v>80</v>
      </c>
      <c r="E19" s="96"/>
      <c r="F19" s="39"/>
      <c r="G19" s="20"/>
      <c r="H19" s="11"/>
      <c r="J19" s="2"/>
      <c r="K19" s="20"/>
      <c r="L19" s="77"/>
    </row>
    <row r="20" spans="1:20">
      <c r="B20" s="39" t="s">
        <v>484</v>
      </c>
      <c r="C20" s="23">
        <v>633</v>
      </c>
      <c r="D20" s="11"/>
      <c r="F20" s="39"/>
      <c r="G20" s="20"/>
      <c r="H20" s="19"/>
      <c r="K20" s="20"/>
      <c r="L20" s="77"/>
    </row>
    <row r="21" spans="1:20">
      <c r="A21" s="39"/>
      <c r="B21" s="39" t="s">
        <v>380</v>
      </c>
      <c r="C21" s="23">
        <v>86.29</v>
      </c>
      <c r="D21" s="11"/>
      <c r="F21" s="140"/>
      <c r="G21" s="20"/>
      <c r="H21" s="19"/>
      <c r="L21" s="77"/>
    </row>
    <row r="22" spans="1:20">
      <c r="B22" s="39" t="s">
        <v>344</v>
      </c>
      <c r="C22" s="20"/>
      <c r="D22" s="24">
        <v>100</v>
      </c>
      <c r="F22" s="39"/>
      <c r="G22" s="20"/>
      <c r="H22" s="19"/>
      <c r="L22" s="77"/>
    </row>
    <row r="23" spans="1:20">
      <c r="B23" s="39" t="s">
        <v>615</v>
      </c>
      <c r="C23" s="23">
        <v>527</v>
      </c>
      <c r="D23" s="11"/>
      <c r="G23" s="20"/>
      <c r="H23" s="19"/>
      <c r="L23" s="77"/>
    </row>
    <row r="24" spans="1:20">
      <c r="B24" s="39" t="s">
        <v>382</v>
      </c>
      <c r="C24" s="23">
        <v>234.35</v>
      </c>
      <c r="D24" s="11"/>
      <c r="G24" s="20"/>
      <c r="H24" s="19"/>
      <c r="L24" s="77"/>
    </row>
    <row r="25" spans="1:20">
      <c r="B25" s="39" t="s">
        <v>349</v>
      </c>
      <c r="C25" s="20"/>
      <c r="D25" s="24">
        <v>1574</v>
      </c>
      <c r="G25" s="20"/>
      <c r="H25" s="19"/>
      <c r="L25" s="77"/>
    </row>
    <row r="26" spans="1:20">
      <c r="B26" s="39" t="s">
        <v>734</v>
      </c>
      <c r="C26" s="23">
        <v>25</v>
      </c>
      <c r="D26" s="11"/>
      <c r="G26" s="20"/>
      <c r="H26" s="19"/>
      <c r="L26" s="77"/>
    </row>
    <row r="27" spans="1:20">
      <c r="B27" s="39" t="s">
        <v>344</v>
      </c>
      <c r="C27" s="150"/>
      <c r="D27" s="149">
        <v>400</v>
      </c>
      <c r="G27" s="20"/>
      <c r="H27" s="19"/>
      <c r="L27" s="77"/>
    </row>
    <row r="28" spans="1:20">
      <c r="B28" s="39" t="s">
        <v>743</v>
      </c>
      <c r="C28" s="151"/>
      <c r="D28" s="152">
        <v>110.4</v>
      </c>
      <c r="G28" s="20"/>
      <c r="H28" s="19"/>
      <c r="L28" s="77"/>
    </row>
    <row r="29" spans="1:20">
      <c r="B29" s="39"/>
      <c r="C29" s="151"/>
      <c r="D29" s="152"/>
      <c r="G29" s="20"/>
      <c r="H29" s="19"/>
      <c r="L29" s="77"/>
    </row>
    <row r="30" spans="1:20">
      <c r="B30" s="39"/>
      <c r="C30" s="153"/>
      <c r="D30" s="154"/>
      <c r="G30" s="20"/>
      <c r="H30" s="19"/>
    </row>
    <row r="31" spans="1:20">
      <c r="B31" t="s">
        <v>2</v>
      </c>
      <c r="C31" s="2">
        <f>SUM(C2:C29)</f>
        <v>18422.830000000002</v>
      </c>
      <c r="D31" s="2">
        <f>SUM(D3:D30)</f>
        <v>18360.230000000003</v>
      </c>
      <c r="F31" t="s">
        <v>2</v>
      </c>
      <c r="G31" s="2">
        <f>SUM(G2:G30)</f>
        <v>4568.13</v>
      </c>
      <c r="H31" s="2">
        <f>SUM(H3:H30)</f>
        <v>4568.13</v>
      </c>
      <c r="J31" t="s">
        <v>2</v>
      </c>
      <c r="K31" s="2">
        <f>SUM(K1:K10)</f>
        <v>15619.65</v>
      </c>
      <c r="L31" s="2">
        <f>SUM(L2:L10)</f>
        <v>1000</v>
      </c>
      <c r="N31" t="s">
        <v>2</v>
      </c>
      <c r="O31" s="2">
        <f>SUM(O1:O10)</f>
        <v>4300</v>
      </c>
      <c r="P31" s="2">
        <f>SUM(P2:P10)</f>
        <v>4300</v>
      </c>
      <c r="R31" t="s">
        <v>2</v>
      </c>
      <c r="S31" s="2">
        <f>SUM(S1:S10)</f>
        <v>5000</v>
      </c>
      <c r="T31" s="2">
        <f>SUM(T2:T10)</f>
        <v>5000</v>
      </c>
    </row>
    <row r="32" spans="1:20">
      <c r="D32" s="2">
        <f>C31-D31</f>
        <v>62.599999999998545</v>
      </c>
      <c r="H32" s="2">
        <f>G31-H31</f>
        <v>0</v>
      </c>
      <c r="L32" s="2">
        <f>K31-L31</f>
        <v>14619.65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970.29000000000156</v>
      </c>
      <c r="V34" s="102">
        <v>42843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>
        <v>-1293.8699999999999</v>
      </c>
      <c r="H36" s="4"/>
      <c r="J36" t="s">
        <v>0</v>
      </c>
      <c r="K36" s="3">
        <v>0</v>
      </c>
      <c r="L36" s="4"/>
      <c r="M36" s="33"/>
      <c r="N36" t="s">
        <v>0</v>
      </c>
      <c r="O36" s="3">
        <v>-14121.88</v>
      </c>
      <c r="P36" s="4"/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12</v>
      </c>
      <c r="W36" s="2">
        <f>U36*V36</f>
        <v>-3332</v>
      </c>
      <c r="X36" s="2">
        <f>S36-W36</f>
        <v>-1666</v>
      </c>
    </row>
    <row r="37" spans="1:26">
      <c r="B37" s="39" t="s">
        <v>727</v>
      </c>
      <c r="C37" s="1">
        <v>94.5</v>
      </c>
      <c r="D37" s="1">
        <v>0</v>
      </c>
      <c r="F37" t="s">
        <v>712</v>
      </c>
      <c r="H37" s="11">
        <v>521.04999999999995</v>
      </c>
      <c r="J37" t="s">
        <v>347</v>
      </c>
      <c r="K37" s="19"/>
      <c r="L37" s="32">
        <v>1573.92</v>
      </c>
      <c r="M37" s="29"/>
      <c r="N37" t="s">
        <v>678</v>
      </c>
      <c r="O37" s="27">
        <v>989</v>
      </c>
      <c r="P37" s="11"/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F38" t="s">
        <v>200</v>
      </c>
      <c r="H38" s="11">
        <v>101.14</v>
      </c>
      <c r="I38" s="8"/>
      <c r="J38" t="s">
        <v>47</v>
      </c>
      <c r="K38" s="19"/>
      <c r="L38" s="32">
        <v>347.4</v>
      </c>
      <c r="N38" s="39" t="s">
        <v>692</v>
      </c>
      <c r="O38" s="27">
        <v>1341.47</v>
      </c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F39" t="s">
        <v>723</v>
      </c>
      <c r="G39">
        <v>185.36</v>
      </c>
      <c r="H39" s="11"/>
      <c r="J39" t="s">
        <v>47</v>
      </c>
      <c r="K39" s="19"/>
      <c r="L39" s="32">
        <v>347.4</v>
      </c>
      <c r="N39" s="39" t="s">
        <v>692</v>
      </c>
      <c r="O39" s="27">
        <v>3221.5</v>
      </c>
      <c r="P39" s="11"/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F40" t="s">
        <v>730</v>
      </c>
      <c r="H40" s="11">
        <v>249</v>
      </c>
      <c r="J40" t="s">
        <v>179</v>
      </c>
      <c r="K40" s="19"/>
      <c r="L40" s="32">
        <v>108</v>
      </c>
      <c r="N40" s="39" t="s">
        <v>692</v>
      </c>
      <c r="O40" s="27">
        <v>1778.5</v>
      </c>
      <c r="P40" s="11"/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 t="s">
        <v>731</v>
      </c>
      <c r="H41" s="11">
        <v>2049</v>
      </c>
      <c r="J41" t="s">
        <v>349</v>
      </c>
      <c r="K41" s="27">
        <v>1574</v>
      </c>
      <c r="L41" s="32"/>
      <c r="M41" s="29"/>
      <c r="N41" s="39" t="s">
        <v>629</v>
      </c>
      <c r="O41" s="19"/>
      <c r="P41" s="24">
        <v>143.84</v>
      </c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6</v>
      </c>
      <c r="W41" s="2">
        <f t="shared" si="1"/>
        <v>-3294.02</v>
      </c>
      <c r="X41" s="2">
        <f t="shared" si="2"/>
        <v>-3294.02</v>
      </c>
    </row>
    <row r="42" spans="1:26">
      <c r="B42" s="39"/>
      <c r="C42" s="20"/>
      <c r="D42" s="11"/>
      <c r="F42" t="s">
        <v>732</v>
      </c>
      <c r="H42" s="11">
        <v>199.99</v>
      </c>
      <c r="J42" t="s">
        <v>728</v>
      </c>
      <c r="K42" s="19">
        <v>300</v>
      </c>
      <c r="L42" s="14"/>
      <c r="M42" s="29"/>
      <c r="N42" s="39" t="s">
        <v>696</v>
      </c>
      <c r="O42" s="19"/>
      <c r="P42" s="24">
        <v>49</v>
      </c>
      <c r="Q42" s="29"/>
      <c r="R42" t="s">
        <v>630</v>
      </c>
      <c r="S42" s="1">
        <v>-6990</v>
      </c>
      <c r="T42">
        <v>3</v>
      </c>
      <c r="U42" s="2">
        <f t="shared" si="0"/>
        <v>-2330</v>
      </c>
      <c r="V42">
        <v>2</v>
      </c>
      <c r="W42" s="2">
        <f t="shared" si="1"/>
        <v>-4660</v>
      </c>
      <c r="X42" s="2">
        <f t="shared" si="2"/>
        <v>-2330</v>
      </c>
    </row>
    <row r="43" spans="1:26">
      <c r="B43" s="39"/>
      <c r="C43" s="20"/>
      <c r="D43" s="11"/>
      <c r="F43" t="s">
        <v>427</v>
      </c>
      <c r="H43" s="11">
        <v>719</v>
      </c>
      <c r="J43" t="s">
        <v>738</v>
      </c>
      <c r="K43" s="19"/>
      <c r="L43" s="24">
        <v>420.98</v>
      </c>
      <c r="N43" s="39" t="s">
        <v>47</v>
      </c>
      <c r="O43" s="19"/>
      <c r="P43" s="14">
        <v>347.2</v>
      </c>
      <c r="Q43" s="29"/>
      <c r="R43" t="s">
        <v>493</v>
      </c>
      <c r="S43" s="1">
        <v>-4218.91</v>
      </c>
      <c r="T43">
        <v>3</v>
      </c>
      <c r="U43" s="2">
        <f t="shared" si="0"/>
        <v>-1406.3033333333333</v>
      </c>
      <c r="V43">
        <v>1</v>
      </c>
      <c r="W43" s="2">
        <f t="shared" si="1"/>
        <v>-1406.3033333333333</v>
      </c>
      <c r="X43" s="2">
        <f t="shared" si="2"/>
        <v>-2812.6066666666666</v>
      </c>
    </row>
    <row r="44" spans="1:26">
      <c r="B44" s="39"/>
      <c r="C44" s="20"/>
      <c r="D44" s="11"/>
      <c r="F44" t="s">
        <v>733</v>
      </c>
      <c r="G44">
        <v>1200</v>
      </c>
      <c r="H44" s="11"/>
      <c r="J44" t="s">
        <v>739</v>
      </c>
      <c r="K44" s="19"/>
      <c r="L44" s="24">
        <v>19.010000000000002</v>
      </c>
      <c r="N44" s="39" t="s">
        <v>740</v>
      </c>
      <c r="O44" s="19"/>
      <c r="P44" s="11">
        <v>3250</v>
      </c>
      <c r="Q44" s="8"/>
      <c r="R44" t="s">
        <v>11</v>
      </c>
      <c r="S44" s="2">
        <f>SUM(S36:S43)</f>
        <v>-57840.649999999994</v>
      </c>
      <c r="X44" s="2">
        <f>SUM(X36:X43)</f>
        <v>-10102.626666666667</v>
      </c>
    </row>
    <row r="45" spans="1:26">
      <c r="B45" s="39"/>
      <c r="C45" s="20"/>
      <c r="D45" s="11"/>
      <c r="F45" t="s">
        <v>540</v>
      </c>
      <c r="G45">
        <v>1730.7</v>
      </c>
      <c r="H45" s="11"/>
      <c r="K45" s="19"/>
      <c r="L45" s="14"/>
      <c r="N45" s="39" t="s">
        <v>47</v>
      </c>
      <c r="O45" s="19"/>
      <c r="P45" s="11">
        <v>200</v>
      </c>
    </row>
    <row r="46" spans="1:26">
      <c r="B46" s="39"/>
      <c r="C46" s="20"/>
      <c r="D46" s="11"/>
      <c r="H46" s="11"/>
      <c r="K46" s="19"/>
      <c r="L46" s="14"/>
      <c r="N46" s="39"/>
      <c r="O46" s="19"/>
      <c r="P46" s="11">
        <v>335.25</v>
      </c>
      <c r="S46" s="2"/>
    </row>
    <row r="47" spans="1:26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4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  <c r="U50" t="s">
        <v>715</v>
      </c>
      <c r="V50" t="s">
        <v>709</v>
      </c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 t="s">
        <v>707</v>
      </c>
      <c r="V51" t="s">
        <v>708</v>
      </c>
    </row>
    <row r="52" spans="2:28">
      <c r="B52" s="12"/>
      <c r="C52" s="1"/>
      <c r="D52" s="11"/>
      <c r="H52" s="14"/>
      <c r="L52" s="11"/>
      <c r="N52" s="39"/>
      <c r="O52" s="19"/>
      <c r="P52" s="11"/>
      <c r="S52" t="s">
        <v>702</v>
      </c>
      <c r="U52" s="2">
        <f>U36+U41+U42+U43</f>
        <v>-4562.9733333333334</v>
      </c>
      <c r="V52" s="2">
        <f>U36+U41+U43</f>
        <v>-2232.9733333333334</v>
      </c>
    </row>
    <row r="53" spans="2:28">
      <c r="B53" s="12"/>
      <c r="C53" s="1"/>
      <c r="D53" s="11"/>
      <c r="S53" s="1" t="s">
        <v>119</v>
      </c>
      <c r="U53">
        <v>826.67</v>
      </c>
      <c r="V53">
        <v>826.67</v>
      </c>
    </row>
    <row r="54" spans="2:28">
      <c r="B54" t="s">
        <v>2</v>
      </c>
      <c r="C54" s="2">
        <f>SUM(C36:C51)</f>
        <v>94.5</v>
      </c>
      <c r="D54" s="2">
        <f>SUM(D37:D53)</f>
        <v>0</v>
      </c>
      <c r="F54" t="s">
        <v>2</v>
      </c>
      <c r="G54" s="2">
        <f>SUM(G36:G53)</f>
        <v>1822.1900000000003</v>
      </c>
      <c r="H54" s="2">
        <f>SUM(H36:H52)</f>
        <v>3839.1800000000003</v>
      </c>
      <c r="J54" t="s">
        <v>2</v>
      </c>
      <c r="K54" s="2">
        <f>SUM(K36:K51)</f>
        <v>1874</v>
      </c>
      <c r="L54" s="2">
        <f>SUM(L36:L49)</f>
        <v>2816.7100000000005</v>
      </c>
      <c r="N54" t="s">
        <v>2</v>
      </c>
      <c r="O54" s="2">
        <f>SUM(O36:O53)</f>
        <v>-6791.41</v>
      </c>
      <c r="P54" s="2">
        <f>SUM(P36:P53)</f>
        <v>4325.29</v>
      </c>
      <c r="S54" s="1"/>
      <c r="T54" s="33" t="s">
        <v>703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94.5</v>
      </c>
      <c r="H55" s="2">
        <f>G54-H54</f>
        <v>-2016.99</v>
      </c>
      <c r="L55" s="2">
        <f>K54-L54</f>
        <v>-942.71000000000049</v>
      </c>
      <c r="P55" s="2">
        <f>O54-P54</f>
        <v>-11116.7</v>
      </c>
      <c r="S55" s="1" t="s">
        <v>704</v>
      </c>
      <c r="U55">
        <v>1341.46</v>
      </c>
      <c r="V55">
        <v>0</v>
      </c>
      <c r="AA55" t="s">
        <v>239</v>
      </c>
      <c r="AB55" s="1">
        <v>10261.049999999999</v>
      </c>
    </row>
    <row r="56" spans="2:28">
      <c r="P56" s="2">
        <f>P55-X44</f>
        <v>-1014.0733333333337</v>
      </c>
      <c r="S56" s="1"/>
      <c r="U56" s="143">
        <f>U54+U55</f>
        <v>-2394.8433333333332</v>
      </c>
      <c r="V56" s="143">
        <f>V54+V55</f>
        <v>-1406.3033333333333</v>
      </c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-1916.06</v>
      </c>
      <c r="L58" s="2">
        <v>0</v>
      </c>
      <c r="P58" s="2">
        <f>-277.67-549</f>
        <v>-826.67000000000007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185.36</v>
      </c>
      <c r="I60" s="41"/>
      <c r="J60" s="41"/>
      <c r="K60" s="41"/>
      <c r="L60" s="51"/>
      <c r="M60" s="41"/>
      <c r="N60" s="41"/>
      <c r="O60" s="41"/>
      <c r="P60" s="51">
        <v>1012.03</v>
      </c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-1730.6999999999998</v>
      </c>
      <c r="I62" s="44"/>
      <c r="J62" s="44"/>
      <c r="K62" s="44"/>
      <c r="L62" s="45">
        <f>L60+L58</f>
        <v>0</v>
      </c>
      <c r="M62" s="44"/>
      <c r="N62" s="44"/>
      <c r="O62" s="44"/>
      <c r="P62" s="45">
        <f>P60+P58</f>
        <v>185.3599999999999</v>
      </c>
      <c r="T62" t="s">
        <v>98</v>
      </c>
      <c r="V62" s="1">
        <f>Z62-Z63</f>
        <v>718.67999999999984</v>
      </c>
      <c r="W62" s="2">
        <f>S63-V62</f>
        <v>2024.0500000000002</v>
      </c>
      <c r="X62" s="2">
        <f>W62/2</f>
        <v>1012.0250000000001</v>
      </c>
      <c r="Z62" s="1">
        <v>3900</v>
      </c>
      <c r="AA62" s="2">
        <f>X64+Z62</f>
        <v>4912.0249999999996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2742.73</v>
      </c>
      <c r="Z63" s="1">
        <v>3181.32</v>
      </c>
      <c r="AA63" s="2">
        <f>X65+Z63</f>
        <v>4912.0249999999996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1012.0250000000001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1730.7049999999999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11321.19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65" priority="1" operator="lessThan">
      <formula>0</formula>
    </cfRule>
    <cfRule type="cellIs" dxfId="64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Hoja28"/>
  <dimension ref="A1:AB87"/>
  <sheetViews>
    <sheetView topLeftCell="F25" workbookViewId="0">
      <selection activeCell="J23" sqref="J2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62.6</v>
      </c>
      <c r="D2" s="74"/>
      <c r="E2" s="18"/>
      <c r="F2" s="18" t="s">
        <v>0</v>
      </c>
      <c r="G2" s="75">
        <v>1341.46</v>
      </c>
      <c r="H2" s="74"/>
      <c r="I2" s="18"/>
      <c r="J2" s="18" t="s">
        <v>0</v>
      </c>
      <c r="K2" s="73">
        <v>3012.14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15576.75</v>
      </c>
      <c r="D3" s="11"/>
      <c r="E3" s="76"/>
      <c r="F3" s="39" t="s">
        <v>705</v>
      </c>
      <c r="G3" s="23">
        <v>826.67</v>
      </c>
      <c r="H3" s="11"/>
      <c r="I3" s="18"/>
      <c r="J3" s="18" t="s">
        <v>710</v>
      </c>
      <c r="K3" s="23">
        <v>10000.1</v>
      </c>
      <c r="L3" s="77"/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193</v>
      </c>
      <c r="C4" s="23">
        <v>653.20000000000005</v>
      </c>
      <c r="D4" s="11"/>
      <c r="E4" s="18"/>
      <c r="F4" s="39" t="s">
        <v>706</v>
      </c>
      <c r="G4" s="23">
        <v>2400</v>
      </c>
      <c r="H4" s="11"/>
      <c r="I4" s="18"/>
      <c r="J4" s="18" t="s">
        <v>711</v>
      </c>
      <c r="K4" s="23">
        <v>6.6</v>
      </c>
      <c r="L4" s="77"/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39" t="s">
        <v>735</v>
      </c>
      <c r="C5" s="151"/>
      <c r="D5" s="160">
        <v>300</v>
      </c>
      <c r="E5" s="18"/>
      <c r="F5" s="39" t="s">
        <v>705</v>
      </c>
      <c r="G5" s="20"/>
      <c r="H5" s="11"/>
      <c r="I5" s="18"/>
      <c r="J5" s="18" t="s">
        <v>726</v>
      </c>
      <c r="K5" s="23">
        <v>2600.81</v>
      </c>
      <c r="L5" s="11"/>
      <c r="N5" s="18" t="s">
        <v>497</v>
      </c>
      <c r="O5" s="20">
        <v>2500</v>
      </c>
      <c r="P5" s="11"/>
      <c r="R5" s="18"/>
      <c r="S5" s="20"/>
      <c r="T5" s="11"/>
    </row>
    <row r="6" spans="1:20">
      <c r="B6" s="39" t="s">
        <v>736</v>
      </c>
      <c r="C6" s="159">
        <v>1000</v>
      </c>
      <c r="D6" s="155"/>
      <c r="E6" s="18"/>
      <c r="F6" s="39" t="s">
        <v>717</v>
      </c>
      <c r="G6" s="20"/>
      <c r="H6" s="24">
        <v>2400</v>
      </c>
      <c r="I6" s="76">
        <v>43221</v>
      </c>
      <c r="J6" s="18" t="s">
        <v>737</v>
      </c>
      <c r="K6" s="20"/>
      <c r="L6" s="157">
        <v>1000</v>
      </c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39" t="s">
        <v>742</v>
      </c>
      <c r="C7" s="153"/>
      <c r="D7" s="161">
        <v>300</v>
      </c>
      <c r="E7" s="76"/>
      <c r="F7" s="39" t="s">
        <v>705</v>
      </c>
      <c r="G7" s="20"/>
      <c r="H7" s="24">
        <v>826.67</v>
      </c>
      <c r="I7" s="76">
        <v>43221</v>
      </c>
      <c r="J7" s="18" t="s">
        <v>747</v>
      </c>
      <c r="K7" s="156">
        <v>3500.12</v>
      </c>
      <c r="L7" s="77"/>
      <c r="M7" t="s">
        <v>751</v>
      </c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744</v>
      </c>
      <c r="C8" s="20"/>
      <c r="D8" s="24">
        <v>1000</v>
      </c>
      <c r="E8" s="18"/>
      <c r="F8" s="39" t="s">
        <v>165</v>
      </c>
      <c r="G8" s="20"/>
      <c r="H8" s="24">
        <v>1341.46</v>
      </c>
      <c r="I8" s="76">
        <v>43221</v>
      </c>
      <c r="J8" s="18" t="s">
        <v>752</v>
      </c>
      <c r="K8" s="23">
        <v>57.99</v>
      </c>
      <c r="L8" s="77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549</v>
      </c>
      <c r="C9" s="20"/>
      <c r="D9" s="162">
        <v>1500</v>
      </c>
      <c r="E9" s="163"/>
      <c r="F9" s="39"/>
      <c r="G9" s="20"/>
      <c r="H9" s="11"/>
      <c r="I9" s="18"/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746</v>
      </c>
      <c r="C10" s="20"/>
      <c r="D10" s="162">
        <v>1000</v>
      </c>
      <c r="E10" s="76"/>
      <c r="F10" s="39" t="s">
        <v>540</v>
      </c>
      <c r="G10" s="133">
        <v>1500</v>
      </c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747</v>
      </c>
      <c r="C11" s="20"/>
      <c r="D11" s="158">
        <v>3500</v>
      </c>
      <c r="E11" s="39" t="s">
        <v>750</v>
      </c>
      <c r="F11" s="39" t="s">
        <v>745</v>
      </c>
      <c r="G11" s="134">
        <v>1000</v>
      </c>
      <c r="H11" s="11"/>
      <c r="I11" s="18"/>
      <c r="J11" s="18"/>
      <c r="K11" s="20"/>
      <c r="L11" s="77"/>
    </row>
    <row r="12" spans="1:20">
      <c r="B12" s="39" t="s">
        <v>1</v>
      </c>
      <c r="C12" s="20"/>
      <c r="D12" s="24">
        <v>3181.32</v>
      </c>
      <c r="E12" s="39"/>
      <c r="F12" s="39" t="s">
        <v>753</v>
      </c>
      <c r="G12" s="136">
        <v>300</v>
      </c>
      <c r="H12" s="11"/>
      <c r="I12" s="16"/>
      <c r="J12" s="18"/>
      <c r="K12" s="20"/>
      <c r="L12" s="77"/>
    </row>
    <row r="13" spans="1:20">
      <c r="B13" s="39" t="s">
        <v>76</v>
      </c>
      <c r="C13" s="20"/>
      <c r="D13" s="24">
        <v>1400</v>
      </c>
      <c r="E13" s="39"/>
      <c r="F13" s="39" t="s">
        <v>1</v>
      </c>
      <c r="G13" s="23">
        <v>3181.32</v>
      </c>
      <c r="H13" s="11"/>
      <c r="I13" s="18"/>
      <c r="J13" s="18"/>
      <c r="K13" s="20"/>
      <c r="L13" s="77"/>
    </row>
    <row r="14" spans="1:20">
      <c r="B14" s="39" t="s">
        <v>748</v>
      </c>
      <c r="C14" s="20"/>
      <c r="D14" s="24">
        <v>1000</v>
      </c>
      <c r="E14" s="39"/>
      <c r="F14" s="39" t="s">
        <v>9</v>
      </c>
      <c r="G14" s="20"/>
      <c r="H14" s="24">
        <v>3181.32</v>
      </c>
      <c r="I14" s="18"/>
      <c r="J14" s="18"/>
      <c r="K14" s="20"/>
      <c r="L14" s="77"/>
    </row>
    <row r="15" spans="1:20">
      <c r="B15" s="39" t="s">
        <v>761</v>
      </c>
      <c r="C15" s="20"/>
      <c r="D15" s="24">
        <v>1000</v>
      </c>
      <c r="E15" s="39"/>
      <c r="F15" s="39" t="s">
        <v>169</v>
      </c>
      <c r="G15" s="20"/>
      <c r="H15" s="24">
        <v>1300</v>
      </c>
      <c r="I15" s="18"/>
      <c r="J15" s="91"/>
      <c r="K15" s="20"/>
      <c r="L15" s="77"/>
    </row>
    <row r="16" spans="1:20">
      <c r="B16" s="39" t="s">
        <v>749</v>
      </c>
      <c r="C16" s="20"/>
      <c r="D16" s="24">
        <v>1731</v>
      </c>
      <c r="E16" s="39"/>
      <c r="F16" s="39"/>
      <c r="G16" s="20"/>
      <c r="H16" s="11"/>
      <c r="I16" s="18"/>
      <c r="J16" s="18"/>
      <c r="K16" s="20"/>
      <c r="L16" s="77"/>
    </row>
    <row r="17" spans="1:20">
      <c r="B17" s="39" t="s">
        <v>756</v>
      </c>
      <c r="C17" s="20"/>
      <c r="D17" s="24">
        <v>3692.78</v>
      </c>
      <c r="E17" s="39"/>
      <c r="F17" s="39"/>
      <c r="G17" s="20"/>
      <c r="H17" s="11"/>
      <c r="I17" s="18"/>
      <c r="J17" s="18"/>
      <c r="K17" s="20"/>
      <c r="L17" s="77"/>
    </row>
    <row r="18" spans="1:20">
      <c r="B18" s="39" t="s">
        <v>757</v>
      </c>
      <c r="C18" s="23">
        <v>3692</v>
      </c>
      <c r="D18" s="11"/>
      <c r="E18" s="39"/>
      <c r="F18" s="39"/>
      <c r="G18" s="20"/>
      <c r="H18" s="11"/>
      <c r="K18" s="20"/>
      <c r="L18" s="77"/>
    </row>
    <row r="19" spans="1:20">
      <c r="B19" s="39" t="s">
        <v>13</v>
      </c>
      <c r="C19" s="20"/>
      <c r="D19" s="24">
        <v>100</v>
      </c>
      <c r="E19" s="96"/>
      <c r="F19" s="39"/>
      <c r="G19" s="20"/>
      <c r="H19" s="11"/>
      <c r="J19" s="2"/>
      <c r="K19" s="20"/>
      <c r="L19" s="77"/>
    </row>
    <row r="20" spans="1:20">
      <c r="B20" s="39" t="s">
        <v>758</v>
      </c>
      <c r="C20" s="20"/>
      <c r="D20" s="24">
        <v>150</v>
      </c>
      <c r="F20" s="39"/>
      <c r="G20" s="20"/>
      <c r="H20" s="19"/>
      <c r="K20" s="20"/>
      <c r="L20" s="77"/>
    </row>
    <row r="21" spans="1:20">
      <c r="A21" s="39"/>
      <c r="B21" s="39" t="s">
        <v>762</v>
      </c>
      <c r="C21" s="20">
        <v>420.74</v>
      </c>
      <c r="D21" s="11"/>
      <c r="F21" s="140"/>
      <c r="G21" s="20"/>
      <c r="H21" s="19"/>
      <c r="L21" s="77"/>
    </row>
    <row r="22" spans="1:20">
      <c r="B22" s="39" t="s">
        <v>763</v>
      </c>
      <c r="C22" s="20">
        <v>1738.15</v>
      </c>
      <c r="D22" s="11"/>
      <c r="F22" s="39"/>
      <c r="G22" s="20"/>
      <c r="H22" s="19"/>
      <c r="L22" s="77"/>
    </row>
    <row r="23" spans="1:20">
      <c r="B23" s="39" t="s">
        <v>764</v>
      </c>
      <c r="C23" s="20"/>
      <c r="D23" s="100">
        <v>588</v>
      </c>
      <c r="G23" s="20"/>
      <c r="H23" s="19"/>
      <c r="L23" s="77"/>
    </row>
    <row r="24" spans="1:20">
      <c r="B24" s="39" t="s">
        <v>86</v>
      </c>
      <c r="C24" s="20"/>
      <c r="D24" s="100">
        <v>550.08000000000004</v>
      </c>
      <c r="G24" s="20"/>
      <c r="H24" s="19"/>
      <c r="L24" s="77"/>
    </row>
    <row r="25" spans="1:20">
      <c r="B25" s="39" t="s">
        <v>755</v>
      </c>
      <c r="C25" s="20"/>
      <c r="D25" s="11">
        <v>420.74</v>
      </c>
      <c r="G25" s="20"/>
      <c r="H25" s="19"/>
      <c r="L25" s="77"/>
    </row>
    <row r="26" spans="1:20">
      <c r="B26" s="39" t="s">
        <v>765</v>
      </c>
      <c r="C26" s="20"/>
      <c r="D26" s="11">
        <v>1738.15</v>
      </c>
      <c r="G26" s="20"/>
      <c r="H26" s="19"/>
      <c r="L26" s="77"/>
    </row>
    <row r="27" spans="1:20">
      <c r="B27" s="39" t="s">
        <v>105</v>
      </c>
      <c r="C27" s="20">
        <v>21.97</v>
      </c>
      <c r="D27" s="11"/>
      <c r="G27" s="20"/>
      <c r="H27" s="19"/>
      <c r="L27" s="77"/>
    </row>
    <row r="28" spans="1:20">
      <c r="B28" s="39" t="s">
        <v>766</v>
      </c>
      <c r="C28" s="20">
        <v>1.44</v>
      </c>
      <c r="D28" s="11"/>
      <c r="G28" s="20"/>
      <c r="H28" s="19"/>
      <c r="L28" s="77"/>
    </row>
    <row r="29" spans="1:20">
      <c r="B29" s="39"/>
      <c r="C29" s="20"/>
      <c r="D29" s="11"/>
      <c r="G29" s="20"/>
      <c r="H29" s="19"/>
      <c r="L29" s="77"/>
    </row>
    <row r="30" spans="1:20">
      <c r="B30" s="39"/>
      <c r="C30" s="20"/>
      <c r="D30" s="11"/>
      <c r="G30" s="20"/>
      <c r="H30" s="19"/>
    </row>
    <row r="31" spans="1:20">
      <c r="B31" t="s">
        <v>2</v>
      </c>
      <c r="C31" s="2">
        <f>SUM(C2:C29)</f>
        <v>23166.850000000006</v>
      </c>
      <c r="D31" s="2">
        <f>SUM(D3:D30)</f>
        <v>23152.070000000003</v>
      </c>
      <c r="F31" t="s">
        <v>2</v>
      </c>
      <c r="G31" s="2">
        <f>SUM(G2:G30)</f>
        <v>10549.45</v>
      </c>
      <c r="H31" s="2">
        <f>SUM(H3:H30)</f>
        <v>9049.4500000000007</v>
      </c>
      <c r="J31" t="s">
        <v>2</v>
      </c>
      <c r="K31" s="2">
        <f>SUM(K1:K10)</f>
        <v>19177.760000000002</v>
      </c>
      <c r="L31" s="2">
        <f>SUM(L2:L10)</f>
        <v>1000</v>
      </c>
      <c r="N31" t="s">
        <v>2</v>
      </c>
      <c r="O31" s="2">
        <f>SUM(O1:O10)</f>
        <v>4300</v>
      </c>
      <c r="P31" s="2">
        <f>SUM(P2:P10)</f>
        <v>4300</v>
      </c>
      <c r="R31" t="s">
        <v>2</v>
      </c>
      <c r="S31" s="2">
        <f>SUM(S1:S10)</f>
        <v>5000</v>
      </c>
      <c r="T31" s="2">
        <f>SUM(T2:T10)</f>
        <v>5000</v>
      </c>
    </row>
    <row r="32" spans="1:20">
      <c r="D32" s="2">
        <f>C31-D31</f>
        <v>14.780000000002474</v>
      </c>
      <c r="H32" s="2">
        <f>G31-H31</f>
        <v>1500</v>
      </c>
      <c r="L32" s="2">
        <f>K31-L31</f>
        <v>18177.760000000002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1018.1099999999976</v>
      </c>
      <c r="V34" s="102">
        <v>42873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>
        <v>-1293.8699999999999</v>
      </c>
      <c r="H36" s="4"/>
      <c r="J36" t="s">
        <v>0</v>
      </c>
      <c r="K36" s="3">
        <v>0</v>
      </c>
      <c r="L36" s="4"/>
      <c r="M36" s="33"/>
      <c r="N36" t="s">
        <v>0</v>
      </c>
      <c r="O36" s="3">
        <v>-14035.37</v>
      </c>
      <c r="P36" s="4"/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13</v>
      </c>
      <c r="W36" s="2">
        <f>U36*V36</f>
        <v>-3609.666666666667</v>
      </c>
      <c r="X36" s="2">
        <f>S36-W36</f>
        <v>-1388.333333333333</v>
      </c>
    </row>
    <row r="37" spans="1:26">
      <c r="B37" s="39" t="s">
        <v>727</v>
      </c>
      <c r="C37" s="1">
        <v>94.5</v>
      </c>
      <c r="D37" s="1">
        <v>0</v>
      </c>
      <c r="F37" t="s">
        <v>712</v>
      </c>
      <c r="H37" s="11">
        <v>521.04999999999995</v>
      </c>
      <c r="J37" t="s">
        <v>347</v>
      </c>
      <c r="K37" s="19"/>
      <c r="L37" s="32">
        <v>1573.92</v>
      </c>
      <c r="M37" s="29"/>
      <c r="O37" s="27"/>
      <c r="P37" s="11"/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F38" t="s">
        <v>200</v>
      </c>
      <c r="H38" s="11">
        <v>101.14</v>
      </c>
      <c r="I38" s="8"/>
      <c r="J38" t="s">
        <v>47</v>
      </c>
      <c r="K38" s="19"/>
      <c r="L38" s="32">
        <v>347.4</v>
      </c>
      <c r="N38" s="39"/>
      <c r="O38" s="27"/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F39" t="s">
        <v>723</v>
      </c>
      <c r="G39">
        <v>185.36</v>
      </c>
      <c r="H39" s="11"/>
      <c r="J39" t="s">
        <v>47</v>
      </c>
      <c r="K39" s="19"/>
      <c r="L39" s="32">
        <v>347.4</v>
      </c>
      <c r="N39" s="39"/>
      <c r="O39" s="27"/>
      <c r="P39" s="11"/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F40" t="s">
        <v>730</v>
      </c>
      <c r="H40" s="11">
        <v>249</v>
      </c>
      <c r="J40" t="s">
        <v>179</v>
      </c>
      <c r="K40" s="19"/>
      <c r="L40" s="32">
        <v>108</v>
      </c>
      <c r="N40" s="39"/>
      <c r="O40" s="27"/>
      <c r="P40" s="11"/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 t="s">
        <v>731</v>
      </c>
      <c r="H41" s="11">
        <v>2049</v>
      </c>
      <c r="J41" t="s">
        <v>349</v>
      </c>
      <c r="K41" s="27">
        <v>1574</v>
      </c>
      <c r="L41" s="32"/>
      <c r="M41" s="29"/>
      <c r="N41" s="39"/>
      <c r="O41" s="19"/>
      <c r="P41" s="24"/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7</v>
      </c>
      <c r="W41" s="2">
        <f t="shared" si="1"/>
        <v>-3843.0233333333335</v>
      </c>
      <c r="X41" s="2">
        <f t="shared" si="2"/>
        <v>-2745.0166666666664</v>
      </c>
    </row>
    <row r="42" spans="1:26">
      <c r="B42" s="39"/>
      <c r="C42" s="20"/>
      <c r="D42" s="11"/>
      <c r="F42" t="s">
        <v>732</v>
      </c>
      <c r="H42" s="11">
        <v>199.99</v>
      </c>
      <c r="J42" t="s">
        <v>728</v>
      </c>
      <c r="K42" s="27">
        <v>300</v>
      </c>
      <c r="L42" s="14"/>
      <c r="M42" s="29"/>
      <c r="N42" s="39"/>
      <c r="O42" s="19"/>
      <c r="P42" s="24"/>
      <c r="Q42" s="29"/>
      <c r="R42" t="s">
        <v>630</v>
      </c>
      <c r="S42" s="101">
        <v>-6990</v>
      </c>
      <c r="T42" s="118">
        <v>3</v>
      </c>
      <c r="U42" s="119">
        <f t="shared" si="0"/>
        <v>-2330</v>
      </c>
      <c r="V42" s="118">
        <v>3</v>
      </c>
      <c r="W42" s="119">
        <f t="shared" si="1"/>
        <v>-6990</v>
      </c>
      <c r="X42" s="119">
        <f t="shared" si="2"/>
        <v>0</v>
      </c>
    </row>
    <row r="43" spans="1:26">
      <c r="B43" s="39"/>
      <c r="C43" s="20"/>
      <c r="D43" s="11"/>
      <c r="F43" t="s">
        <v>427</v>
      </c>
      <c r="H43" s="11">
        <v>719</v>
      </c>
      <c r="J43" t="s">
        <v>738</v>
      </c>
      <c r="K43" s="19"/>
      <c r="L43" s="24">
        <v>420.98</v>
      </c>
      <c r="N43" s="39"/>
      <c r="O43" s="19"/>
      <c r="P43" s="32"/>
      <c r="Q43" s="29"/>
      <c r="R43" t="s">
        <v>493</v>
      </c>
      <c r="S43" s="1">
        <v>-4218.91</v>
      </c>
      <c r="T43">
        <v>3</v>
      </c>
      <c r="U43" s="2">
        <f t="shared" si="0"/>
        <v>-1406.3033333333333</v>
      </c>
      <c r="V43">
        <v>2</v>
      </c>
      <c r="W43" s="2">
        <f t="shared" si="1"/>
        <v>-2812.6066666666666</v>
      </c>
      <c r="X43" s="2">
        <f t="shared" si="2"/>
        <v>-1406.3033333333333</v>
      </c>
    </row>
    <row r="44" spans="1:26">
      <c r="B44" s="39"/>
      <c r="C44" s="20"/>
      <c r="D44" s="11"/>
      <c r="F44" t="s">
        <v>733</v>
      </c>
      <c r="G44" s="60">
        <v>1200</v>
      </c>
      <c r="H44" s="11"/>
      <c r="J44" t="s">
        <v>739</v>
      </c>
      <c r="K44" s="19"/>
      <c r="L44" s="24">
        <v>19.010000000000002</v>
      </c>
      <c r="N44" s="39"/>
      <c r="O44" s="19"/>
      <c r="P44" s="24"/>
      <c r="Q44" s="8"/>
      <c r="R44" t="s">
        <v>11</v>
      </c>
      <c r="S44" s="2">
        <f>SUM(S36:S43)</f>
        <v>-57840.649999999994</v>
      </c>
      <c r="X44" s="2">
        <f>SUM(X36:X43)</f>
        <v>-5539.6533333333327</v>
      </c>
    </row>
    <row r="45" spans="1:26">
      <c r="B45" s="39"/>
      <c r="C45" s="20"/>
      <c r="D45" s="11"/>
      <c r="F45" t="s">
        <v>540</v>
      </c>
      <c r="G45" s="60">
        <v>1730.7</v>
      </c>
      <c r="H45" s="11"/>
      <c r="J45" t="s">
        <v>754</v>
      </c>
      <c r="K45" s="19"/>
      <c r="L45" s="14">
        <v>3691.78</v>
      </c>
      <c r="N45" s="39"/>
      <c r="O45" s="19"/>
      <c r="P45" s="24"/>
    </row>
    <row r="46" spans="1:26">
      <c r="B46" s="39"/>
      <c r="C46" s="20"/>
      <c r="D46" s="11"/>
      <c r="H46" s="11"/>
      <c r="J46" t="s">
        <v>755</v>
      </c>
      <c r="K46" s="19">
        <v>3692</v>
      </c>
      <c r="L46" s="14"/>
      <c r="N46" s="39" t="s">
        <v>741</v>
      </c>
      <c r="O46" s="27">
        <v>300</v>
      </c>
      <c r="P46" s="11"/>
      <c r="Q46" s="33" t="s">
        <v>760</v>
      </c>
      <c r="S46" s="2"/>
    </row>
    <row r="47" spans="1:26">
      <c r="B47" s="12"/>
      <c r="C47" s="20"/>
      <c r="D47" s="11"/>
      <c r="E47" s="29"/>
      <c r="H47" s="11"/>
      <c r="K47" s="19"/>
      <c r="L47" s="11"/>
      <c r="N47" s="39" t="s">
        <v>759</v>
      </c>
      <c r="O47" s="19"/>
      <c r="P47" s="24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4"/>
      <c r="N48" s="39" t="s">
        <v>120</v>
      </c>
      <c r="O48" s="27">
        <v>2400</v>
      </c>
      <c r="P48" s="11"/>
      <c r="S48" s="2"/>
    </row>
    <row r="49" spans="2:28">
      <c r="B49" s="12"/>
      <c r="C49" s="20"/>
      <c r="D49" s="11"/>
      <c r="H49" s="11"/>
      <c r="L49" s="11"/>
      <c r="N49" s="39" t="s">
        <v>169</v>
      </c>
      <c r="O49" s="27">
        <v>826.67</v>
      </c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 t="s">
        <v>169</v>
      </c>
      <c r="O50" s="27">
        <v>1341.46</v>
      </c>
      <c r="P50" s="11"/>
      <c r="S50" s="2"/>
      <c r="U50" t="s">
        <v>715</v>
      </c>
      <c r="V50" t="s">
        <v>709</v>
      </c>
    </row>
    <row r="51" spans="2:28">
      <c r="B51" s="12"/>
      <c r="C51" s="1"/>
      <c r="D51" s="11"/>
      <c r="E51" s="29"/>
      <c r="H51" s="11"/>
      <c r="L51" s="11"/>
      <c r="M51" s="33"/>
      <c r="N51" s="39" t="s">
        <v>540</v>
      </c>
      <c r="O51" s="27">
        <v>1000</v>
      </c>
      <c r="P51" s="11"/>
      <c r="U51" s="29" t="s">
        <v>707</v>
      </c>
      <c r="V51" t="s">
        <v>708</v>
      </c>
    </row>
    <row r="52" spans="2:28">
      <c r="B52" s="12"/>
      <c r="C52" s="1"/>
      <c r="D52" s="11"/>
      <c r="H52" s="14"/>
      <c r="L52" s="11"/>
      <c r="N52" s="39"/>
      <c r="O52" s="19"/>
      <c r="P52" s="11"/>
      <c r="S52" t="s">
        <v>702</v>
      </c>
      <c r="U52" s="2">
        <f>U36+U41+U42+U43</f>
        <v>-4562.9733333333334</v>
      </c>
      <c r="V52" s="2">
        <f>U36+U41+U43</f>
        <v>-2232.9733333333334</v>
      </c>
    </row>
    <row r="53" spans="2:28">
      <c r="B53" s="12"/>
      <c r="C53" s="1"/>
      <c r="D53" s="11"/>
      <c r="S53" s="1" t="s">
        <v>119</v>
      </c>
      <c r="U53">
        <v>826.67</v>
      </c>
      <c r="V53">
        <v>826.67</v>
      </c>
    </row>
    <row r="54" spans="2:28">
      <c r="B54" t="s">
        <v>2</v>
      </c>
      <c r="C54" s="2">
        <f>SUM(C36:C51)</f>
        <v>94.5</v>
      </c>
      <c r="D54" s="2">
        <f>SUM(D37:D53)</f>
        <v>0</v>
      </c>
      <c r="F54" t="s">
        <v>2</v>
      </c>
      <c r="G54" s="2">
        <f>SUM(G36:G53)</f>
        <v>1822.1900000000003</v>
      </c>
      <c r="H54" s="2">
        <f>SUM(H36:H52)</f>
        <v>3839.1800000000003</v>
      </c>
      <c r="J54" t="s">
        <v>2</v>
      </c>
      <c r="K54" s="2">
        <f>SUM(K36:K51)</f>
        <v>5566</v>
      </c>
      <c r="L54" s="2">
        <f>SUM(L36:L49)</f>
        <v>6508.4900000000007</v>
      </c>
      <c r="N54" t="s">
        <v>2</v>
      </c>
      <c r="O54" s="2">
        <f>SUM(O36:O53)</f>
        <v>-8167.2400000000016</v>
      </c>
      <c r="P54" s="2">
        <f>SUM(P36:P53)</f>
        <v>0</v>
      </c>
      <c r="S54" s="1"/>
      <c r="T54" s="33" t="s">
        <v>703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94.5</v>
      </c>
      <c r="H55" s="2">
        <f>G54-H54</f>
        <v>-2016.99</v>
      </c>
      <c r="L55" s="2">
        <f>K54-L54</f>
        <v>-942.49000000000069</v>
      </c>
      <c r="P55" s="2">
        <f>O54-P54</f>
        <v>-8167.2400000000016</v>
      </c>
      <c r="S55" s="1" t="s">
        <v>704</v>
      </c>
      <c r="U55">
        <v>1341.46</v>
      </c>
      <c r="V55">
        <v>0</v>
      </c>
      <c r="AA55" t="s">
        <v>239</v>
      </c>
      <c r="AB55" s="1">
        <v>10261.049999999999</v>
      </c>
    </row>
    <row r="56" spans="2:28">
      <c r="P56" s="2">
        <f>P55-X44</f>
        <v>-2627.5866666666689</v>
      </c>
      <c r="S56" s="1"/>
      <c r="U56" s="143">
        <f>U54+U55</f>
        <v>-2394.8433333333332</v>
      </c>
      <c r="V56" s="143">
        <f>V54+V55</f>
        <v>-1406.3033333333333</v>
      </c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-1916.06</v>
      </c>
      <c r="L58" s="2">
        <v>0</v>
      </c>
      <c r="P58" s="2">
        <f>-277.67-549</f>
        <v>-826.67000000000007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185.36</v>
      </c>
      <c r="I60" s="41"/>
      <c r="J60" s="41"/>
      <c r="K60" s="41"/>
      <c r="L60" s="51"/>
      <c r="M60" s="41"/>
      <c r="N60" s="41"/>
      <c r="O60" s="41"/>
      <c r="P60" s="51">
        <v>1012.03</v>
      </c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-1730.6999999999998</v>
      </c>
      <c r="I62" s="44"/>
      <c r="J62" s="44"/>
      <c r="K62" s="44"/>
      <c r="L62" s="45">
        <f>L60+L58</f>
        <v>0</v>
      </c>
      <c r="M62" s="44"/>
      <c r="N62" s="44"/>
      <c r="O62" s="44"/>
      <c r="P62" s="45">
        <f>P60+P58</f>
        <v>185.3599999999999</v>
      </c>
      <c r="T62" t="s">
        <v>98</v>
      </c>
      <c r="V62" s="1">
        <f>Z62-Z63</f>
        <v>718.67999999999984</v>
      </c>
      <c r="W62" s="2">
        <f>S63-V62</f>
        <v>2024.0500000000002</v>
      </c>
      <c r="X62" s="2">
        <f>W62/2</f>
        <v>1012.0250000000001</v>
      </c>
      <c r="Z62" s="1">
        <v>3900</v>
      </c>
      <c r="AA62" s="2">
        <f>X64+Z62</f>
        <v>4912.0249999999996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2742.73</v>
      </c>
      <c r="Z63" s="1">
        <v>3181.32</v>
      </c>
      <c r="AA63" s="2">
        <f>X65+Z63</f>
        <v>4912.0249999999996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1012.0250000000001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1730.7049999999999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11321.19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63" priority="1" operator="lessThan">
      <formula>0</formula>
    </cfRule>
    <cfRule type="cellIs" dxfId="62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 codeName="Hoja29"/>
  <dimension ref="A1:AB87"/>
  <sheetViews>
    <sheetView workbookViewId="0">
      <selection activeCell="F22" sqref="F22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17.829999999999998</v>
      </c>
      <c r="D2" s="74"/>
      <c r="E2" s="18"/>
      <c r="F2" s="18" t="s">
        <v>0</v>
      </c>
      <c r="G2" s="75">
        <v>1499.99</v>
      </c>
      <c r="H2" s="74"/>
      <c r="I2" s="18"/>
      <c r="J2" s="18" t="s">
        <v>0</v>
      </c>
      <c r="K2" s="73">
        <v>18177.759999999998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15625.16</v>
      </c>
      <c r="D3" s="11"/>
      <c r="E3" s="76"/>
      <c r="F3" s="39" t="s">
        <v>549</v>
      </c>
      <c r="G3" s="20">
        <v>2500</v>
      </c>
      <c r="H3" s="11"/>
      <c r="I3" s="18"/>
      <c r="J3" s="18" t="s">
        <v>106</v>
      </c>
      <c r="K3" s="20"/>
      <c r="L3" s="164">
        <v>6001.77</v>
      </c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193</v>
      </c>
      <c r="C4" s="23">
        <v>725.17</v>
      </c>
      <c r="D4" s="11"/>
      <c r="E4" s="18"/>
      <c r="F4" s="39" t="s">
        <v>97</v>
      </c>
      <c r="G4" s="20">
        <v>1000</v>
      </c>
      <c r="H4" s="11"/>
      <c r="I4" s="18"/>
      <c r="J4" s="18" t="s">
        <v>769</v>
      </c>
      <c r="K4" s="23">
        <v>8001.11</v>
      </c>
      <c r="L4" s="77"/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39" t="s">
        <v>767</v>
      </c>
      <c r="C5" s="23">
        <v>10000</v>
      </c>
      <c r="D5" s="11"/>
      <c r="E5" s="18"/>
      <c r="F5" s="39"/>
      <c r="G5" s="20"/>
      <c r="H5" s="11"/>
      <c r="I5" s="18"/>
      <c r="J5" s="18" t="s">
        <v>37</v>
      </c>
      <c r="K5" s="23">
        <v>52.37</v>
      </c>
      <c r="L5" s="77"/>
      <c r="N5" s="18" t="s">
        <v>497</v>
      </c>
      <c r="O5" s="20">
        <v>2500</v>
      </c>
      <c r="P5" s="11"/>
      <c r="R5" s="18"/>
      <c r="S5" s="20"/>
      <c r="T5" s="11"/>
    </row>
    <row r="6" spans="1:20">
      <c r="B6" s="39" t="s">
        <v>768</v>
      </c>
      <c r="C6" s="20"/>
      <c r="D6" s="24">
        <v>8001.11</v>
      </c>
      <c r="E6" s="18"/>
      <c r="F6" s="39"/>
      <c r="G6" s="20"/>
      <c r="H6" s="11"/>
      <c r="I6" s="76"/>
      <c r="J6" s="18" t="s">
        <v>201</v>
      </c>
      <c r="K6" s="20">
        <v>2500.2199999999998</v>
      </c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39" t="s">
        <v>549</v>
      </c>
      <c r="C7" s="20"/>
      <c r="D7" s="24">
        <v>2500</v>
      </c>
      <c r="E7" s="76"/>
      <c r="F7" s="39"/>
      <c r="G7" s="20"/>
      <c r="H7" s="11"/>
      <c r="I7" s="76"/>
      <c r="J7" s="18" t="s">
        <v>775</v>
      </c>
      <c r="K7" s="20">
        <v>2000.62</v>
      </c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201</v>
      </c>
      <c r="C8" s="20"/>
      <c r="D8" s="24">
        <v>2500.2199999999998</v>
      </c>
      <c r="E8" s="18"/>
      <c r="F8" s="39"/>
      <c r="G8" s="20"/>
      <c r="H8" s="11"/>
      <c r="I8" s="76"/>
      <c r="J8" s="18"/>
      <c r="K8" s="20"/>
      <c r="L8" s="77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772</v>
      </c>
      <c r="C9" s="20"/>
      <c r="D9" s="24">
        <v>1000</v>
      </c>
      <c r="E9" s="163"/>
      <c r="F9" s="39"/>
      <c r="G9" s="20"/>
      <c r="H9" s="11"/>
      <c r="I9" s="18"/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773</v>
      </c>
      <c r="C10" s="20"/>
      <c r="D10" s="24">
        <v>2000.62</v>
      </c>
      <c r="E10" s="76" t="s">
        <v>774</v>
      </c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43</v>
      </c>
      <c r="C11" s="20"/>
      <c r="D11" s="24">
        <v>3900</v>
      </c>
      <c r="E11" s="39"/>
      <c r="F11" s="39"/>
      <c r="G11" s="20"/>
      <c r="H11" s="11"/>
      <c r="I11" s="18"/>
      <c r="J11" s="18"/>
      <c r="K11" s="20"/>
      <c r="L11" s="77"/>
    </row>
    <row r="12" spans="1:20">
      <c r="B12" s="39" t="s">
        <v>76</v>
      </c>
      <c r="C12" s="20"/>
      <c r="D12" s="24">
        <v>1500</v>
      </c>
      <c r="E12" s="39"/>
      <c r="F12" s="39"/>
      <c r="G12" s="20"/>
      <c r="H12" s="11"/>
      <c r="I12" s="16"/>
      <c r="J12" s="18"/>
      <c r="K12" s="20"/>
      <c r="L12" s="77"/>
    </row>
    <row r="13" spans="1:20">
      <c r="B13" s="39" t="s">
        <v>436</v>
      </c>
      <c r="C13" s="20"/>
      <c r="D13" s="24">
        <v>1500</v>
      </c>
      <c r="E13" s="39"/>
      <c r="F13" s="39"/>
      <c r="G13" s="20"/>
      <c r="H13" s="11"/>
      <c r="I13" s="18"/>
      <c r="J13" s="18"/>
      <c r="K13" s="20"/>
      <c r="L13" s="77"/>
    </row>
    <row r="14" spans="1:20">
      <c r="B14" s="39" t="s">
        <v>748</v>
      </c>
      <c r="C14" s="20">
        <v>1500</v>
      </c>
      <c r="D14" s="24">
        <v>1500</v>
      </c>
      <c r="E14" s="39"/>
      <c r="F14" s="39"/>
      <c r="G14" s="20"/>
      <c r="H14" s="11"/>
      <c r="I14" s="18"/>
      <c r="J14" s="18"/>
      <c r="K14" s="20"/>
      <c r="L14" s="77"/>
    </row>
    <row r="15" spans="1:20">
      <c r="B15" s="74" t="s">
        <v>308</v>
      </c>
      <c r="C15" s="132"/>
      <c r="D15" s="133">
        <v>942.49</v>
      </c>
      <c r="E15" s="39"/>
      <c r="F15" s="39"/>
      <c r="G15" s="20"/>
      <c r="H15" s="11"/>
      <c r="I15" s="18"/>
      <c r="J15" s="91"/>
      <c r="K15" s="20"/>
      <c r="L15" s="77"/>
    </row>
    <row r="16" spans="1:20">
      <c r="B16" s="109" t="s">
        <v>17</v>
      </c>
      <c r="C16" s="135"/>
      <c r="D16" s="136">
        <v>542.53</v>
      </c>
      <c r="E16" s="39"/>
      <c r="F16" s="39"/>
      <c r="G16" s="20"/>
      <c r="H16" s="11"/>
      <c r="I16" s="18"/>
      <c r="J16" s="18"/>
      <c r="K16" s="20"/>
      <c r="L16" s="77"/>
    </row>
    <row r="17" spans="1:20">
      <c r="B17" s="39" t="s">
        <v>776</v>
      </c>
      <c r="C17" s="20"/>
      <c r="D17" s="24">
        <v>150</v>
      </c>
      <c r="E17" s="39"/>
      <c r="F17" s="39"/>
      <c r="G17" s="20"/>
      <c r="H17" s="11"/>
      <c r="I17" s="18"/>
      <c r="J17" s="18"/>
      <c r="K17" s="20"/>
      <c r="L17" s="77"/>
    </row>
    <row r="18" spans="1:20">
      <c r="B18" s="39" t="s">
        <v>777</v>
      </c>
      <c r="C18" s="20">
        <v>366.14</v>
      </c>
      <c r="D18" s="11"/>
      <c r="E18" s="39"/>
      <c r="F18" s="39"/>
      <c r="G18" s="20"/>
      <c r="H18" s="11"/>
      <c r="K18" s="20"/>
      <c r="L18" s="77"/>
    </row>
    <row r="19" spans="1:20">
      <c r="B19" s="39" t="s">
        <v>779</v>
      </c>
      <c r="C19" s="20">
        <v>171.15</v>
      </c>
      <c r="D19" s="11"/>
      <c r="E19" s="96"/>
      <c r="F19" s="39"/>
      <c r="G19" s="20"/>
      <c r="H19" s="11"/>
      <c r="J19" s="2"/>
      <c r="K19" s="20"/>
      <c r="L19" s="77"/>
    </row>
    <row r="20" spans="1:20">
      <c r="B20" s="39" t="s">
        <v>780</v>
      </c>
      <c r="C20" s="20"/>
      <c r="D20" s="11">
        <v>378.44</v>
      </c>
      <c r="F20" s="39"/>
      <c r="G20" s="20"/>
      <c r="H20" s="11"/>
      <c r="K20" s="20"/>
      <c r="L20" s="77"/>
    </row>
    <row r="21" spans="1:20">
      <c r="A21" s="39"/>
      <c r="B21" s="39"/>
      <c r="C21" s="20"/>
      <c r="D21" s="11"/>
      <c r="F21" s="39"/>
      <c r="G21" s="20"/>
      <c r="H21" s="11"/>
      <c r="L21" s="77"/>
    </row>
    <row r="22" spans="1:20">
      <c r="B22" s="39"/>
      <c r="C22" s="20"/>
      <c r="D22" s="11"/>
      <c r="F22" s="39"/>
      <c r="G22" s="20"/>
      <c r="H22" s="11"/>
      <c r="L22" s="77"/>
    </row>
    <row r="23" spans="1:20">
      <c r="B23" s="39"/>
      <c r="C23" s="20"/>
      <c r="D23" s="11"/>
      <c r="G23" s="20"/>
      <c r="H23" s="11"/>
      <c r="L23" s="77"/>
    </row>
    <row r="24" spans="1:20">
      <c r="B24" s="39"/>
      <c r="C24" s="20"/>
      <c r="D24" s="11"/>
      <c r="G24" s="20"/>
      <c r="H24" s="11"/>
      <c r="L24" s="77"/>
    </row>
    <row r="25" spans="1:20">
      <c r="B25" s="39"/>
      <c r="C25" s="20"/>
      <c r="D25" s="11"/>
      <c r="G25" s="20"/>
      <c r="H25" s="11"/>
      <c r="L25" s="77"/>
    </row>
    <row r="26" spans="1:20">
      <c r="B26" s="39" t="s">
        <v>778</v>
      </c>
      <c r="C26" s="20"/>
      <c r="D26" s="11">
        <v>1301</v>
      </c>
      <c r="G26" s="20"/>
      <c r="H26" s="11"/>
      <c r="L26" s="77"/>
    </row>
    <row r="27" spans="1:20">
      <c r="B27" s="39"/>
      <c r="C27" s="20"/>
      <c r="D27" s="11"/>
      <c r="G27" s="20"/>
      <c r="H27" s="11"/>
      <c r="L27" s="77"/>
    </row>
    <row r="28" spans="1:20">
      <c r="B28" s="39"/>
      <c r="C28" s="20"/>
      <c r="D28" s="11"/>
      <c r="G28" s="20"/>
      <c r="H28" s="11"/>
      <c r="L28" s="77"/>
    </row>
    <row r="29" spans="1:20">
      <c r="B29" s="39"/>
      <c r="C29" s="20"/>
      <c r="D29" s="11"/>
      <c r="G29" s="20"/>
      <c r="H29" s="11"/>
      <c r="L29" s="77"/>
    </row>
    <row r="30" spans="1:20">
      <c r="B30" s="39"/>
      <c r="C30" s="20"/>
      <c r="D30" s="11"/>
      <c r="G30" s="20"/>
      <c r="H30" s="19"/>
    </row>
    <row r="31" spans="1:20">
      <c r="B31" t="s">
        <v>2</v>
      </c>
      <c r="C31" s="2">
        <f>SUM(C2:C29)</f>
        <v>28405.45</v>
      </c>
      <c r="D31" s="2">
        <f>SUM(D3:D30)</f>
        <v>27716.41</v>
      </c>
      <c r="F31" t="s">
        <v>2</v>
      </c>
      <c r="G31" s="2">
        <f>SUM(G2:G30)</f>
        <v>4999.99</v>
      </c>
      <c r="H31" s="2">
        <f>SUM(H3:H30)</f>
        <v>0</v>
      </c>
      <c r="J31" t="s">
        <v>2</v>
      </c>
      <c r="K31" s="2">
        <f>SUM(K1:K10)</f>
        <v>30732.079999999998</v>
      </c>
      <c r="L31" s="2">
        <f>SUM(L2:L10)</f>
        <v>6001.77</v>
      </c>
      <c r="N31" t="s">
        <v>2</v>
      </c>
      <c r="O31" s="2">
        <f>SUM(O1:O10)</f>
        <v>4300</v>
      </c>
      <c r="P31" s="2">
        <f>SUM(P2:P10)</f>
        <v>4300</v>
      </c>
      <c r="R31" t="s">
        <v>2</v>
      </c>
      <c r="S31" s="2">
        <f>SUM(S1:S10)</f>
        <v>5000</v>
      </c>
      <c r="T31" s="2">
        <f>SUM(T2:T10)</f>
        <v>5000</v>
      </c>
    </row>
    <row r="32" spans="1:20">
      <c r="D32" s="2">
        <f>C31-D31</f>
        <v>689.04000000000087</v>
      </c>
      <c r="H32" s="2">
        <f>G31-H31</f>
        <v>4999.99</v>
      </c>
      <c r="L32" s="2">
        <f>K31-L31</f>
        <v>24730.309999999998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343.84999999999923</v>
      </c>
      <c r="V34" s="102">
        <v>42873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>
        <v>-2746.22</v>
      </c>
      <c r="H36" s="4"/>
      <c r="J36" t="s">
        <v>0</v>
      </c>
      <c r="K36" s="3">
        <v>-942.49</v>
      </c>
      <c r="L36" s="4"/>
      <c r="M36" s="33"/>
      <c r="N36" t="s">
        <v>0</v>
      </c>
      <c r="O36" s="3">
        <v>-8167.24</v>
      </c>
      <c r="P36" s="4"/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13</v>
      </c>
      <c r="W36" s="2">
        <f>U36*V36</f>
        <v>-3609.666666666667</v>
      </c>
      <c r="X36" s="2">
        <f>S36-W36</f>
        <v>-1388.333333333333</v>
      </c>
    </row>
    <row r="37" spans="1:26">
      <c r="B37" s="39" t="s">
        <v>503</v>
      </c>
      <c r="C37" s="1"/>
      <c r="D37" s="1">
        <v>0</v>
      </c>
      <c r="F37" t="s">
        <v>169</v>
      </c>
      <c r="G37">
        <v>542.23</v>
      </c>
      <c r="H37" s="11"/>
      <c r="J37" t="s">
        <v>169</v>
      </c>
      <c r="K37" s="19">
        <v>942.49</v>
      </c>
      <c r="L37" s="14"/>
      <c r="M37" s="29"/>
      <c r="N37" t="s">
        <v>142</v>
      </c>
      <c r="O37" s="19"/>
      <c r="P37" s="11"/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F38" t="s">
        <v>781</v>
      </c>
      <c r="H38" s="11">
        <v>640.59</v>
      </c>
      <c r="I38" s="8"/>
      <c r="J38" t="s">
        <v>784</v>
      </c>
      <c r="K38" s="19"/>
      <c r="L38" s="14">
        <v>999</v>
      </c>
      <c r="N38" s="39"/>
      <c r="O38" s="19"/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F39" t="s">
        <v>782</v>
      </c>
      <c r="H39" s="11">
        <v>80</v>
      </c>
      <c r="J39" t="s">
        <v>229</v>
      </c>
      <c r="K39" s="19"/>
      <c r="L39" s="14">
        <v>7.99</v>
      </c>
      <c r="N39" s="39" t="s">
        <v>169</v>
      </c>
      <c r="O39" s="19">
        <v>2500</v>
      </c>
      <c r="P39" s="11">
        <v>2500</v>
      </c>
      <c r="Q39" s="29" t="s">
        <v>708</v>
      </c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F40" t="s">
        <v>783</v>
      </c>
      <c r="H40" s="11">
        <v>214</v>
      </c>
      <c r="K40" s="19"/>
      <c r="L40" s="14"/>
      <c r="N40" s="39"/>
      <c r="O40" s="19"/>
      <c r="P40" s="11"/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/>
      <c r="H41" s="11"/>
      <c r="K41" s="19"/>
      <c r="L41" s="14"/>
      <c r="M41" s="29"/>
      <c r="N41" s="39"/>
      <c r="O41" s="19"/>
      <c r="P41" s="11"/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7</v>
      </c>
      <c r="W41" s="2">
        <f t="shared" si="1"/>
        <v>-3843.0233333333335</v>
      </c>
      <c r="X41" s="2">
        <f t="shared" si="2"/>
        <v>-2745.0166666666664</v>
      </c>
    </row>
    <row r="42" spans="1:26">
      <c r="B42" s="39"/>
      <c r="C42" s="20"/>
      <c r="D42" s="11"/>
      <c r="F42" t="s">
        <v>427</v>
      </c>
      <c r="H42" s="11">
        <v>669</v>
      </c>
      <c r="K42" s="19"/>
      <c r="L42" s="14"/>
      <c r="M42" s="29"/>
      <c r="N42" s="39"/>
      <c r="O42" s="19"/>
      <c r="P42" s="11"/>
      <c r="Q42" s="29"/>
      <c r="R42" t="s">
        <v>630</v>
      </c>
      <c r="S42" s="101">
        <v>-6990</v>
      </c>
      <c r="T42" s="118">
        <v>3</v>
      </c>
      <c r="U42" s="119">
        <f t="shared" si="0"/>
        <v>-2330</v>
      </c>
      <c r="V42" s="118">
        <v>3</v>
      </c>
      <c r="W42" s="119">
        <f t="shared" si="1"/>
        <v>-6990</v>
      </c>
      <c r="X42" s="119">
        <f t="shared" si="2"/>
        <v>0</v>
      </c>
    </row>
    <row r="43" spans="1:26">
      <c r="B43" s="39"/>
      <c r="C43" s="20"/>
      <c r="D43" s="11"/>
      <c r="F43" t="s">
        <v>20</v>
      </c>
      <c r="H43" s="11">
        <v>129</v>
      </c>
      <c r="K43" s="19"/>
      <c r="L43" s="14"/>
      <c r="N43" s="39"/>
      <c r="O43" s="19"/>
      <c r="P43" s="11"/>
      <c r="Q43" s="29"/>
      <c r="R43" t="s">
        <v>493</v>
      </c>
      <c r="S43" s="1">
        <v>-4218.91</v>
      </c>
      <c r="T43">
        <v>3</v>
      </c>
      <c r="U43" s="2">
        <f t="shared" si="0"/>
        <v>-1406.3033333333333</v>
      </c>
      <c r="V43">
        <v>2</v>
      </c>
      <c r="W43" s="2">
        <f t="shared" si="1"/>
        <v>-2812.6066666666666</v>
      </c>
      <c r="X43" s="2">
        <f t="shared" si="2"/>
        <v>-1406.3033333333333</v>
      </c>
    </row>
    <row r="44" spans="1:26">
      <c r="B44" s="39"/>
      <c r="C44" s="20"/>
      <c r="D44" s="11"/>
      <c r="H44" s="11"/>
      <c r="K44" s="19"/>
      <c r="L44" s="14"/>
      <c r="N44" s="39"/>
      <c r="O44" s="19"/>
      <c r="P44" s="11"/>
      <c r="Q44" s="8"/>
      <c r="R44" t="s">
        <v>11</v>
      </c>
      <c r="S44" s="2">
        <f>SUM(S36:S43)</f>
        <v>-57840.649999999994</v>
      </c>
      <c r="X44" s="2">
        <f>SUM(X36:X43)</f>
        <v>-5539.6533333333327</v>
      </c>
    </row>
    <row r="45" spans="1:26">
      <c r="B45" s="39"/>
      <c r="C45" s="20"/>
      <c r="D45" s="11"/>
      <c r="H45" s="11"/>
      <c r="K45" s="19"/>
      <c r="L45" s="14"/>
      <c r="N45" s="39"/>
      <c r="O45" s="19"/>
      <c r="P45" s="11"/>
    </row>
    <row r="46" spans="1:26">
      <c r="B46" s="39"/>
      <c r="C46" s="20"/>
      <c r="D46" s="11"/>
      <c r="H46" s="11"/>
      <c r="K46" s="19"/>
      <c r="L46" s="14"/>
      <c r="N46" s="39"/>
      <c r="O46" s="19"/>
      <c r="P46" s="11"/>
      <c r="Q46" s="33" t="s">
        <v>760</v>
      </c>
      <c r="S46" s="2"/>
    </row>
    <row r="47" spans="1:26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4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  <c r="U50" t="s">
        <v>715</v>
      </c>
      <c r="V50" t="s">
        <v>709</v>
      </c>
      <c r="W50" t="s">
        <v>770</v>
      </c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 t="s">
        <v>707</v>
      </c>
      <c r="V51" t="s">
        <v>708</v>
      </c>
      <c r="W51" t="s">
        <v>771</v>
      </c>
    </row>
    <row r="52" spans="2:28">
      <c r="B52" s="12"/>
      <c r="C52" s="1"/>
      <c r="D52" s="11"/>
      <c r="H52" s="14"/>
      <c r="L52" s="11"/>
      <c r="N52" s="39"/>
      <c r="O52" s="19"/>
      <c r="P52" s="11"/>
      <c r="S52" t="s">
        <v>702</v>
      </c>
      <c r="U52" s="2">
        <f>U36+U41+U42+U43</f>
        <v>-4562.9733333333334</v>
      </c>
      <c r="V52" s="2">
        <f>U36+U41+U43</f>
        <v>-2232.9733333333334</v>
      </c>
    </row>
    <row r="53" spans="2:28">
      <c r="B53" s="12"/>
      <c r="C53" s="1"/>
      <c r="D53" s="11"/>
      <c r="S53" s="1" t="s">
        <v>119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-2203.9899999999998</v>
      </c>
      <c r="H54" s="2">
        <f>SUM(H36:H52)</f>
        <v>1732.5900000000001</v>
      </c>
      <c r="J54" t="s">
        <v>2</v>
      </c>
      <c r="K54" s="2">
        <f>SUM(K36:K51)</f>
        <v>0</v>
      </c>
      <c r="L54" s="2">
        <f>SUM(L36:L49)</f>
        <v>1006.99</v>
      </c>
      <c r="N54" t="s">
        <v>2</v>
      </c>
      <c r="O54" s="2">
        <f>SUM(O36:O53)</f>
        <v>-5667.24</v>
      </c>
      <c r="P54" s="2">
        <f>SUM(P36:P53)</f>
        <v>2500</v>
      </c>
      <c r="S54" s="1"/>
      <c r="T54" s="33" t="s">
        <v>703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-3936.58</v>
      </c>
      <c r="L55" s="2">
        <f>K54-L54</f>
        <v>-1006.99</v>
      </c>
      <c r="P55" s="2">
        <f>O54-P54</f>
        <v>-8167.24</v>
      </c>
      <c r="S55" s="1" t="s">
        <v>704</v>
      </c>
      <c r="U55">
        <v>1341.46</v>
      </c>
      <c r="V55">
        <v>0</v>
      </c>
      <c r="AA55" t="s">
        <v>239</v>
      </c>
      <c r="AB55" s="1">
        <v>10261.049999999999</v>
      </c>
    </row>
    <row r="56" spans="2:28">
      <c r="P56" s="2">
        <f>P55-X44</f>
        <v>-2627.586666666667</v>
      </c>
      <c r="S56" s="1"/>
      <c r="U56" s="165">
        <f>U54+U55</f>
        <v>-2394.8433333333332</v>
      </c>
      <c r="V56" s="143">
        <f>V54+V55</f>
        <v>-1406.3033333333333</v>
      </c>
      <c r="W56" s="93">
        <v>2500</v>
      </c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-2746.22</v>
      </c>
      <c r="L58" s="2">
        <v>-942.49</v>
      </c>
      <c r="P58" s="2">
        <v>0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542.53</v>
      </c>
      <c r="I60" s="41"/>
      <c r="J60" s="41"/>
      <c r="K60" s="41"/>
      <c r="L60" s="51">
        <v>1485.02</v>
      </c>
      <c r="M60" s="41"/>
      <c r="N60" s="41"/>
      <c r="O60" s="41"/>
      <c r="P60" s="51">
        <v>1012.03</v>
      </c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-2203.6899999999996</v>
      </c>
      <c r="I62" s="44"/>
      <c r="J62" s="44"/>
      <c r="K62" s="44"/>
      <c r="L62" s="45">
        <f>L60+L58</f>
        <v>542.53</v>
      </c>
      <c r="M62" s="44"/>
      <c r="N62" s="44"/>
      <c r="O62" s="44"/>
      <c r="P62" s="45">
        <f>P60+P58</f>
        <v>1012.03</v>
      </c>
      <c r="T62" t="s">
        <v>98</v>
      </c>
      <c r="V62" s="1">
        <f>Z62-Z63</f>
        <v>718.67999999999984</v>
      </c>
      <c r="W62" s="2">
        <f>S63-V62</f>
        <v>2970.03</v>
      </c>
      <c r="X62" s="2">
        <f>W62/2</f>
        <v>1485.0150000000001</v>
      </c>
      <c r="Z62" s="1">
        <v>3900</v>
      </c>
      <c r="AA62" s="2">
        <f>X64+Z62</f>
        <v>5385.0150000000003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3688.71</v>
      </c>
      <c r="Z63" s="1">
        <v>3181.32</v>
      </c>
      <c r="AA63" s="2">
        <f>X65+Z63</f>
        <v>5385.0149999999994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1485.0150000000001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2203.6949999999997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9401.6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B1:T45"/>
  <sheetViews>
    <sheetView workbookViewId="0">
      <selection activeCell="L32" sqref="L32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</cols>
  <sheetData>
    <row r="1" spans="2:16">
      <c r="C1" s="217" t="s">
        <v>6</v>
      </c>
      <c r="D1" s="217"/>
      <c r="G1" s="217" t="s">
        <v>7</v>
      </c>
      <c r="H1" s="217"/>
      <c r="K1" s="218" t="s">
        <v>3</v>
      </c>
      <c r="L1" s="218"/>
    </row>
    <row r="2" spans="2:16">
      <c r="B2" t="s">
        <v>0</v>
      </c>
      <c r="C2" s="3">
        <v>2.0699999999999998</v>
      </c>
      <c r="D2" s="4"/>
      <c r="F2" t="s">
        <v>0</v>
      </c>
      <c r="G2" s="28">
        <v>9500</v>
      </c>
      <c r="H2" s="4"/>
      <c r="J2" t="s">
        <v>0</v>
      </c>
      <c r="K2" s="3">
        <f>'Balance Mzo 31'!L20</f>
        <v>83397.16</v>
      </c>
      <c r="L2" s="4"/>
    </row>
    <row r="3" spans="2:16">
      <c r="B3" t="s">
        <v>70</v>
      </c>
      <c r="C3" s="1">
        <v>304.85000000000002</v>
      </c>
      <c r="D3" s="11"/>
      <c r="F3" t="s">
        <v>3</v>
      </c>
      <c r="G3" s="20">
        <v>6000</v>
      </c>
      <c r="H3" s="11"/>
      <c r="J3" t="s">
        <v>8</v>
      </c>
      <c r="K3" s="23">
        <v>5000</v>
      </c>
      <c r="L3" s="7"/>
    </row>
    <row r="4" spans="2:16">
      <c r="B4" t="s">
        <v>69</v>
      </c>
      <c r="C4" s="23">
        <f>304.85*3</f>
        <v>914.55000000000007</v>
      </c>
      <c r="D4" s="11"/>
      <c r="F4" t="s">
        <v>1</v>
      </c>
      <c r="G4" s="20">
        <v>6361.05</v>
      </c>
      <c r="H4" s="11"/>
      <c r="J4" t="s">
        <v>37</v>
      </c>
      <c r="K4" s="23">
        <v>801.14</v>
      </c>
      <c r="L4" s="7"/>
    </row>
    <row r="5" spans="2:16">
      <c r="B5" t="s">
        <v>71</v>
      </c>
      <c r="C5" s="23">
        <v>304.85000000000002</v>
      </c>
      <c r="D5" s="11"/>
      <c r="F5" t="s">
        <v>9</v>
      </c>
      <c r="G5" s="20"/>
      <c r="H5" s="11">
        <v>6361.05</v>
      </c>
      <c r="K5" s="1"/>
      <c r="L5" s="7"/>
    </row>
    <row r="6" spans="2:16">
      <c r="B6" t="s">
        <v>72</v>
      </c>
      <c r="C6" s="23">
        <v>304.85000000000002</v>
      </c>
      <c r="D6" s="11"/>
      <c r="F6" t="s">
        <v>8</v>
      </c>
      <c r="G6" s="20"/>
      <c r="H6" s="11">
        <v>5000</v>
      </c>
      <c r="K6" s="1"/>
      <c r="L6" s="7"/>
    </row>
    <row r="7" spans="2:16">
      <c r="B7" t="s">
        <v>73</v>
      </c>
      <c r="C7" s="1">
        <v>2133.9499999999998</v>
      </c>
      <c r="D7" s="11">
        <f>304.85*7</f>
        <v>2133.9500000000003</v>
      </c>
      <c r="E7" s="29">
        <v>39203</v>
      </c>
      <c r="G7" s="20"/>
      <c r="H7" s="11"/>
      <c r="K7" s="1"/>
      <c r="L7" s="7"/>
      <c r="P7" s="2"/>
    </row>
    <row r="8" spans="2:16">
      <c r="B8" t="s">
        <v>39</v>
      </c>
      <c r="C8" s="23">
        <v>1061.67</v>
      </c>
      <c r="D8" s="11"/>
      <c r="G8" s="20"/>
      <c r="H8" s="11"/>
      <c r="K8" s="1"/>
      <c r="L8" s="22"/>
    </row>
    <row r="9" spans="2:16">
      <c r="B9" t="s">
        <v>40</v>
      </c>
      <c r="C9" s="23">
        <v>15647.31</v>
      </c>
      <c r="D9" s="11"/>
      <c r="G9" s="20"/>
      <c r="H9" s="11"/>
    </row>
    <row r="10" spans="2:16">
      <c r="B10" t="s">
        <v>3</v>
      </c>
      <c r="C10" s="1"/>
      <c r="D10" s="24">
        <v>6000</v>
      </c>
      <c r="E10" s="29"/>
      <c r="G10" s="20"/>
      <c r="H10" s="11"/>
    </row>
    <row r="11" spans="2:16">
      <c r="B11" t="s">
        <v>1</v>
      </c>
      <c r="C11" s="1"/>
      <c r="D11" s="24">
        <v>6361.05</v>
      </c>
      <c r="G11" s="20"/>
      <c r="H11" s="11"/>
    </row>
    <row r="12" spans="2:16">
      <c r="B12" t="s">
        <v>78</v>
      </c>
      <c r="C12" s="1"/>
      <c r="D12" s="24">
        <v>2228.31</v>
      </c>
      <c r="F12" t="s">
        <v>80</v>
      </c>
      <c r="G12" s="20"/>
      <c r="H12" s="11"/>
    </row>
    <row r="13" spans="2:16">
      <c r="B13" t="s">
        <v>12</v>
      </c>
      <c r="C13" s="1"/>
      <c r="D13" s="24">
        <v>300</v>
      </c>
      <c r="G13" s="20"/>
      <c r="H13" s="11"/>
    </row>
    <row r="14" spans="2:16">
      <c r="B14" t="s">
        <v>76</v>
      </c>
      <c r="C14" s="1"/>
      <c r="D14" s="24">
        <v>1200</v>
      </c>
      <c r="G14" s="20"/>
      <c r="H14" s="11"/>
    </row>
    <row r="15" spans="2:16">
      <c r="B15" t="s">
        <v>79</v>
      </c>
      <c r="C15" s="1">
        <v>311</v>
      </c>
      <c r="D15" s="11"/>
      <c r="G15" s="20"/>
      <c r="H15" s="11"/>
    </row>
    <row r="16" spans="2:16">
      <c r="B16" t="s">
        <v>105</v>
      </c>
      <c r="C16" s="1">
        <v>8.0399999999999991</v>
      </c>
      <c r="D16" s="11"/>
      <c r="G16" s="20"/>
      <c r="H16" s="11"/>
    </row>
    <row r="17" spans="2:17">
      <c r="B17" t="s">
        <v>106</v>
      </c>
      <c r="C17" s="1"/>
      <c r="D17" s="11">
        <v>525.52</v>
      </c>
      <c r="G17" s="20"/>
      <c r="H17" s="11"/>
    </row>
    <row r="18" spans="2:17">
      <c r="B18" t="s">
        <v>107</v>
      </c>
      <c r="C18" s="1"/>
      <c r="D18" s="11">
        <v>500</v>
      </c>
      <c r="G18" s="20"/>
      <c r="H18" s="11"/>
    </row>
    <row r="19" spans="2:17">
      <c r="B19" t="s">
        <v>2</v>
      </c>
      <c r="C19" s="2">
        <f>SUM(C2:C18)</f>
        <v>20993.14</v>
      </c>
      <c r="D19" s="2">
        <f>SUM(D3:D18)</f>
        <v>19248.830000000002</v>
      </c>
      <c r="F19" t="s">
        <v>2</v>
      </c>
      <c r="G19" s="2">
        <f>SUM(G2:G11)</f>
        <v>21861.05</v>
      </c>
      <c r="H19" s="2">
        <f>SUM(H3:H11)</f>
        <v>11361.05</v>
      </c>
      <c r="J19" t="s">
        <v>2</v>
      </c>
      <c r="K19" s="2">
        <f>SUM(K1:K10)</f>
        <v>89198.3</v>
      </c>
      <c r="L19" s="2">
        <f>SUM(L2:L10)</f>
        <v>0</v>
      </c>
    </row>
    <row r="20" spans="2:17">
      <c r="D20" s="2">
        <f>C19-D19</f>
        <v>1744.3099999999977</v>
      </c>
      <c r="H20" s="2">
        <f>G19-H19</f>
        <v>10500</v>
      </c>
      <c r="L20" s="2">
        <f>K19-L19</f>
        <v>89198.3</v>
      </c>
    </row>
    <row r="23" spans="2:17">
      <c r="C23" s="217" t="s">
        <v>12</v>
      </c>
      <c r="D23" s="217"/>
      <c r="G23" s="217" t="s">
        <v>16</v>
      </c>
      <c r="H23" s="217"/>
      <c r="K23" s="217" t="s">
        <v>77</v>
      </c>
      <c r="L23" s="217"/>
      <c r="O23" s="217" t="s">
        <v>90</v>
      </c>
      <c r="P23" s="217"/>
    </row>
    <row r="24" spans="2:17">
      <c r="B24" t="s">
        <v>0</v>
      </c>
      <c r="C24" s="3">
        <f>'Balance Mzo 31'!D39</f>
        <v>242</v>
      </c>
      <c r="D24" s="4"/>
      <c r="F24" t="s">
        <v>0</v>
      </c>
      <c r="G24" s="3">
        <f>'Balance Mzo 31'!H39</f>
        <v>0</v>
      </c>
      <c r="H24" s="4"/>
      <c r="J24" t="s">
        <v>0</v>
      </c>
      <c r="K24" s="3">
        <f>'Balance Mzo 31'!L39</f>
        <v>-2228.31</v>
      </c>
      <c r="L24" s="4"/>
      <c r="N24" t="s">
        <v>0</v>
      </c>
      <c r="O24" s="3">
        <f>'Balance Mzo 31'!P39</f>
        <v>0</v>
      </c>
      <c r="P24" s="4"/>
    </row>
    <row r="25" spans="2:17">
      <c r="B25" t="s">
        <v>12</v>
      </c>
      <c r="C25" s="20">
        <v>300</v>
      </c>
      <c r="D25" s="11"/>
      <c r="F25" t="s">
        <v>82</v>
      </c>
      <c r="G25" s="24"/>
      <c r="H25" s="11">
        <v>11.31</v>
      </c>
      <c r="K25" s="24"/>
      <c r="L25" s="11">
        <v>17.829999999999998</v>
      </c>
      <c r="M25" s="15">
        <v>42467</v>
      </c>
      <c r="N25" t="s">
        <v>81</v>
      </c>
      <c r="O25" s="24"/>
      <c r="P25" s="11">
        <v>30</v>
      </c>
      <c r="Q25" s="15"/>
    </row>
    <row r="26" spans="2:17">
      <c r="B26" t="s">
        <v>88</v>
      </c>
      <c r="C26" s="20"/>
      <c r="D26" s="11">
        <v>382</v>
      </c>
      <c r="F26" t="s">
        <v>81</v>
      </c>
      <c r="G26" s="20"/>
      <c r="H26" s="11">
        <v>60</v>
      </c>
      <c r="J26" s="12" t="s">
        <v>66</v>
      </c>
      <c r="K26" s="21"/>
      <c r="L26" s="32">
        <v>832.1</v>
      </c>
      <c r="N26" s="12" t="s">
        <v>91</v>
      </c>
      <c r="O26" s="21"/>
      <c r="P26" s="32">
        <v>210</v>
      </c>
    </row>
    <row r="27" spans="2:17">
      <c r="B27" s="12" t="s">
        <v>13</v>
      </c>
      <c r="C27" s="20"/>
      <c r="D27" s="11">
        <v>100</v>
      </c>
      <c r="F27" s="12" t="s">
        <v>18</v>
      </c>
      <c r="G27" s="21"/>
      <c r="H27" s="11">
        <v>646</v>
      </c>
      <c r="J27" s="12" t="s">
        <v>67</v>
      </c>
      <c r="K27" s="21"/>
      <c r="L27" s="32">
        <v>517</v>
      </c>
      <c r="N27" s="12" t="s">
        <v>92</v>
      </c>
      <c r="O27" s="21"/>
      <c r="P27" s="32">
        <v>469.06</v>
      </c>
    </row>
    <row r="28" spans="2:17">
      <c r="B28" t="s">
        <v>89</v>
      </c>
      <c r="C28" s="20"/>
      <c r="D28" s="11">
        <v>16</v>
      </c>
      <c r="F28" t="s">
        <v>20</v>
      </c>
      <c r="G28" s="20"/>
      <c r="H28" s="11">
        <v>99</v>
      </c>
      <c r="J28" t="s">
        <v>68</v>
      </c>
      <c r="K28" s="20"/>
      <c r="L28" s="11">
        <v>2133.9</v>
      </c>
      <c r="N28" t="s">
        <v>94</v>
      </c>
      <c r="O28" s="20">
        <v>240</v>
      </c>
      <c r="P28" s="11">
        <v>240</v>
      </c>
      <c r="Q28" t="s">
        <v>95</v>
      </c>
    </row>
    <row r="29" spans="2:17">
      <c r="B29" s="12"/>
      <c r="C29" s="20"/>
      <c r="D29" s="11"/>
      <c r="F29" t="s">
        <v>21</v>
      </c>
      <c r="G29" s="20"/>
      <c r="H29" s="11">
        <v>203.45</v>
      </c>
      <c r="J29" t="s">
        <v>74</v>
      </c>
      <c r="K29" s="1">
        <v>2228.31</v>
      </c>
      <c r="L29" s="11"/>
      <c r="M29" s="29">
        <v>42095</v>
      </c>
      <c r="N29" t="s">
        <v>104</v>
      </c>
      <c r="O29" s="1"/>
      <c r="P29" s="11">
        <v>4998</v>
      </c>
      <c r="Q29" s="29"/>
    </row>
    <row r="30" spans="2:17">
      <c r="C30" s="20"/>
      <c r="D30" s="11"/>
      <c r="F30" s="31" t="s">
        <v>83</v>
      </c>
      <c r="G30" s="12"/>
      <c r="H30" s="14">
        <v>299</v>
      </c>
      <c r="J30" t="s">
        <v>75</v>
      </c>
      <c r="K30" s="1">
        <v>2133.9</v>
      </c>
      <c r="L30" s="11">
        <v>2133.9</v>
      </c>
      <c r="M30" s="29">
        <v>39203</v>
      </c>
      <c r="N30" t="s">
        <v>108</v>
      </c>
      <c r="O30" s="1">
        <v>4998</v>
      </c>
      <c r="P30" s="11"/>
      <c r="Q30" s="29"/>
    </row>
    <row r="31" spans="2:17">
      <c r="B31" s="12"/>
      <c r="C31" s="20"/>
      <c r="D31" s="11"/>
      <c r="F31" s="30" t="s">
        <v>84</v>
      </c>
      <c r="H31" s="11">
        <v>409.45</v>
      </c>
      <c r="J31" t="s">
        <v>180</v>
      </c>
      <c r="L31" s="11">
        <f>30+90.5+80</f>
        <v>200.5</v>
      </c>
      <c r="N31" t="s">
        <v>109</v>
      </c>
      <c r="P31" s="11">
        <v>277.66000000000003</v>
      </c>
    </row>
    <row r="32" spans="2:17">
      <c r="B32" s="12"/>
      <c r="C32" s="20"/>
      <c r="D32" s="11"/>
      <c r="F32" s="31" t="s">
        <v>85</v>
      </c>
      <c r="G32" s="12"/>
      <c r="H32" s="14">
        <v>1144</v>
      </c>
      <c r="J32" t="s">
        <v>93</v>
      </c>
      <c r="L32" s="11">
        <v>1580.01</v>
      </c>
    </row>
    <row r="33" spans="2:20">
      <c r="B33" s="12"/>
      <c r="C33" s="20"/>
      <c r="D33" s="11"/>
      <c r="F33" s="30" t="s">
        <v>86</v>
      </c>
      <c r="H33" s="11">
        <v>42.18</v>
      </c>
      <c r="J33" t="s">
        <v>100</v>
      </c>
      <c r="L33" s="11">
        <v>359.1</v>
      </c>
    </row>
    <row r="34" spans="2:20">
      <c r="B34" s="12"/>
      <c r="C34" s="18"/>
      <c r="D34" s="11"/>
      <c r="F34" s="31" t="s">
        <v>87</v>
      </c>
      <c r="G34" s="12"/>
      <c r="H34" s="14">
        <v>185</v>
      </c>
      <c r="L34" s="11">
        <v>850.35</v>
      </c>
      <c r="M34" s="33" t="s">
        <v>102</v>
      </c>
    </row>
    <row r="35" spans="2:20">
      <c r="B35" s="12"/>
      <c r="D35" s="11"/>
      <c r="F35" s="30" t="s">
        <v>84</v>
      </c>
      <c r="H35" s="11">
        <v>386.9</v>
      </c>
      <c r="L35" s="11">
        <v>148</v>
      </c>
      <c r="M35" s="33" t="s">
        <v>103</v>
      </c>
    </row>
    <row r="36" spans="2:20">
      <c r="B36" s="12"/>
      <c r="D36" s="11"/>
      <c r="F36" s="31" t="s">
        <v>101</v>
      </c>
      <c r="H36" s="14">
        <v>80</v>
      </c>
      <c r="J36" t="s">
        <v>110</v>
      </c>
      <c r="L36" s="11">
        <v>448</v>
      </c>
    </row>
    <row r="37" spans="2:20">
      <c r="B37" s="12"/>
      <c r="D37" s="11"/>
    </row>
    <row r="38" spans="2:20">
      <c r="B38" t="s">
        <v>2</v>
      </c>
      <c r="C38" s="2">
        <f>SUM(C24:C35)</f>
        <v>542</v>
      </c>
      <c r="D38" s="2">
        <f>SUM(D25:D37)</f>
        <v>498</v>
      </c>
      <c r="F38" t="s">
        <v>2</v>
      </c>
      <c r="G38" s="2">
        <f>SUM(G24:G35)</f>
        <v>0</v>
      </c>
      <c r="H38" s="2">
        <f>SUM(H24:H36)</f>
        <v>3566.29</v>
      </c>
      <c r="J38" t="s">
        <v>2</v>
      </c>
      <c r="K38" s="2">
        <f>SUM(K24:K35)</f>
        <v>2133.9</v>
      </c>
      <c r="L38" s="2">
        <f>SUM(L24:L36)</f>
        <v>9220.69</v>
      </c>
      <c r="N38" t="s">
        <v>2</v>
      </c>
      <c r="O38" s="2">
        <f>SUM(O24:O35)</f>
        <v>5238</v>
      </c>
      <c r="P38" s="2">
        <f>SUM(P24:P35)</f>
        <v>6224.7199999999993</v>
      </c>
    </row>
    <row r="39" spans="2:20">
      <c r="D39" s="2">
        <f>C38-D38</f>
        <v>44</v>
      </c>
      <c r="H39" s="2">
        <f>G38-H38</f>
        <v>-3566.29</v>
      </c>
      <c r="L39" s="2">
        <f>K38-L38</f>
        <v>-7086.7900000000009</v>
      </c>
      <c r="P39" s="2">
        <f>O38-P38</f>
        <v>-986.71999999999935</v>
      </c>
      <c r="R39" s="2">
        <f>P39-H39</f>
        <v>2579.5700000000006</v>
      </c>
    </row>
    <row r="43" spans="2:20">
      <c r="E43" s="2"/>
    </row>
    <row r="44" spans="2:20">
      <c r="D44" s="2"/>
      <c r="E44" t="s">
        <v>96</v>
      </c>
      <c r="H44" s="1">
        <v>-1700</v>
      </c>
      <c r="L44" s="1">
        <v>-1700</v>
      </c>
      <c r="P44" s="1">
        <v>-240</v>
      </c>
      <c r="S44" s="1">
        <f>H44+L44+P44</f>
        <v>-3640</v>
      </c>
      <c r="T44" t="s">
        <v>98</v>
      </c>
    </row>
    <row r="45" spans="2:20">
      <c r="E45" t="s">
        <v>97</v>
      </c>
      <c r="H45" s="2">
        <f>H39-H44</f>
        <v>-1866.29</v>
      </c>
      <c r="L45" s="2">
        <f>L39-L44</f>
        <v>-5386.7900000000009</v>
      </c>
      <c r="P45" s="2">
        <f>P39-P44</f>
        <v>-746.71999999999935</v>
      </c>
      <c r="S45" s="1">
        <f>H45+L45+P45</f>
        <v>-7999.8</v>
      </c>
      <c r="T45" t="s">
        <v>99</v>
      </c>
    </row>
  </sheetData>
  <mergeCells count="7">
    <mergeCell ref="O23:P23"/>
    <mergeCell ref="C1:D1"/>
    <mergeCell ref="G1:H1"/>
    <mergeCell ref="K1:L1"/>
    <mergeCell ref="C23:D23"/>
    <mergeCell ref="G23:H23"/>
    <mergeCell ref="K23:L23"/>
  </mergeCells>
  <conditionalFormatting sqref="D20">
    <cfRule type="cellIs" dxfId="129" priority="13" operator="lessThan">
      <formula>0</formula>
    </cfRule>
    <cfRule type="cellIs" dxfId="128" priority="14" operator="greaterThan">
      <formula>0</formula>
    </cfRule>
  </conditionalFormatting>
  <conditionalFormatting sqref="L39">
    <cfRule type="cellIs" dxfId="127" priority="11" operator="lessThan">
      <formula>0</formula>
    </cfRule>
    <cfRule type="cellIs" dxfId="126" priority="12" operator="greaterThan">
      <formula>0</formula>
    </cfRule>
  </conditionalFormatting>
  <conditionalFormatting sqref="H20">
    <cfRule type="cellIs" dxfId="125" priority="9" operator="lessThan">
      <formula>0</formula>
    </cfRule>
    <cfRule type="cellIs" dxfId="124" priority="10" operator="greaterThan">
      <formula>0</formula>
    </cfRule>
  </conditionalFormatting>
  <conditionalFormatting sqref="L20">
    <cfRule type="cellIs" dxfId="123" priority="7" operator="lessThan">
      <formula>0</formula>
    </cfRule>
    <cfRule type="cellIs" dxfId="122" priority="8" operator="greaterThan">
      <formula>0</formula>
    </cfRule>
  </conditionalFormatting>
  <conditionalFormatting sqref="D39">
    <cfRule type="cellIs" dxfId="121" priority="5" operator="lessThan">
      <formula>0</formula>
    </cfRule>
    <cfRule type="cellIs" dxfId="120" priority="6" operator="greaterThan">
      <formula>0</formula>
    </cfRule>
  </conditionalFormatting>
  <conditionalFormatting sqref="H39">
    <cfRule type="cellIs" dxfId="119" priority="3" operator="lessThan">
      <formula>0</formula>
    </cfRule>
    <cfRule type="cellIs" dxfId="118" priority="4" operator="greaterThan">
      <formula>0</formula>
    </cfRule>
  </conditionalFormatting>
  <conditionalFormatting sqref="P39">
    <cfRule type="cellIs" dxfId="117" priority="1" operator="lessThan">
      <formula>0</formula>
    </cfRule>
    <cfRule type="cellIs" dxfId="11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Hoja30"/>
  <dimension ref="A1:AB87"/>
  <sheetViews>
    <sheetView workbookViewId="0">
      <selection activeCell="C3" sqref="C3:C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493</v>
      </c>
      <c r="P1" s="218"/>
      <c r="S1" s="218" t="s">
        <v>498</v>
      </c>
      <c r="T1" s="218"/>
    </row>
    <row r="2" spans="1:20">
      <c r="B2" s="18" t="s">
        <v>0</v>
      </c>
      <c r="C2" s="94">
        <v>689.04</v>
      </c>
      <c r="D2" s="74"/>
      <c r="E2" s="18"/>
      <c r="F2" s="18" t="s">
        <v>0</v>
      </c>
      <c r="G2" s="75">
        <v>4999.99</v>
      </c>
      <c r="H2" s="74"/>
      <c r="I2" s="18"/>
      <c r="J2" s="18" t="s">
        <v>0</v>
      </c>
      <c r="K2" s="73">
        <v>24730.31</v>
      </c>
      <c r="L2" s="74"/>
      <c r="N2" s="18"/>
      <c r="O2" s="73">
        <v>0</v>
      </c>
      <c r="P2" s="97"/>
      <c r="R2" s="18"/>
      <c r="S2" s="73">
        <v>0</v>
      </c>
      <c r="T2" s="97"/>
    </row>
    <row r="3" spans="1:20">
      <c r="B3" s="18" t="s">
        <v>39</v>
      </c>
      <c r="C3" s="23">
        <v>15576.75</v>
      </c>
      <c r="D3" s="11"/>
      <c r="E3" s="76"/>
      <c r="F3" s="39" t="s">
        <v>229</v>
      </c>
      <c r="G3" s="20">
        <v>8000</v>
      </c>
      <c r="H3" s="11"/>
      <c r="I3" s="18"/>
      <c r="J3" s="18" t="s">
        <v>106</v>
      </c>
      <c r="K3" s="20"/>
      <c r="L3" s="164">
        <v>8001.48</v>
      </c>
      <c r="N3" s="18" t="s">
        <v>495</v>
      </c>
      <c r="O3" s="20">
        <v>500</v>
      </c>
      <c r="P3" s="11"/>
      <c r="R3" s="18" t="s">
        <v>499</v>
      </c>
      <c r="S3" s="20">
        <v>5000</v>
      </c>
      <c r="T3" s="11"/>
    </row>
    <row r="4" spans="1:20">
      <c r="B4" s="18" t="s">
        <v>193</v>
      </c>
      <c r="C4" s="23">
        <v>557.20000000000005</v>
      </c>
      <c r="D4" s="11"/>
      <c r="E4" s="18"/>
      <c r="F4" s="39" t="s">
        <v>787</v>
      </c>
      <c r="G4" s="20">
        <v>6000</v>
      </c>
      <c r="H4" s="11"/>
      <c r="I4" s="18"/>
      <c r="J4" s="18" t="s">
        <v>106</v>
      </c>
      <c r="K4" s="23"/>
      <c r="L4" s="77">
        <v>8000.71</v>
      </c>
      <c r="N4" s="18" t="s">
        <v>496</v>
      </c>
      <c r="O4" s="20">
        <v>500</v>
      </c>
      <c r="P4" s="11"/>
      <c r="R4" s="18" t="s">
        <v>500</v>
      </c>
      <c r="S4" s="20"/>
      <c r="T4" s="11">
        <v>5000</v>
      </c>
    </row>
    <row r="5" spans="1:20">
      <c r="B5" s="39" t="s">
        <v>785</v>
      </c>
      <c r="C5" s="20">
        <v>8001.48</v>
      </c>
      <c r="D5" s="11"/>
      <c r="E5" s="18"/>
      <c r="F5" s="39" t="s">
        <v>1</v>
      </c>
      <c r="G5" s="20">
        <v>3181.32</v>
      </c>
      <c r="H5" s="11"/>
      <c r="I5" s="18"/>
      <c r="J5" s="18" t="s">
        <v>793</v>
      </c>
      <c r="K5" s="23">
        <v>10000.450000000001</v>
      </c>
      <c r="L5" s="77"/>
      <c r="N5" s="18" t="s">
        <v>497</v>
      </c>
      <c r="O5" s="20">
        <v>2500</v>
      </c>
      <c r="P5" s="11"/>
      <c r="R5" s="18"/>
      <c r="S5" s="20"/>
      <c r="T5" s="11"/>
    </row>
    <row r="6" spans="1:20">
      <c r="B6" s="39" t="s">
        <v>786</v>
      </c>
      <c r="C6" s="20"/>
      <c r="D6" s="11">
        <v>6000</v>
      </c>
      <c r="E6" s="18"/>
      <c r="F6" s="39" t="s">
        <v>788</v>
      </c>
      <c r="G6" s="166">
        <v>11866.4</v>
      </c>
      <c r="H6" s="11">
        <v>11866.4</v>
      </c>
      <c r="I6" s="76"/>
      <c r="J6" s="18"/>
      <c r="K6" s="20"/>
      <c r="L6" s="77"/>
      <c r="N6" s="18" t="s">
        <v>494</v>
      </c>
      <c r="O6" s="20">
        <v>800</v>
      </c>
      <c r="P6" s="11"/>
      <c r="R6" s="18"/>
      <c r="S6" s="20"/>
      <c r="T6" s="11"/>
    </row>
    <row r="7" spans="1:20">
      <c r="A7" s="1"/>
      <c r="B7" s="39" t="s">
        <v>229</v>
      </c>
      <c r="C7" s="20"/>
      <c r="D7" s="11">
        <v>8000</v>
      </c>
      <c r="E7" s="76"/>
      <c r="F7" s="39" t="s">
        <v>789</v>
      </c>
      <c r="G7" s="20"/>
      <c r="H7" s="11">
        <v>3181.32</v>
      </c>
      <c r="I7" s="76"/>
      <c r="J7" s="18"/>
      <c r="K7" s="20"/>
      <c r="L7" s="77"/>
      <c r="N7" s="18" t="s">
        <v>501</v>
      </c>
      <c r="O7" s="20"/>
      <c r="P7" s="11">
        <v>800</v>
      </c>
      <c r="R7" s="18"/>
      <c r="S7" s="20"/>
      <c r="T7" s="77"/>
    </row>
    <row r="8" spans="1:20">
      <c r="B8" s="39" t="s">
        <v>1</v>
      </c>
      <c r="C8" s="20"/>
      <c r="D8" s="11">
        <v>3181.32</v>
      </c>
      <c r="E8" s="18"/>
      <c r="F8" s="39" t="s">
        <v>94</v>
      </c>
      <c r="G8" s="20"/>
      <c r="H8" s="11">
        <v>2000</v>
      </c>
      <c r="I8" s="138" t="s">
        <v>790</v>
      </c>
      <c r="J8" s="18"/>
      <c r="K8" s="20"/>
      <c r="L8" s="77"/>
      <c r="N8" s="18" t="s">
        <v>502</v>
      </c>
      <c r="O8" s="20"/>
      <c r="P8" s="19">
        <v>3500</v>
      </c>
      <c r="R8" s="18"/>
      <c r="S8" s="20"/>
      <c r="T8" s="39"/>
    </row>
    <row r="9" spans="1:20">
      <c r="B9" s="39" t="s">
        <v>16</v>
      </c>
      <c r="C9" s="20"/>
      <c r="D9" s="11">
        <v>1700</v>
      </c>
      <c r="E9" s="163"/>
      <c r="F9" s="39" t="s">
        <v>792</v>
      </c>
      <c r="G9" s="20"/>
      <c r="H9" s="11">
        <v>3000</v>
      </c>
      <c r="I9" s="18"/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124</v>
      </c>
      <c r="C10" s="20"/>
      <c r="D10" s="11">
        <v>650</v>
      </c>
      <c r="E10" s="76"/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/>
      <c r="C11" s="20"/>
      <c r="D11" s="11"/>
      <c r="E11" s="39"/>
      <c r="F11" s="39"/>
      <c r="G11" s="20"/>
      <c r="H11" s="11"/>
      <c r="I11" s="18"/>
      <c r="J11" s="18"/>
      <c r="K11" s="20"/>
      <c r="L11" s="77"/>
    </row>
    <row r="12" spans="1:20">
      <c r="B12" s="39"/>
      <c r="C12" s="20"/>
      <c r="D12" s="11"/>
      <c r="E12" s="39"/>
      <c r="F12" s="39"/>
      <c r="G12" s="20"/>
      <c r="H12" s="11"/>
      <c r="I12" s="16"/>
      <c r="J12" s="18"/>
      <c r="K12" s="20"/>
      <c r="L12" s="77"/>
    </row>
    <row r="13" spans="1:20">
      <c r="B13" s="39"/>
      <c r="C13" s="20"/>
      <c r="D13" s="11"/>
      <c r="E13" s="39"/>
      <c r="F13" s="39"/>
      <c r="G13" s="20"/>
      <c r="H13" s="11"/>
      <c r="I13" s="18"/>
      <c r="J13" s="18"/>
      <c r="K13" s="20"/>
      <c r="L13" s="77"/>
    </row>
    <row r="14" spans="1:20">
      <c r="B14" s="39"/>
      <c r="C14" s="20"/>
      <c r="D14" s="11"/>
      <c r="E14" s="39"/>
      <c r="F14" s="39"/>
      <c r="G14" s="20"/>
      <c r="H14" s="11"/>
      <c r="I14" s="18"/>
      <c r="J14" s="18"/>
      <c r="K14" s="20"/>
      <c r="L14" s="77"/>
    </row>
    <row r="15" spans="1:20">
      <c r="B15" s="39"/>
      <c r="C15" s="20"/>
      <c r="D15" s="11"/>
      <c r="E15" s="39"/>
      <c r="F15" s="39"/>
      <c r="G15" s="20"/>
      <c r="H15" s="11"/>
      <c r="I15" s="18"/>
      <c r="J15" s="91"/>
      <c r="K15" s="20"/>
      <c r="L15" s="77"/>
    </row>
    <row r="16" spans="1:20">
      <c r="B16" s="39" t="s">
        <v>662</v>
      </c>
      <c r="C16" s="20"/>
      <c r="D16" s="11">
        <v>1500</v>
      </c>
      <c r="E16" s="39"/>
      <c r="F16" s="39"/>
      <c r="G16" s="20"/>
      <c r="H16" s="11"/>
      <c r="I16" s="18"/>
      <c r="J16" s="18"/>
      <c r="K16" s="20"/>
      <c r="L16" s="77"/>
    </row>
    <row r="17" spans="1:20">
      <c r="B17" s="39" t="s">
        <v>662</v>
      </c>
      <c r="C17" s="20"/>
      <c r="D17" s="11">
        <v>1500</v>
      </c>
      <c r="E17" s="39"/>
      <c r="F17" s="39"/>
      <c r="G17" s="20"/>
      <c r="H17" s="11"/>
      <c r="I17" s="18"/>
      <c r="J17" s="18"/>
      <c r="K17" s="20"/>
      <c r="L17" s="77"/>
    </row>
    <row r="18" spans="1:20">
      <c r="B18" s="39" t="s">
        <v>200</v>
      </c>
      <c r="C18" s="20"/>
      <c r="D18" s="11">
        <v>1400</v>
      </c>
      <c r="E18" s="39"/>
      <c r="F18" s="39"/>
      <c r="G18" s="20"/>
      <c r="H18" s="11"/>
      <c r="K18" s="20"/>
      <c r="L18" s="77"/>
    </row>
    <row r="19" spans="1:20">
      <c r="B19" s="39" t="s">
        <v>791</v>
      </c>
      <c r="C19" s="20">
        <v>25</v>
      </c>
      <c r="D19" s="11"/>
      <c r="E19" s="96"/>
      <c r="F19" s="39"/>
      <c r="G19" s="20"/>
      <c r="H19" s="11"/>
      <c r="J19" s="2"/>
      <c r="K19" s="20"/>
      <c r="L19" s="77"/>
    </row>
    <row r="20" spans="1:20">
      <c r="B20" s="39" t="s">
        <v>332</v>
      </c>
      <c r="C20" s="20">
        <v>361</v>
      </c>
      <c r="D20" s="11"/>
      <c r="F20" s="39"/>
      <c r="G20" s="20"/>
      <c r="H20" s="11"/>
      <c r="K20" s="20"/>
      <c r="L20" s="77"/>
    </row>
    <row r="21" spans="1:20">
      <c r="A21" s="39"/>
      <c r="B21" s="39"/>
      <c r="C21" s="20"/>
      <c r="D21" s="11"/>
      <c r="F21" s="39"/>
      <c r="G21" s="20"/>
      <c r="H21" s="11"/>
      <c r="L21" s="77"/>
    </row>
    <row r="22" spans="1:20">
      <c r="B22" s="39"/>
      <c r="C22" s="20"/>
      <c r="D22" s="11"/>
      <c r="F22" s="39"/>
      <c r="G22" s="20"/>
      <c r="H22" s="11"/>
      <c r="L22" s="77"/>
    </row>
    <row r="23" spans="1:20">
      <c r="B23" s="39"/>
      <c r="C23" s="20"/>
      <c r="D23" s="11"/>
      <c r="G23" s="20"/>
      <c r="H23" s="11"/>
      <c r="L23" s="77"/>
    </row>
    <row r="24" spans="1:20">
      <c r="B24" s="39"/>
      <c r="C24" s="20"/>
      <c r="D24" s="11"/>
      <c r="G24" s="20"/>
      <c r="H24" s="11"/>
      <c r="L24" s="77"/>
    </row>
    <row r="25" spans="1:20">
      <c r="B25" s="39"/>
      <c r="C25" s="20"/>
      <c r="D25" s="11"/>
      <c r="G25" s="20"/>
      <c r="H25" s="11"/>
      <c r="L25" s="77"/>
    </row>
    <row r="26" spans="1:20">
      <c r="B26" s="39"/>
      <c r="C26" s="20"/>
      <c r="D26" s="11"/>
      <c r="G26" s="20"/>
      <c r="H26" s="11"/>
      <c r="L26" s="77"/>
    </row>
    <row r="27" spans="1:20">
      <c r="B27" s="39"/>
      <c r="C27" s="20"/>
      <c r="D27" s="11"/>
      <c r="G27" s="20"/>
      <c r="H27" s="11"/>
      <c r="L27" s="77"/>
    </row>
    <row r="28" spans="1:20">
      <c r="B28" s="39"/>
      <c r="C28" s="20"/>
      <c r="D28" s="11"/>
      <c r="G28" s="20"/>
      <c r="H28" s="11"/>
      <c r="L28" s="77"/>
    </row>
    <row r="29" spans="1:20">
      <c r="B29" s="39"/>
      <c r="C29" s="20"/>
      <c r="D29" s="11"/>
      <c r="G29" s="20"/>
      <c r="H29" s="11"/>
      <c r="L29" s="77"/>
    </row>
    <row r="30" spans="1:20">
      <c r="B30" s="39"/>
      <c r="C30" s="20"/>
      <c r="D30" s="11"/>
      <c r="G30" s="20"/>
      <c r="H30" s="19"/>
    </row>
    <row r="31" spans="1:20">
      <c r="B31" t="s">
        <v>2</v>
      </c>
      <c r="C31" s="2">
        <f>SUM(C2:C29)</f>
        <v>25210.47</v>
      </c>
      <c r="D31" s="2">
        <f>SUM(D3:D30)</f>
        <v>23931.32</v>
      </c>
      <c r="F31" t="s">
        <v>2</v>
      </c>
      <c r="G31" s="2">
        <f>SUM(G2:G30)</f>
        <v>34047.71</v>
      </c>
      <c r="H31" s="2">
        <f>SUM(H3:H30)</f>
        <v>20047.72</v>
      </c>
      <c r="J31" t="s">
        <v>2</v>
      </c>
      <c r="K31" s="2">
        <f>SUM(K1:K10)</f>
        <v>34730.76</v>
      </c>
      <c r="L31" s="2">
        <f>SUM(L2:L10)</f>
        <v>16002.189999999999</v>
      </c>
      <c r="N31" t="s">
        <v>2</v>
      </c>
      <c r="O31" s="2">
        <f>SUM(O1:O10)</f>
        <v>4300</v>
      </c>
      <c r="P31" s="2">
        <f>SUM(P2:P10)</f>
        <v>4300</v>
      </c>
      <c r="R31" t="s">
        <v>2</v>
      </c>
      <c r="S31" s="2">
        <f>SUM(S1:S10)</f>
        <v>5000</v>
      </c>
      <c r="T31" s="2">
        <f>SUM(T2:T10)</f>
        <v>5000</v>
      </c>
    </row>
    <row r="32" spans="1:20">
      <c r="D32" s="2">
        <f>C31-D31</f>
        <v>1279.1500000000015</v>
      </c>
      <c r="H32" s="2">
        <f>G31-H31</f>
        <v>13999.989999999998</v>
      </c>
      <c r="L32" s="2">
        <f>K31-L31</f>
        <v>18728.570000000003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-246.26000000000136</v>
      </c>
      <c r="V34" s="102">
        <v>42873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>
        <v>-2746.22</v>
      </c>
      <c r="H36" s="4"/>
      <c r="J36" t="s">
        <v>0</v>
      </c>
      <c r="K36" s="3">
        <v>-942.49</v>
      </c>
      <c r="L36" s="4"/>
      <c r="M36" s="33"/>
      <c r="N36" t="s">
        <v>0</v>
      </c>
      <c r="O36" s="3">
        <v>-8167.24</v>
      </c>
      <c r="P36" s="4"/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13</v>
      </c>
      <c r="W36" s="2">
        <f>U36*V36</f>
        <v>-3609.666666666667</v>
      </c>
      <c r="X36" s="2">
        <f>S36-W36</f>
        <v>-1388.333333333333</v>
      </c>
    </row>
    <row r="37" spans="1:26">
      <c r="B37" s="39" t="s">
        <v>503</v>
      </c>
      <c r="C37" s="1"/>
      <c r="D37" s="1">
        <v>0</v>
      </c>
      <c r="F37" t="s">
        <v>169</v>
      </c>
      <c r="G37">
        <v>542.23</v>
      </c>
      <c r="H37" s="11"/>
      <c r="J37" t="s">
        <v>169</v>
      </c>
      <c r="K37" s="19">
        <v>942.49</v>
      </c>
      <c r="L37" s="14"/>
      <c r="M37" s="29"/>
      <c r="N37" t="s">
        <v>142</v>
      </c>
      <c r="O37" s="19"/>
      <c r="P37" s="11"/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F38" t="s">
        <v>781</v>
      </c>
      <c r="H38" s="11">
        <v>640.59</v>
      </c>
      <c r="I38" s="8"/>
      <c r="J38" t="s">
        <v>784</v>
      </c>
      <c r="K38" s="19"/>
      <c r="L38" s="14">
        <v>999</v>
      </c>
      <c r="N38" s="39"/>
      <c r="O38" s="19"/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F39" t="s">
        <v>782</v>
      </c>
      <c r="H39" s="11">
        <v>80</v>
      </c>
      <c r="J39" t="s">
        <v>229</v>
      </c>
      <c r="K39" s="19"/>
      <c r="L39" s="14">
        <v>7.99</v>
      </c>
      <c r="N39" s="39" t="s">
        <v>169</v>
      </c>
      <c r="O39" s="19">
        <v>2000</v>
      </c>
      <c r="P39" s="11"/>
      <c r="Q39" s="29" t="s">
        <v>708</v>
      </c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F40" t="s">
        <v>783</v>
      </c>
      <c r="H40" s="11">
        <v>214</v>
      </c>
      <c r="K40" s="19"/>
      <c r="L40" s="14"/>
      <c r="N40" s="39"/>
      <c r="O40" s="19"/>
      <c r="P40" s="11"/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/>
      <c r="H41" s="11"/>
      <c r="J41" t="s">
        <v>169</v>
      </c>
      <c r="K41" s="19">
        <v>650</v>
      </c>
      <c r="L41" s="14"/>
      <c r="M41" s="29"/>
      <c r="N41" s="39"/>
      <c r="O41" s="19"/>
      <c r="P41" s="11">
        <v>48</v>
      </c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7</v>
      </c>
      <c r="W41" s="2">
        <f t="shared" si="1"/>
        <v>-3843.0233333333335</v>
      </c>
      <c r="X41" s="2">
        <f t="shared" si="2"/>
        <v>-2745.0166666666664</v>
      </c>
    </row>
    <row r="42" spans="1:26">
      <c r="B42" s="39"/>
      <c r="C42" s="20"/>
      <c r="D42" s="11"/>
      <c r="F42" t="s">
        <v>427</v>
      </c>
      <c r="H42" s="11">
        <v>669</v>
      </c>
      <c r="K42" s="19"/>
      <c r="L42" s="14"/>
      <c r="M42" s="29"/>
      <c r="N42" s="39"/>
      <c r="O42" s="19"/>
      <c r="P42" s="11">
        <v>108</v>
      </c>
      <c r="Q42" s="29"/>
      <c r="R42" t="s">
        <v>630</v>
      </c>
      <c r="S42" s="101">
        <v>-6990</v>
      </c>
      <c r="T42" s="118">
        <v>3</v>
      </c>
      <c r="U42" s="119">
        <f t="shared" si="0"/>
        <v>-2330</v>
      </c>
      <c r="V42" s="118">
        <v>3</v>
      </c>
      <c r="W42" s="119">
        <f t="shared" si="1"/>
        <v>-6990</v>
      </c>
      <c r="X42" s="119">
        <f t="shared" si="2"/>
        <v>0</v>
      </c>
    </row>
    <row r="43" spans="1:26">
      <c r="B43" s="39"/>
      <c r="C43" s="20"/>
      <c r="D43" s="11"/>
      <c r="F43" t="s">
        <v>20</v>
      </c>
      <c r="H43" s="11">
        <v>129</v>
      </c>
      <c r="K43" s="19"/>
      <c r="L43" s="14"/>
      <c r="N43" s="39"/>
      <c r="O43" s="19"/>
      <c r="P43" s="11"/>
      <c r="Q43" s="29"/>
      <c r="R43" t="s">
        <v>493</v>
      </c>
      <c r="S43" s="1">
        <v>-4218.91</v>
      </c>
      <c r="T43">
        <v>3</v>
      </c>
      <c r="U43" s="2">
        <f t="shared" si="0"/>
        <v>-1406.3033333333333</v>
      </c>
      <c r="V43">
        <v>2</v>
      </c>
      <c r="W43" s="2">
        <f t="shared" si="1"/>
        <v>-2812.6066666666666</v>
      </c>
      <c r="X43" s="2">
        <f t="shared" si="2"/>
        <v>-1406.3033333333333</v>
      </c>
    </row>
    <row r="44" spans="1:26">
      <c r="B44" s="39"/>
      <c r="C44" s="20"/>
      <c r="D44" s="11"/>
      <c r="H44" s="11"/>
      <c r="K44" s="19"/>
      <c r="L44" s="14"/>
      <c r="N44" s="39"/>
      <c r="O44" s="19"/>
      <c r="P44" s="11"/>
      <c r="Q44" s="8"/>
      <c r="R44" t="s">
        <v>11</v>
      </c>
      <c r="S44" s="2">
        <f>SUM(S36:S43)</f>
        <v>-57840.649999999994</v>
      </c>
      <c r="X44" s="2">
        <f>SUM(X36:X43)</f>
        <v>-5539.6533333333327</v>
      </c>
    </row>
    <row r="45" spans="1:26">
      <c r="B45" s="39"/>
      <c r="C45" s="20"/>
      <c r="D45" s="11"/>
      <c r="F45" t="s">
        <v>169</v>
      </c>
      <c r="G45">
        <v>1700</v>
      </c>
      <c r="H45" s="11"/>
      <c r="K45" s="19"/>
      <c r="L45" s="14"/>
      <c r="N45" s="39"/>
      <c r="O45" s="19"/>
      <c r="P45" s="11"/>
    </row>
    <row r="46" spans="1:26">
      <c r="B46" s="39"/>
      <c r="C46" s="20"/>
      <c r="D46" s="11"/>
      <c r="H46" s="11"/>
      <c r="K46" s="19"/>
      <c r="L46" s="14"/>
      <c r="N46" s="39"/>
      <c r="O46" s="19"/>
      <c r="P46" s="11"/>
      <c r="Q46" s="33" t="s">
        <v>760</v>
      </c>
      <c r="S46" s="2"/>
    </row>
    <row r="47" spans="1:26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4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  <c r="U50" t="s">
        <v>715</v>
      </c>
      <c r="V50" t="s">
        <v>709</v>
      </c>
      <c r="W50" t="s">
        <v>770</v>
      </c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 t="s">
        <v>707</v>
      </c>
      <c r="V51" t="s">
        <v>708</v>
      </c>
      <c r="W51" t="s">
        <v>771</v>
      </c>
    </row>
    <row r="52" spans="2:28">
      <c r="B52" s="12"/>
      <c r="C52" s="1"/>
      <c r="D52" s="11"/>
      <c r="H52" s="14"/>
      <c r="L52" s="11"/>
      <c r="N52" s="39"/>
      <c r="O52" s="19"/>
      <c r="P52" s="11"/>
      <c r="S52" t="s">
        <v>702</v>
      </c>
      <c r="U52" s="2">
        <f>U36+U41+U42+U43</f>
        <v>-4562.9733333333334</v>
      </c>
      <c r="V52" s="2">
        <f>U36+U41+U43</f>
        <v>-2232.9733333333334</v>
      </c>
    </row>
    <row r="53" spans="2:28">
      <c r="B53" s="12"/>
      <c r="C53" s="1"/>
      <c r="D53" s="11"/>
      <c r="S53" s="1" t="s">
        <v>119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-503.98999999999978</v>
      </c>
      <c r="H54" s="2">
        <f>SUM(H36:H52)</f>
        <v>1732.5900000000001</v>
      </c>
      <c r="J54" t="s">
        <v>2</v>
      </c>
      <c r="K54" s="2">
        <f>SUM(K36:K51)</f>
        <v>650</v>
      </c>
      <c r="L54" s="2">
        <f>SUM(L36:L49)</f>
        <v>1006.99</v>
      </c>
      <c r="N54" t="s">
        <v>2</v>
      </c>
      <c r="O54" s="2">
        <f>SUM(O36:O53)</f>
        <v>-6167.24</v>
      </c>
      <c r="P54" s="2">
        <f>SUM(P36:P53)</f>
        <v>156</v>
      </c>
      <c r="S54" s="1"/>
      <c r="T54" s="33" t="s">
        <v>703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-2236.58</v>
      </c>
      <c r="L55" s="2">
        <f>K54-L54</f>
        <v>-356.99</v>
      </c>
      <c r="P55" s="2">
        <f>O54-P54</f>
        <v>-6323.24</v>
      </c>
      <c r="S55" s="1" t="s">
        <v>704</v>
      </c>
      <c r="U55">
        <v>1341.46</v>
      </c>
      <c r="V55">
        <v>0</v>
      </c>
      <c r="AA55" t="s">
        <v>239</v>
      </c>
      <c r="AB55" s="1">
        <v>10261.049999999999</v>
      </c>
    </row>
    <row r="56" spans="2:28">
      <c r="P56" s="2">
        <f>P55-X44</f>
        <v>-783.58666666666704</v>
      </c>
      <c r="S56" s="1"/>
      <c r="U56" s="165">
        <f>U54+U55</f>
        <v>-2394.8433333333332</v>
      </c>
      <c r="V56" s="143">
        <f>V54+V55</f>
        <v>-1406.3033333333333</v>
      </c>
      <c r="W56" s="93">
        <v>2500</v>
      </c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-2746.22</v>
      </c>
      <c r="L58" s="2">
        <v>-942.49</v>
      </c>
      <c r="P58" s="2">
        <v>0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542.53</v>
      </c>
      <c r="I60" s="41"/>
      <c r="J60" s="41"/>
      <c r="K60" s="41"/>
      <c r="L60" s="51">
        <v>1485.02</v>
      </c>
      <c r="M60" s="41"/>
      <c r="N60" s="41"/>
      <c r="O60" s="41"/>
      <c r="P60" s="51">
        <v>1012.03</v>
      </c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-2203.6899999999996</v>
      </c>
      <c r="I62" s="44"/>
      <c r="J62" s="44"/>
      <c r="K62" s="44"/>
      <c r="L62" s="45">
        <f>L60+L58</f>
        <v>542.53</v>
      </c>
      <c r="M62" s="44"/>
      <c r="N62" s="44"/>
      <c r="O62" s="44"/>
      <c r="P62" s="45">
        <f>P60+P58</f>
        <v>1012.03</v>
      </c>
      <c r="T62" t="s">
        <v>98</v>
      </c>
      <c r="V62" s="1">
        <f>Z62-Z63</f>
        <v>718.67999999999984</v>
      </c>
      <c r="W62" s="2">
        <f>S63-V62</f>
        <v>2970.03</v>
      </c>
      <c r="X62" s="2">
        <f>W62/2</f>
        <v>1485.0150000000001</v>
      </c>
      <c r="Z62" s="1">
        <v>3900</v>
      </c>
      <c r="AA62" s="2">
        <f>X64+Z62</f>
        <v>5385.0150000000003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3688.71</v>
      </c>
      <c r="Z63" s="1">
        <v>3181.32</v>
      </c>
      <c r="AA63" s="2">
        <f>X65+Z63</f>
        <v>5385.0149999999994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1485.0150000000001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2203.6949999999997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11101.6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9" priority="1" operator="lessThan">
      <formula>0</formula>
    </cfRule>
    <cfRule type="cellIs" dxfId="58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 codeName="Hoja31"/>
  <dimension ref="A1:AB87"/>
  <sheetViews>
    <sheetView workbookViewId="0">
      <selection activeCell="C3" sqref="C3:C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796</v>
      </c>
      <c r="P1" s="218"/>
      <c r="S1" s="218" t="s">
        <v>802</v>
      </c>
      <c r="T1" s="218"/>
    </row>
    <row r="2" spans="1:20">
      <c r="B2" s="18" t="s">
        <v>0</v>
      </c>
      <c r="C2" s="94">
        <v>4000</v>
      </c>
      <c r="D2" s="74"/>
      <c r="E2" s="18"/>
      <c r="F2" s="18" t="s">
        <v>0</v>
      </c>
      <c r="G2" s="75">
        <v>13999.99</v>
      </c>
      <c r="H2" s="74"/>
      <c r="I2" s="18"/>
      <c r="J2" s="18" t="s">
        <v>0</v>
      </c>
      <c r="K2" s="73">
        <v>18728.57</v>
      </c>
      <c r="L2" s="74"/>
      <c r="N2" s="18"/>
      <c r="O2" s="73">
        <v>0</v>
      </c>
      <c r="P2" s="97"/>
      <c r="R2" s="18"/>
      <c r="S2" s="73"/>
      <c r="T2" s="97"/>
    </row>
    <row r="3" spans="1:20">
      <c r="B3" s="18" t="s">
        <v>39</v>
      </c>
      <c r="C3" s="23">
        <v>617.36</v>
      </c>
      <c r="D3" s="11"/>
      <c r="E3" s="76"/>
      <c r="F3" s="39"/>
      <c r="G3" s="20"/>
      <c r="H3" s="11"/>
      <c r="I3" s="18"/>
      <c r="J3" s="18" t="s">
        <v>201</v>
      </c>
      <c r="K3" s="20">
        <v>3000.62</v>
      </c>
      <c r="L3" s="77"/>
      <c r="N3" s="18" t="s">
        <v>797</v>
      </c>
      <c r="O3" s="20"/>
      <c r="P3" s="11">
        <v>8700</v>
      </c>
      <c r="R3" s="18" t="s">
        <v>265</v>
      </c>
      <c r="S3" s="20"/>
      <c r="T3" s="11">
        <v>1300</v>
      </c>
    </row>
    <row r="4" spans="1:20">
      <c r="B4" s="18" t="s">
        <v>40</v>
      </c>
      <c r="C4" s="23">
        <v>15625.16</v>
      </c>
      <c r="D4" s="11"/>
      <c r="E4" s="18"/>
      <c r="F4" s="39"/>
      <c r="G4" s="20"/>
      <c r="H4" s="11"/>
      <c r="I4" s="18"/>
      <c r="J4" s="18" t="s">
        <v>49</v>
      </c>
      <c r="K4" s="20">
        <v>125</v>
      </c>
      <c r="L4" s="77"/>
      <c r="N4" s="18" t="s">
        <v>798</v>
      </c>
      <c r="O4" s="20"/>
      <c r="P4" s="11">
        <v>12700</v>
      </c>
      <c r="R4" s="18" t="s">
        <v>437</v>
      </c>
      <c r="S4" s="166"/>
      <c r="T4" s="11">
        <v>8200</v>
      </c>
    </row>
    <row r="5" spans="1:20">
      <c r="B5" s="18" t="s">
        <v>43</v>
      </c>
      <c r="C5" s="20"/>
      <c r="D5" s="100">
        <v>4200</v>
      </c>
      <c r="E5" s="18"/>
      <c r="F5" s="39"/>
      <c r="G5" s="20"/>
      <c r="H5" s="11"/>
      <c r="I5" s="18"/>
      <c r="J5" s="18"/>
      <c r="K5" s="20"/>
      <c r="L5" s="77"/>
      <c r="N5" s="18" t="s">
        <v>799</v>
      </c>
      <c r="O5" s="20">
        <v>14000</v>
      </c>
      <c r="P5" s="11"/>
      <c r="R5" s="18" t="s">
        <v>803</v>
      </c>
      <c r="S5" s="20">
        <v>2133.6</v>
      </c>
      <c r="T5" s="11"/>
    </row>
    <row r="6" spans="1:20">
      <c r="B6" s="18" t="s">
        <v>610</v>
      </c>
      <c r="C6" s="20"/>
      <c r="D6" s="100">
        <v>1000</v>
      </c>
      <c r="E6" s="18"/>
      <c r="F6" s="39" t="s">
        <v>788</v>
      </c>
      <c r="G6" s="166"/>
      <c r="H6" s="11">
        <v>11866.4</v>
      </c>
      <c r="I6" s="76"/>
      <c r="J6" s="18"/>
      <c r="K6" s="20"/>
      <c r="L6" s="77"/>
      <c r="N6" s="18" t="s">
        <v>800</v>
      </c>
      <c r="O6" s="20"/>
      <c r="P6" s="11"/>
      <c r="R6" s="18" t="s">
        <v>437</v>
      </c>
      <c r="S6" s="20"/>
      <c r="T6" s="11"/>
    </row>
    <row r="7" spans="1:20">
      <c r="A7" s="1"/>
      <c r="B7" s="167" t="s">
        <v>805</v>
      </c>
      <c r="C7" s="166"/>
      <c r="D7" s="100">
        <v>500</v>
      </c>
      <c r="E7" s="76"/>
      <c r="F7" s="39" t="s">
        <v>794</v>
      </c>
      <c r="G7" s="20">
        <v>3000</v>
      </c>
      <c r="H7" s="11"/>
      <c r="I7" s="76"/>
      <c r="J7" s="18"/>
      <c r="K7" s="20"/>
      <c r="L7" s="77"/>
      <c r="N7" s="18" t="s">
        <v>169</v>
      </c>
      <c r="O7" s="20"/>
      <c r="P7" s="11"/>
      <c r="R7" s="18"/>
      <c r="S7" s="20"/>
      <c r="T7" s="77"/>
    </row>
    <row r="8" spans="1:20">
      <c r="B8" s="18" t="s">
        <v>611</v>
      </c>
      <c r="C8" s="166"/>
      <c r="D8" s="11">
        <v>1500</v>
      </c>
      <c r="E8" s="18"/>
      <c r="F8" s="39" t="s">
        <v>169</v>
      </c>
      <c r="G8" s="20"/>
      <c r="H8" s="11">
        <v>3000</v>
      </c>
      <c r="I8" s="76"/>
      <c r="J8" s="18"/>
      <c r="K8" s="20"/>
      <c r="L8" s="77"/>
      <c r="N8" s="18"/>
      <c r="O8" s="20"/>
      <c r="P8" s="19"/>
      <c r="R8" s="18"/>
      <c r="S8" s="20"/>
      <c r="T8" s="39"/>
    </row>
    <row r="9" spans="1:20">
      <c r="B9" s="39" t="s">
        <v>97</v>
      </c>
      <c r="C9" s="169">
        <v>5100</v>
      </c>
      <c r="D9" s="11"/>
      <c r="E9" s="163"/>
      <c r="F9" s="39" t="s">
        <v>412</v>
      </c>
      <c r="G9" s="20">
        <v>4500</v>
      </c>
      <c r="H9" s="11"/>
      <c r="I9" s="18" t="s">
        <v>795</v>
      </c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809</v>
      </c>
      <c r="C10" s="166"/>
      <c r="D10" s="100">
        <v>5685</v>
      </c>
      <c r="E10" s="76"/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219</v>
      </c>
      <c r="C11" s="20"/>
      <c r="D11" s="100">
        <v>1288.8399999999999</v>
      </c>
      <c r="E11" s="39"/>
      <c r="F11" s="39"/>
      <c r="G11" s="20"/>
      <c r="H11" s="11"/>
      <c r="I11" s="18"/>
      <c r="J11" s="18"/>
      <c r="K11" s="20"/>
      <c r="L11" s="77"/>
    </row>
    <row r="12" spans="1:20">
      <c r="B12" s="39" t="s">
        <v>201</v>
      </c>
      <c r="C12" s="166"/>
      <c r="D12" s="100">
        <v>6000</v>
      </c>
      <c r="E12" s="39"/>
      <c r="F12" s="39"/>
      <c r="G12" s="20"/>
      <c r="H12" s="11"/>
      <c r="I12" s="16"/>
      <c r="J12" s="18"/>
      <c r="K12" s="20"/>
      <c r="L12" s="77"/>
    </row>
    <row r="13" spans="1:20">
      <c r="B13" s="39" t="s">
        <v>810</v>
      </c>
      <c r="C13" s="166"/>
      <c r="D13" s="11">
        <v>550</v>
      </c>
      <c r="E13" s="39"/>
      <c r="F13" s="39"/>
      <c r="G13" s="20"/>
      <c r="H13" s="11"/>
      <c r="I13" s="18"/>
      <c r="J13" s="18"/>
      <c r="K13" s="20"/>
      <c r="L13" s="77"/>
    </row>
    <row r="14" spans="1:20">
      <c r="B14" s="39"/>
      <c r="C14" s="166"/>
      <c r="D14" s="11"/>
      <c r="E14" s="39"/>
      <c r="F14" s="39"/>
      <c r="G14" s="20"/>
      <c r="H14" s="11"/>
      <c r="I14" s="18"/>
      <c r="J14" s="18"/>
      <c r="K14" s="20"/>
      <c r="L14" s="77"/>
    </row>
    <row r="15" spans="1:20">
      <c r="B15" s="39"/>
      <c r="C15" s="166"/>
      <c r="D15" s="11"/>
      <c r="E15" s="39"/>
      <c r="F15" s="39"/>
      <c r="G15" s="20"/>
      <c r="H15" s="11"/>
      <c r="I15" s="18"/>
      <c r="J15" s="91"/>
      <c r="K15" s="20"/>
      <c r="L15" s="77"/>
    </row>
    <row r="16" spans="1:20">
      <c r="B16" s="39"/>
      <c r="C16" s="166"/>
      <c r="D16" s="11"/>
      <c r="E16" s="39"/>
      <c r="F16" s="39"/>
      <c r="G16" s="20"/>
      <c r="H16" s="11"/>
      <c r="I16" s="18"/>
      <c r="J16" s="18"/>
      <c r="K16" s="20"/>
      <c r="L16" s="77"/>
    </row>
    <row r="17" spans="1:20">
      <c r="B17" s="39"/>
      <c r="C17" s="20"/>
      <c r="D17" s="11"/>
      <c r="E17" s="39"/>
      <c r="F17" s="39"/>
      <c r="G17" s="20"/>
      <c r="H17" s="11"/>
      <c r="I17" s="18"/>
      <c r="J17" s="18"/>
      <c r="K17" s="20"/>
      <c r="L17" s="77"/>
    </row>
    <row r="18" spans="1:20">
      <c r="B18" s="39"/>
      <c r="C18" s="20"/>
      <c r="D18" s="11"/>
      <c r="E18" s="39"/>
      <c r="F18" s="39"/>
      <c r="G18" s="20"/>
      <c r="H18" s="11"/>
      <c r="K18" s="20"/>
      <c r="L18" s="77"/>
    </row>
    <row r="19" spans="1:20">
      <c r="B19" s="39"/>
      <c r="C19" s="20"/>
      <c r="D19" s="11"/>
      <c r="E19" s="96"/>
      <c r="F19" s="39"/>
      <c r="G19" s="20"/>
      <c r="H19" s="11"/>
      <c r="J19" s="2"/>
      <c r="K19" s="20"/>
      <c r="L19" s="77"/>
    </row>
    <row r="20" spans="1:20">
      <c r="B20" s="39"/>
      <c r="C20" s="20"/>
      <c r="D20" s="11"/>
      <c r="F20" s="39"/>
      <c r="G20" s="20"/>
      <c r="H20" s="11"/>
      <c r="K20" s="20"/>
      <c r="L20" s="77"/>
    </row>
    <row r="21" spans="1:20">
      <c r="A21" s="39"/>
      <c r="B21" s="39"/>
      <c r="C21" s="20"/>
      <c r="D21" s="11"/>
      <c r="F21" s="39"/>
      <c r="G21" s="20"/>
      <c r="H21" s="11"/>
      <c r="L21" s="77"/>
    </row>
    <row r="22" spans="1:20">
      <c r="B22" s="39"/>
      <c r="C22" s="20"/>
      <c r="D22" s="11"/>
      <c r="F22" s="39"/>
      <c r="G22" s="20"/>
      <c r="H22" s="11"/>
      <c r="L22" s="77"/>
    </row>
    <row r="23" spans="1:20">
      <c r="B23" s="39"/>
      <c r="C23" s="20"/>
      <c r="D23" s="11"/>
      <c r="G23" s="20"/>
      <c r="H23" s="11"/>
      <c r="L23" s="77"/>
    </row>
    <row r="24" spans="1:20">
      <c r="B24" s="39"/>
      <c r="C24" s="20"/>
      <c r="D24" s="11"/>
      <c r="G24" s="20"/>
      <c r="H24" s="11"/>
      <c r="L24" s="77"/>
    </row>
    <row r="25" spans="1:20">
      <c r="B25" s="39"/>
      <c r="C25" s="20"/>
      <c r="D25" s="11"/>
      <c r="G25" s="20"/>
      <c r="H25" s="11"/>
      <c r="L25" s="77"/>
    </row>
    <row r="26" spans="1:20">
      <c r="B26" s="39"/>
      <c r="C26" s="20"/>
      <c r="D26" s="11"/>
      <c r="G26" s="20"/>
      <c r="H26" s="11"/>
      <c r="L26" s="77"/>
    </row>
    <row r="27" spans="1:20">
      <c r="B27" s="39"/>
      <c r="C27" s="20"/>
      <c r="D27" s="11"/>
      <c r="G27" s="20"/>
      <c r="H27" s="11"/>
      <c r="L27" s="77"/>
    </row>
    <row r="28" spans="1:20">
      <c r="B28" s="39"/>
      <c r="C28" s="20"/>
      <c r="D28" s="11"/>
      <c r="G28" s="20"/>
      <c r="H28" s="11"/>
      <c r="L28" s="77"/>
    </row>
    <row r="29" spans="1:20">
      <c r="B29" s="39"/>
      <c r="C29" s="20"/>
      <c r="D29" s="11"/>
      <c r="G29" s="20"/>
      <c r="H29" s="11"/>
      <c r="L29" s="77"/>
    </row>
    <row r="30" spans="1:20">
      <c r="B30" s="39"/>
      <c r="C30" s="20"/>
      <c r="D30" s="11"/>
      <c r="G30" s="20"/>
      <c r="H30" s="19"/>
    </row>
    <row r="31" spans="1:20">
      <c r="B31" t="s">
        <v>2</v>
      </c>
      <c r="C31" s="2">
        <f>SUM(C2:C29)</f>
        <v>25342.52</v>
      </c>
      <c r="D31" s="2">
        <f>SUM(D3:D30)</f>
        <v>20723.84</v>
      </c>
      <c r="F31" t="s">
        <v>2</v>
      </c>
      <c r="G31" s="2">
        <f>SUM(G2:G30)</f>
        <v>21499.989999999998</v>
      </c>
      <c r="H31" s="2">
        <f>SUM(H3:H30)</f>
        <v>14866.4</v>
      </c>
      <c r="J31" t="s">
        <v>2</v>
      </c>
      <c r="K31" s="2">
        <f>SUM(K1:K10)</f>
        <v>21854.19</v>
      </c>
      <c r="L31" s="2">
        <f>SUM(L2:L10)</f>
        <v>0</v>
      </c>
      <c r="N31" t="s">
        <v>2</v>
      </c>
      <c r="O31" s="2">
        <f>SUM(O1:O10)</f>
        <v>14000</v>
      </c>
      <c r="P31" s="2">
        <f>SUM(P2:P10)</f>
        <v>21400</v>
      </c>
      <c r="R31" t="s">
        <v>2</v>
      </c>
      <c r="S31" s="2">
        <f>SUM(S1:S10)</f>
        <v>2133.6</v>
      </c>
      <c r="T31" s="2">
        <f>SUM(T2:T10)</f>
        <v>9500</v>
      </c>
    </row>
    <row r="32" spans="1:20">
      <c r="D32" s="2">
        <f>C31-D31</f>
        <v>4618.68</v>
      </c>
      <c r="H32" s="2">
        <f>G31-H31</f>
        <v>6633.5899999999983</v>
      </c>
      <c r="L32" s="2">
        <f>K31-L31</f>
        <v>21854.19</v>
      </c>
      <c r="P32" s="2">
        <f>O31-P31</f>
        <v>-7400</v>
      </c>
      <c r="T32" s="2">
        <f>S31-T31</f>
        <v>-7366.4</v>
      </c>
    </row>
    <row r="33" spans="1:26">
      <c r="A33">
        <v>1032.8900000000001</v>
      </c>
    </row>
    <row r="34" spans="1:26">
      <c r="A34" s="2">
        <f>A33-D32</f>
        <v>-3585.79</v>
      </c>
      <c r="V34" s="102">
        <v>42904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168">
        <v>14373.84</v>
      </c>
      <c r="J36" t="s">
        <v>0</v>
      </c>
      <c r="K36" s="3"/>
      <c r="L36" s="168">
        <v>3775.45</v>
      </c>
      <c r="M36" s="33"/>
      <c r="N36" t="s">
        <v>0</v>
      </c>
      <c r="O36" s="3">
        <v>-8167.24</v>
      </c>
      <c r="P36" s="4"/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14</v>
      </c>
      <c r="W36" s="2">
        <f>U36*V36</f>
        <v>-3887.3333333333335</v>
      </c>
      <c r="X36" s="2">
        <f>S36-W36</f>
        <v>-1110.6666666666665</v>
      </c>
    </row>
    <row r="37" spans="1:26">
      <c r="B37" s="39" t="s">
        <v>503</v>
      </c>
      <c r="C37" s="1"/>
      <c r="D37" s="1">
        <v>0</v>
      </c>
      <c r="F37" t="s">
        <v>412</v>
      </c>
      <c r="G37" s="1">
        <v>7400</v>
      </c>
      <c r="H37" s="11"/>
      <c r="J37" t="s">
        <v>806</v>
      </c>
      <c r="K37" s="19">
        <v>2058.5700000000002</v>
      </c>
      <c r="L37" s="14"/>
      <c r="M37" s="29"/>
      <c r="N37" t="s">
        <v>142</v>
      </c>
      <c r="O37" s="19"/>
      <c r="P37" s="11"/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F38" t="s">
        <v>605</v>
      </c>
      <c r="G38" s="1">
        <v>1288.8399999999999</v>
      </c>
      <c r="H38" s="11"/>
      <c r="I38" s="8"/>
      <c r="J38" t="s">
        <v>807</v>
      </c>
      <c r="K38" s="19">
        <v>832.6</v>
      </c>
      <c r="L38" s="14"/>
      <c r="N38" s="39"/>
      <c r="O38" s="19"/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F39" t="s">
        <v>808</v>
      </c>
      <c r="G39" s="1">
        <v>5685</v>
      </c>
      <c r="H39" s="11"/>
      <c r="J39" t="s">
        <v>804</v>
      </c>
      <c r="K39" s="19">
        <v>500</v>
      </c>
      <c r="L39" s="14"/>
      <c r="N39" s="39" t="s">
        <v>169</v>
      </c>
      <c r="O39" s="19">
        <v>2000</v>
      </c>
      <c r="P39" s="11"/>
      <c r="Q39" s="29" t="s">
        <v>708</v>
      </c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G40" s="1"/>
      <c r="H40" s="11"/>
      <c r="K40" s="19"/>
      <c r="L40" s="14"/>
      <c r="N40" s="39"/>
      <c r="O40" s="19"/>
      <c r="P40" s="11"/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/>
      <c r="G41" s="1"/>
      <c r="H41" s="11"/>
      <c r="K41" s="19"/>
      <c r="L41" s="14"/>
      <c r="M41" s="29"/>
      <c r="N41" s="39"/>
      <c r="O41" s="19"/>
      <c r="P41" s="11">
        <v>48</v>
      </c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8</v>
      </c>
      <c r="W41" s="2">
        <f t="shared" si="1"/>
        <v>-4392.0266666666666</v>
      </c>
      <c r="X41" s="2">
        <f t="shared" si="2"/>
        <v>-2196.0133333333333</v>
      </c>
    </row>
    <row r="42" spans="1:26">
      <c r="B42" s="39"/>
      <c r="C42" s="20"/>
      <c r="D42" s="11"/>
      <c r="G42" s="1"/>
      <c r="H42" s="11"/>
      <c r="K42" s="19"/>
      <c r="L42" s="14"/>
      <c r="M42" s="29"/>
      <c r="N42" s="39"/>
      <c r="O42" s="19"/>
      <c r="P42" s="11">
        <v>108</v>
      </c>
      <c r="Q42" s="29"/>
      <c r="R42" t="s">
        <v>630</v>
      </c>
      <c r="S42" s="101">
        <v>-6990</v>
      </c>
      <c r="T42" s="118">
        <v>3</v>
      </c>
      <c r="U42" s="119">
        <f t="shared" si="0"/>
        <v>-2330</v>
      </c>
      <c r="V42" s="118">
        <v>3</v>
      </c>
      <c r="W42" s="119">
        <f t="shared" si="1"/>
        <v>-6990</v>
      </c>
      <c r="X42" s="119">
        <f t="shared" si="2"/>
        <v>0</v>
      </c>
    </row>
    <row r="43" spans="1:26">
      <c r="B43" s="39"/>
      <c r="C43" s="20"/>
      <c r="D43" s="11"/>
      <c r="G43" s="1"/>
      <c r="H43" s="11"/>
      <c r="K43" s="19"/>
      <c r="L43" s="14"/>
      <c r="N43" s="39" t="s">
        <v>801</v>
      </c>
      <c r="O43" s="19"/>
      <c r="P43" s="11">
        <v>61.32</v>
      </c>
      <c r="Q43" s="29"/>
      <c r="R43" t="s">
        <v>493</v>
      </c>
      <c r="S43" s="101">
        <v>-4218.91</v>
      </c>
      <c r="T43" s="118">
        <v>3</v>
      </c>
      <c r="U43" s="119">
        <f t="shared" si="0"/>
        <v>-1406.3033333333333</v>
      </c>
      <c r="V43" s="118">
        <v>3</v>
      </c>
      <c r="W43" s="119">
        <f t="shared" si="1"/>
        <v>-4218.91</v>
      </c>
      <c r="X43" s="119">
        <f t="shared" si="2"/>
        <v>0</v>
      </c>
    </row>
    <row r="44" spans="1:26">
      <c r="B44" s="39"/>
      <c r="C44" s="20"/>
      <c r="D44" s="11"/>
      <c r="G44" s="1"/>
      <c r="H44" s="11"/>
      <c r="K44" s="19"/>
      <c r="L44" s="14"/>
      <c r="N44" s="39"/>
      <c r="O44" s="19"/>
      <c r="P44" s="11">
        <v>12700</v>
      </c>
      <c r="Q44" s="8"/>
      <c r="R44" t="s">
        <v>11</v>
      </c>
      <c r="S44" s="2">
        <f>SUM(S36:S43)</f>
        <v>-57840.649999999994</v>
      </c>
      <c r="X44" s="2">
        <f>SUM(X36:X43)</f>
        <v>-3306.68</v>
      </c>
    </row>
    <row r="45" spans="1:26">
      <c r="B45" s="39"/>
      <c r="C45" s="20"/>
      <c r="D45" s="11"/>
      <c r="H45" s="11"/>
      <c r="K45" s="19"/>
      <c r="L45" s="14"/>
      <c r="N45" s="39" t="s">
        <v>169</v>
      </c>
      <c r="O45" s="19">
        <v>3000</v>
      </c>
      <c r="P45" s="11"/>
    </row>
    <row r="46" spans="1:26">
      <c r="B46" s="39"/>
      <c r="C46" s="20"/>
      <c r="D46" s="11"/>
      <c r="H46" s="11"/>
      <c r="K46" s="19"/>
      <c r="L46" s="14"/>
      <c r="N46" s="39" t="s">
        <v>169</v>
      </c>
      <c r="O46" s="19">
        <v>4500</v>
      </c>
      <c r="P46" s="11"/>
      <c r="Q46" s="33" t="s">
        <v>760</v>
      </c>
      <c r="S46" s="2"/>
    </row>
    <row r="47" spans="1:26">
      <c r="B47" s="12"/>
      <c r="C47" s="20"/>
      <c r="D47" s="11"/>
      <c r="E47" s="29"/>
      <c r="H47" s="11"/>
      <c r="K47" s="19"/>
      <c r="L47" s="11"/>
      <c r="N47" s="39" t="s">
        <v>169</v>
      </c>
      <c r="O47" s="19">
        <f>9500-1300</f>
        <v>8200</v>
      </c>
      <c r="P47" s="11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4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  <c r="U50" t="s">
        <v>715</v>
      </c>
      <c r="V50" t="s">
        <v>709</v>
      </c>
      <c r="W50" t="s">
        <v>770</v>
      </c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 t="s">
        <v>707</v>
      </c>
      <c r="V51" t="s">
        <v>708</v>
      </c>
      <c r="W51" t="s">
        <v>771</v>
      </c>
    </row>
    <row r="52" spans="2:28">
      <c r="B52" s="12"/>
      <c r="C52" s="1"/>
      <c r="D52" s="11"/>
      <c r="H52" s="14"/>
      <c r="L52" s="11"/>
      <c r="N52" s="39"/>
      <c r="O52" s="19"/>
      <c r="P52" s="11"/>
      <c r="S52" t="s">
        <v>702</v>
      </c>
      <c r="U52" s="2">
        <f>U36+U41+U42+U43</f>
        <v>-4562.9733333333334</v>
      </c>
      <c r="V52" s="2">
        <f>U36+U41+U43</f>
        <v>-2232.9733333333334</v>
      </c>
    </row>
    <row r="53" spans="2:28">
      <c r="B53" s="12"/>
      <c r="C53" s="1"/>
      <c r="D53" s="11"/>
      <c r="S53" s="1" t="s">
        <v>119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14373.84</v>
      </c>
      <c r="H54" s="2">
        <f>SUM(H36:H52)</f>
        <v>14373.84</v>
      </c>
      <c r="J54" t="s">
        <v>2</v>
      </c>
      <c r="K54" s="2">
        <f>SUM(K36:K51)</f>
        <v>3391.17</v>
      </c>
      <c r="L54" s="2">
        <f>SUM(L36:L49)</f>
        <v>3775.45</v>
      </c>
      <c r="N54" t="s">
        <v>2</v>
      </c>
      <c r="O54" s="2">
        <f>SUM(O36:O53)</f>
        <v>9532.76</v>
      </c>
      <c r="P54" s="2">
        <f>SUM(P36:P53)</f>
        <v>12917.32</v>
      </c>
      <c r="S54" s="1"/>
      <c r="T54" s="33" t="s">
        <v>703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0</v>
      </c>
      <c r="L55" s="2">
        <f>K54-L54</f>
        <v>-384.27999999999975</v>
      </c>
      <c r="P55" s="2">
        <f>O54-P54</f>
        <v>-3384.5599999999995</v>
      </c>
      <c r="S55" s="1" t="s">
        <v>704</v>
      </c>
      <c r="U55">
        <v>1341.46</v>
      </c>
      <c r="V55">
        <v>0</v>
      </c>
      <c r="AA55" t="s">
        <v>239</v>
      </c>
      <c r="AB55" s="1">
        <v>10261.049999999999</v>
      </c>
    </row>
    <row r="56" spans="2:28">
      <c r="P56" s="2">
        <f>P55-X44</f>
        <v>-77.879999999999654</v>
      </c>
      <c r="S56" s="1"/>
      <c r="U56" s="165">
        <f>U54+U55</f>
        <v>-2394.8433333333332</v>
      </c>
      <c r="V56" s="143">
        <f>V54+V55</f>
        <v>-1406.3033333333333</v>
      </c>
      <c r="W56" s="93">
        <v>2500</v>
      </c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-1288.8399999999999</v>
      </c>
      <c r="L58" s="2">
        <v>-384.28</v>
      </c>
      <c r="P58" s="2">
        <v>-826.77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1412.94</v>
      </c>
      <c r="I60" s="41"/>
      <c r="J60" s="41"/>
      <c r="K60" s="41"/>
      <c r="L60" s="51"/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124.10000000000014</v>
      </c>
      <c r="I62" s="44"/>
      <c r="J62" s="44"/>
      <c r="K62" s="44"/>
      <c r="L62" s="45">
        <f>L60+L58</f>
        <v>-384.28</v>
      </c>
      <c r="M62" s="44"/>
      <c r="N62" s="44"/>
      <c r="O62" s="44"/>
      <c r="P62" s="45">
        <f>P60+P58</f>
        <v>-826.77</v>
      </c>
      <c r="T62" t="s">
        <v>98</v>
      </c>
      <c r="V62" s="1">
        <f>Z62-Z63</f>
        <v>1018.6799999999998</v>
      </c>
      <c r="W62" s="2">
        <f>S63-V62</f>
        <v>1481.21</v>
      </c>
      <c r="X62" s="2">
        <f>W62/2</f>
        <v>740.60500000000002</v>
      </c>
      <c r="Z62" s="1">
        <v>4200</v>
      </c>
      <c r="AA62" s="2">
        <f>X64+Z62</f>
        <v>4940.6049999999996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2499.89</v>
      </c>
      <c r="Z63" s="1">
        <v>3181.32</v>
      </c>
      <c r="AA63" s="2">
        <f>X65+Z63</f>
        <v>4940.6049999999996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740.60500000000002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1759.2849999999999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13338.18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7" priority="1" operator="lessThan">
      <formula>0</formula>
    </cfRule>
    <cfRule type="cellIs" dxfId="56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 codeName="Hoja32"/>
  <dimension ref="A1:AB87"/>
  <sheetViews>
    <sheetView workbookViewId="0">
      <selection activeCell="F22" sqref="F22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796</v>
      </c>
      <c r="P1" s="218"/>
      <c r="S1" s="218" t="s">
        <v>802</v>
      </c>
      <c r="T1" s="218"/>
    </row>
    <row r="2" spans="1:20">
      <c r="B2" s="18" t="s">
        <v>0</v>
      </c>
      <c r="C2" s="94">
        <v>4000</v>
      </c>
      <c r="D2" s="74"/>
      <c r="E2" s="18"/>
      <c r="F2" s="18" t="s">
        <v>0</v>
      </c>
      <c r="G2" s="75">
        <v>13999.99</v>
      </c>
      <c r="H2" s="74"/>
      <c r="I2" s="18"/>
      <c r="J2" s="18" t="s">
        <v>0</v>
      </c>
      <c r="K2" s="73">
        <v>18728.57</v>
      </c>
      <c r="L2" s="74"/>
      <c r="N2" s="18"/>
      <c r="O2" s="73">
        <v>0</v>
      </c>
      <c r="P2" s="97"/>
      <c r="R2" s="18"/>
      <c r="S2" s="73"/>
      <c r="T2" s="97"/>
    </row>
    <row r="3" spans="1:20">
      <c r="B3" s="18" t="s">
        <v>39</v>
      </c>
      <c r="C3" s="23">
        <v>617.36</v>
      </c>
      <c r="D3" s="11"/>
      <c r="E3" s="76"/>
      <c r="F3" s="39"/>
      <c r="G3" s="20"/>
      <c r="H3" s="11"/>
      <c r="I3" s="18"/>
      <c r="J3" s="18" t="s">
        <v>201</v>
      </c>
      <c r="K3" s="20">
        <v>3000.62</v>
      </c>
      <c r="L3" s="77"/>
      <c r="N3" s="18" t="s">
        <v>797</v>
      </c>
      <c r="O3" s="20"/>
      <c r="P3" s="11">
        <v>8700</v>
      </c>
      <c r="R3" s="18" t="s">
        <v>265</v>
      </c>
      <c r="S3" s="20"/>
      <c r="T3" s="11">
        <v>1300</v>
      </c>
    </row>
    <row r="4" spans="1:20">
      <c r="B4" s="18" t="s">
        <v>40</v>
      </c>
      <c r="C4" s="23">
        <v>15625.16</v>
      </c>
      <c r="D4" s="11"/>
      <c r="E4" s="18"/>
      <c r="F4" s="39"/>
      <c r="G4" s="20"/>
      <c r="H4" s="11"/>
      <c r="I4" s="18"/>
      <c r="J4" s="18" t="s">
        <v>49</v>
      </c>
      <c r="K4" s="20">
        <v>125</v>
      </c>
      <c r="L4" s="77"/>
      <c r="N4" s="18" t="s">
        <v>798</v>
      </c>
      <c r="O4" s="20"/>
      <c r="P4" s="11">
        <v>12700</v>
      </c>
      <c r="R4" s="18" t="s">
        <v>437</v>
      </c>
      <c r="S4" s="166"/>
      <c r="T4" s="11">
        <v>8200</v>
      </c>
    </row>
    <row r="5" spans="1:20">
      <c r="B5" s="18" t="s">
        <v>43</v>
      </c>
      <c r="C5" s="20"/>
      <c r="D5" s="100">
        <v>4200</v>
      </c>
      <c r="E5" s="18"/>
      <c r="F5" s="39"/>
      <c r="G5" s="20"/>
      <c r="H5" s="11"/>
      <c r="I5" s="18"/>
      <c r="J5" s="18"/>
      <c r="K5" s="20"/>
      <c r="L5" s="77"/>
      <c r="N5" s="18" t="s">
        <v>799</v>
      </c>
      <c r="O5" s="20">
        <v>14000</v>
      </c>
      <c r="P5" s="11"/>
      <c r="R5" s="18" t="s">
        <v>803</v>
      </c>
      <c r="S5" s="20">
        <v>2133.6</v>
      </c>
      <c r="T5" s="11"/>
    </row>
    <row r="6" spans="1:20">
      <c r="B6" s="18" t="s">
        <v>610</v>
      </c>
      <c r="C6" s="20"/>
      <c r="D6" s="100">
        <v>1000</v>
      </c>
      <c r="E6" s="18"/>
      <c r="F6" s="39" t="s">
        <v>788</v>
      </c>
      <c r="G6" s="166"/>
      <c r="H6" s="11">
        <v>11866.4</v>
      </c>
      <c r="I6" s="76"/>
      <c r="J6" s="18"/>
      <c r="K6" s="20"/>
      <c r="L6" s="77"/>
      <c r="N6" s="18" t="s">
        <v>800</v>
      </c>
      <c r="O6" s="20"/>
      <c r="P6" s="11"/>
      <c r="R6" s="18" t="s">
        <v>437</v>
      </c>
      <c r="S6" s="20"/>
      <c r="T6" s="11"/>
    </row>
    <row r="7" spans="1:20">
      <c r="A7" s="1"/>
      <c r="B7" s="167" t="s">
        <v>805</v>
      </c>
      <c r="C7" s="166"/>
      <c r="D7" s="100">
        <v>500</v>
      </c>
      <c r="E7" s="76"/>
      <c r="F7" s="39" t="s">
        <v>794</v>
      </c>
      <c r="G7" s="20">
        <v>3000</v>
      </c>
      <c r="H7" s="11"/>
      <c r="I7" s="76"/>
      <c r="J7" s="18"/>
      <c r="K7" s="20"/>
      <c r="L7" s="77"/>
      <c r="N7" s="18" t="s">
        <v>169</v>
      </c>
      <c r="O7" s="20"/>
      <c r="P7" s="11"/>
      <c r="R7" s="18"/>
      <c r="S7" s="20"/>
      <c r="T7" s="77"/>
    </row>
    <row r="8" spans="1:20">
      <c r="B8" s="18" t="s">
        <v>812</v>
      </c>
      <c r="C8" s="166"/>
      <c r="D8" s="100">
        <v>700</v>
      </c>
      <c r="E8" s="18"/>
      <c r="F8" s="39" t="s">
        <v>169</v>
      </c>
      <c r="G8" s="20"/>
      <c r="H8" s="11">
        <v>3000</v>
      </c>
      <c r="I8" s="76"/>
      <c r="J8" s="18"/>
      <c r="K8" s="20"/>
      <c r="L8" s="77"/>
      <c r="N8" s="18"/>
      <c r="O8" s="20"/>
      <c r="P8" s="19"/>
      <c r="R8" s="18"/>
      <c r="S8" s="20"/>
      <c r="T8" s="39"/>
    </row>
    <row r="9" spans="1:20">
      <c r="B9" s="39" t="s">
        <v>97</v>
      </c>
      <c r="C9" s="169">
        <v>5100</v>
      </c>
      <c r="D9" s="11"/>
      <c r="E9" s="163"/>
      <c r="F9" s="39" t="s">
        <v>412</v>
      </c>
      <c r="G9" s="20">
        <v>4500</v>
      </c>
      <c r="H9" s="11"/>
      <c r="I9" s="18" t="s">
        <v>795</v>
      </c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809</v>
      </c>
      <c r="C10" s="166"/>
      <c r="D10" s="100">
        <v>5685</v>
      </c>
      <c r="E10" s="76"/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219</v>
      </c>
      <c r="C11" s="20"/>
      <c r="D11" s="100">
        <v>1288.8399999999999</v>
      </c>
      <c r="E11" s="39"/>
      <c r="F11" s="39"/>
      <c r="G11" s="20"/>
      <c r="H11" s="11"/>
      <c r="I11" s="18"/>
      <c r="J11" s="18"/>
      <c r="K11" s="20"/>
      <c r="L11" s="77"/>
    </row>
    <row r="12" spans="1:20">
      <c r="B12" s="39" t="s">
        <v>201</v>
      </c>
      <c r="C12" s="166"/>
      <c r="D12" s="100">
        <v>6000</v>
      </c>
      <c r="E12" s="39"/>
      <c r="F12" s="39"/>
      <c r="G12" s="20"/>
      <c r="H12" s="11"/>
      <c r="I12" s="16"/>
      <c r="J12" s="18"/>
      <c r="K12" s="20"/>
      <c r="L12" s="77"/>
    </row>
    <row r="13" spans="1:20">
      <c r="B13" s="39" t="s">
        <v>810</v>
      </c>
      <c r="C13" s="166"/>
      <c r="D13" s="11">
        <v>588</v>
      </c>
      <c r="E13" s="39"/>
      <c r="F13" s="39"/>
      <c r="G13" s="20"/>
      <c r="H13" s="11"/>
      <c r="I13" s="18"/>
      <c r="J13" s="18"/>
      <c r="K13" s="20"/>
      <c r="L13" s="77"/>
    </row>
    <row r="14" spans="1:20">
      <c r="B14" s="39" t="s">
        <v>811</v>
      </c>
      <c r="C14" s="166">
        <v>361</v>
      </c>
      <c r="D14" s="11"/>
      <c r="E14" s="39"/>
      <c r="F14" s="39"/>
      <c r="G14" s="20"/>
      <c r="H14" s="11"/>
      <c r="I14" s="18"/>
      <c r="J14" s="18"/>
      <c r="K14" s="20"/>
      <c r="L14" s="77"/>
    </row>
    <row r="15" spans="1:20">
      <c r="B15" s="39" t="s">
        <v>813</v>
      </c>
      <c r="C15" s="166"/>
      <c r="D15" s="100">
        <v>456</v>
      </c>
      <c r="E15" s="39"/>
      <c r="F15" s="39"/>
      <c r="G15" s="20"/>
      <c r="H15" s="11"/>
      <c r="I15" s="18"/>
      <c r="J15" s="91"/>
      <c r="K15" s="20"/>
      <c r="L15" s="77"/>
    </row>
    <row r="16" spans="1:20">
      <c r="B16" s="39" t="s">
        <v>814</v>
      </c>
      <c r="C16" s="166"/>
      <c r="D16" s="11">
        <v>344</v>
      </c>
      <c r="E16" s="39"/>
      <c r="F16" s="39"/>
      <c r="G16" s="20"/>
      <c r="H16" s="11"/>
      <c r="I16" s="18"/>
      <c r="J16" s="18"/>
      <c r="K16" s="20"/>
      <c r="L16" s="77"/>
    </row>
    <row r="17" spans="1:20">
      <c r="B17" s="39" t="s">
        <v>200</v>
      </c>
      <c r="C17" s="20"/>
      <c r="D17" s="11">
        <v>256</v>
      </c>
      <c r="E17" s="39"/>
      <c r="F17" s="39"/>
      <c r="G17" s="20"/>
      <c r="H17" s="11"/>
      <c r="I17" s="18"/>
      <c r="J17" s="18"/>
      <c r="K17" s="20"/>
      <c r="L17" s="77"/>
    </row>
    <row r="18" spans="1:20">
      <c r="B18" s="39"/>
      <c r="C18" s="20"/>
      <c r="D18" s="11"/>
      <c r="E18" s="39"/>
      <c r="F18" s="39"/>
      <c r="G18" s="20"/>
      <c r="H18" s="11"/>
      <c r="K18" s="20"/>
      <c r="L18" s="77"/>
    </row>
    <row r="19" spans="1:20">
      <c r="B19" s="39"/>
      <c r="C19" s="20"/>
      <c r="D19" s="11"/>
      <c r="E19" s="96"/>
      <c r="F19" s="39"/>
      <c r="G19" s="20"/>
      <c r="H19" s="11"/>
      <c r="J19" s="2"/>
      <c r="K19" s="20"/>
      <c r="L19" s="77"/>
    </row>
    <row r="20" spans="1:20">
      <c r="B20" s="39"/>
      <c r="C20" s="20"/>
      <c r="D20" s="11"/>
      <c r="F20" s="39"/>
      <c r="G20" s="20"/>
      <c r="H20" s="11"/>
      <c r="K20" s="20"/>
      <c r="L20" s="77"/>
    </row>
    <row r="21" spans="1:20">
      <c r="A21" s="39"/>
      <c r="B21" s="39"/>
      <c r="C21" s="20"/>
      <c r="D21" s="11"/>
      <c r="F21" s="39"/>
      <c r="G21" s="20"/>
      <c r="H21" s="11"/>
      <c r="L21" s="77"/>
    </row>
    <row r="22" spans="1:20">
      <c r="B22" s="39"/>
      <c r="C22" s="20"/>
      <c r="D22" s="11"/>
      <c r="F22" s="39"/>
      <c r="G22" s="20"/>
      <c r="H22" s="11"/>
      <c r="L22" s="77"/>
    </row>
    <row r="23" spans="1:20">
      <c r="B23" s="39"/>
      <c r="C23" s="20"/>
      <c r="D23" s="11"/>
      <c r="G23" s="20"/>
      <c r="H23" s="11"/>
      <c r="L23" s="77"/>
    </row>
    <row r="24" spans="1:20">
      <c r="B24" s="39"/>
      <c r="C24" s="20"/>
      <c r="D24" s="11"/>
      <c r="G24" s="20"/>
      <c r="H24" s="11"/>
      <c r="L24" s="77"/>
    </row>
    <row r="25" spans="1:20">
      <c r="B25" s="39"/>
      <c r="C25" s="20"/>
      <c r="D25" s="11"/>
      <c r="G25" s="20"/>
      <c r="H25" s="11"/>
      <c r="L25" s="77"/>
    </row>
    <row r="26" spans="1:20">
      <c r="B26" s="39"/>
      <c r="C26" s="20"/>
      <c r="D26" s="11"/>
      <c r="G26" s="20"/>
      <c r="H26" s="11"/>
      <c r="L26" s="77"/>
    </row>
    <row r="27" spans="1:20">
      <c r="B27" s="39"/>
      <c r="C27" s="20"/>
      <c r="D27" s="11"/>
      <c r="G27" s="20"/>
      <c r="H27" s="11"/>
      <c r="L27" s="77"/>
    </row>
    <row r="28" spans="1:20">
      <c r="B28" s="39"/>
      <c r="C28" s="20"/>
      <c r="D28" s="11"/>
      <c r="G28" s="20"/>
      <c r="H28" s="11"/>
      <c r="L28" s="77"/>
    </row>
    <row r="29" spans="1:20">
      <c r="B29" s="39"/>
      <c r="C29" s="20"/>
      <c r="D29" s="11"/>
      <c r="G29" s="20"/>
      <c r="H29" s="11"/>
      <c r="L29" s="77"/>
    </row>
    <row r="30" spans="1:20">
      <c r="B30" s="39"/>
      <c r="C30" s="20"/>
      <c r="D30" s="11"/>
      <c r="G30" s="20"/>
      <c r="H30" s="19"/>
    </row>
    <row r="31" spans="1:20">
      <c r="B31" t="s">
        <v>2</v>
      </c>
      <c r="C31" s="2">
        <f>SUM(C2:C29)</f>
        <v>25703.52</v>
      </c>
      <c r="D31" s="2">
        <f>SUM(D3:D30)</f>
        <v>21017.84</v>
      </c>
      <c r="F31" t="s">
        <v>2</v>
      </c>
      <c r="G31" s="2">
        <f>SUM(G2:G30)</f>
        <v>21499.989999999998</v>
      </c>
      <c r="H31" s="2">
        <f>SUM(H3:H30)</f>
        <v>14866.4</v>
      </c>
      <c r="J31" t="s">
        <v>2</v>
      </c>
      <c r="K31" s="2">
        <f>SUM(K1:K10)</f>
        <v>21854.19</v>
      </c>
      <c r="L31" s="2">
        <f>SUM(L2:L10)</f>
        <v>0</v>
      </c>
      <c r="N31" t="s">
        <v>2</v>
      </c>
      <c r="O31" s="2">
        <f>SUM(O1:O10)</f>
        <v>14000</v>
      </c>
      <c r="P31" s="2">
        <f>SUM(P2:P10)</f>
        <v>21400</v>
      </c>
      <c r="R31" t="s">
        <v>2</v>
      </c>
      <c r="S31" s="2">
        <f>SUM(S1:S10)</f>
        <v>2133.6</v>
      </c>
      <c r="T31" s="2">
        <f>SUM(T2:T10)</f>
        <v>9500</v>
      </c>
    </row>
    <row r="32" spans="1:20">
      <c r="D32" s="2">
        <f>C31-D31</f>
        <v>4685.68</v>
      </c>
      <c r="H32" s="2">
        <f>G31-H31</f>
        <v>6633.5899999999983</v>
      </c>
      <c r="L32" s="2">
        <f>K31-L31</f>
        <v>21854.19</v>
      </c>
      <c r="P32" s="2">
        <f>O31-P31</f>
        <v>-7400</v>
      </c>
      <c r="T32" s="2">
        <f>S31-T31</f>
        <v>-7366.4</v>
      </c>
    </row>
    <row r="33" spans="1:26">
      <c r="A33">
        <v>1032.8900000000001</v>
      </c>
    </row>
    <row r="34" spans="1:26">
      <c r="A34" s="2">
        <f>A33-D32</f>
        <v>-3652.79</v>
      </c>
      <c r="V34" s="102">
        <v>42904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168">
        <v>14373.84</v>
      </c>
      <c r="J36" t="s">
        <v>0</v>
      </c>
      <c r="K36" s="3"/>
      <c r="L36" s="168">
        <v>3775.45</v>
      </c>
      <c r="M36" s="33"/>
      <c r="N36" t="s">
        <v>0</v>
      </c>
      <c r="O36" s="3">
        <v>-8167.24</v>
      </c>
      <c r="P36" s="4"/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14</v>
      </c>
      <c r="W36" s="2">
        <f>U36*V36</f>
        <v>-3887.3333333333335</v>
      </c>
      <c r="X36" s="2">
        <f>S36-W36</f>
        <v>-1110.6666666666665</v>
      </c>
    </row>
    <row r="37" spans="1:26">
      <c r="B37" s="39" t="s">
        <v>503</v>
      </c>
      <c r="C37" s="1"/>
      <c r="D37" s="1">
        <v>0</v>
      </c>
      <c r="F37" t="s">
        <v>412</v>
      </c>
      <c r="G37" s="1">
        <v>7400</v>
      </c>
      <c r="H37" s="11"/>
      <c r="J37" t="s">
        <v>806</v>
      </c>
      <c r="K37" s="19">
        <v>2058.5700000000002</v>
      </c>
      <c r="L37" s="14"/>
      <c r="M37" s="29"/>
      <c r="N37" t="s">
        <v>142</v>
      </c>
      <c r="O37" s="19"/>
      <c r="P37" s="11"/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F38" t="s">
        <v>605</v>
      </c>
      <c r="G38" s="1">
        <v>1288.8399999999999</v>
      </c>
      <c r="H38" s="11"/>
      <c r="I38" s="8"/>
      <c r="J38" t="s">
        <v>807</v>
      </c>
      <c r="K38" s="19">
        <v>832.6</v>
      </c>
      <c r="L38" s="14"/>
      <c r="N38" s="39"/>
      <c r="O38" s="19"/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F39" t="s">
        <v>808</v>
      </c>
      <c r="G39" s="1">
        <v>5685</v>
      </c>
      <c r="H39" s="11"/>
      <c r="J39" t="s">
        <v>804</v>
      </c>
      <c r="K39" s="19">
        <v>500</v>
      </c>
      <c r="L39" s="14"/>
      <c r="N39" s="39" t="s">
        <v>169</v>
      </c>
      <c r="O39" s="19">
        <v>2000</v>
      </c>
      <c r="P39" s="11"/>
      <c r="Q39" s="29" t="s">
        <v>708</v>
      </c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G40" s="1"/>
      <c r="H40" s="11"/>
      <c r="K40" s="19"/>
      <c r="L40" s="14"/>
      <c r="N40" s="39"/>
      <c r="O40" s="19"/>
      <c r="P40" s="11"/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/>
      <c r="G41" s="1"/>
      <c r="H41" s="11"/>
      <c r="K41" s="19"/>
      <c r="L41" s="14"/>
      <c r="M41" s="29"/>
      <c r="N41" s="39"/>
      <c r="O41" s="19"/>
      <c r="P41" s="11">
        <v>48</v>
      </c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8</v>
      </c>
      <c r="W41" s="2">
        <f t="shared" si="1"/>
        <v>-4392.0266666666666</v>
      </c>
      <c r="X41" s="2">
        <f t="shared" si="2"/>
        <v>-2196.0133333333333</v>
      </c>
    </row>
    <row r="42" spans="1:26">
      <c r="B42" s="39"/>
      <c r="C42" s="20"/>
      <c r="D42" s="11"/>
      <c r="G42" s="1"/>
      <c r="H42" s="11"/>
      <c r="K42" s="19"/>
      <c r="L42" s="14"/>
      <c r="M42" s="29"/>
      <c r="N42" s="39"/>
      <c r="O42" s="19"/>
      <c r="P42" s="11">
        <v>108</v>
      </c>
      <c r="Q42" s="29"/>
      <c r="R42" t="s">
        <v>630</v>
      </c>
      <c r="S42" s="101">
        <v>-6990</v>
      </c>
      <c r="T42" s="118">
        <v>3</v>
      </c>
      <c r="U42" s="119">
        <f t="shared" si="0"/>
        <v>-2330</v>
      </c>
      <c r="V42" s="118">
        <v>3</v>
      </c>
      <c r="W42" s="119">
        <f t="shared" si="1"/>
        <v>-6990</v>
      </c>
      <c r="X42" s="119">
        <f t="shared" si="2"/>
        <v>0</v>
      </c>
    </row>
    <row r="43" spans="1:26">
      <c r="B43" s="39"/>
      <c r="C43" s="20"/>
      <c r="D43" s="11"/>
      <c r="G43" s="1"/>
      <c r="H43" s="11"/>
      <c r="K43" s="19"/>
      <c r="L43" s="14"/>
      <c r="N43" s="39" t="s">
        <v>801</v>
      </c>
      <c r="O43" s="19"/>
      <c r="P43" s="11">
        <v>61.32</v>
      </c>
      <c r="Q43" s="29"/>
      <c r="R43" t="s">
        <v>493</v>
      </c>
      <c r="S43" s="101">
        <v>-4218.91</v>
      </c>
      <c r="T43" s="118">
        <v>3</v>
      </c>
      <c r="U43" s="119">
        <f t="shared" si="0"/>
        <v>-1406.3033333333333</v>
      </c>
      <c r="V43" s="118">
        <v>3</v>
      </c>
      <c r="W43" s="119">
        <f t="shared" si="1"/>
        <v>-4218.91</v>
      </c>
      <c r="X43" s="119">
        <f t="shared" si="2"/>
        <v>0</v>
      </c>
    </row>
    <row r="44" spans="1:26">
      <c r="B44" s="39"/>
      <c r="C44" s="20"/>
      <c r="D44" s="11"/>
      <c r="G44" s="1"/>
      <c r="H44" s="11"/>
      <c r="K44" s="19"/>
      <c r="L44" s="14"/>
      <c r="N44" s="39"/>
      <c r="O44" s="19"/>
      <c r="P44" s="11">
        <v>12700</v>
      </c>
      <c r="Q44" s="8"/>
      <c r="R44" t="s">
        <v>11</v>
      </c>
      <c r="S44" s="2">
        <f>SUM(S36:S43)</f>
        <v>-57840.649999999994</v>
      </c>
      <c r="X44" s="2">
        <f>SUM(X36:X43)</f>
        <v>-3306.68</v>
      </c>
    </row>
    <row r="45" spans="1:26">
      <c r="B45" s="39"/>
      <c r="C45" s="20"/>
      <c r="D45" s="11"/>
      <c r="H45" s="11"/>
      <c r="K45" s="19"/>
      <c r="L45" s="14"/>
      <c r="N45" s="39" t="s">
        <v>169</v>
      </c>
      <c r="O45" s="19">
        <v>3000</v>
      </c>
      <c r="P45" s="11"/>
    </row>
    <row r="46" spans="1:26">
      <c r="B46" s="39"/>
      <c r="C46" s="20"/>
      <c r="D46" s="11"/>
      <c r="H46" s="11"/>
      <c r="K46" s="19"/>
      <c r="L46" s="14"/>
      <c r="N46" s="39" t="s">
        <v>169</v>
      </c>
      <c r="O46" s="19">
        <v>4500</v>
      </c>
      <c r="P46" s="11"/>
      <c r="Q46" s="33" t="s">
        <v>760</v>
      </c>
      <c r="S46" s="2"/>
    </row>
    <row r="47" spans="1:26">
      <c r="B47" s="12"/>
      <c r="C47" s="20"/>
      <c r="D47" s="11"/>
      <c r="E47" s="29"/>
      <c r="H47" s="11"/>
      <c r="K47" s="19"/>
      <c r="L47" s="11"/>
      <c r="N47" s="39" t="s">
        <v>169</v>
      </c>
      <c r="O47" s="19">
        <f>9500-1300</f>
        <v>8200</v>
      </c>
      <c r="P47" s="11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4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  <c r="U50" t="s">
        <v>715</v>
      </c>
      <c r="V50" t="s">
        <v>709</v>
      </c>
      <c r="W50" t="s">
        <v>770</v>
      </c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 t="s">
        <v>707</v>
      </c>
      <c r="V51" t="s">
        <v>708</v>
      </c>
      <c r="W51" t="s">
        <v>771</v>
      </c>
    </row>
    <row r="52" spans="2:28">
      <c r="B52" s="12"/>
      <c r="C52" s="1"/>
      <c r="D52" s="11"/>
      <c r="H52" s="14"/>
      <c r="L52" s="11"/>
      <c r="N52" s="39"/>
      <c r="O52" s="19"/>
      <c r="P52" s="11"/>
      <c r="S52" t="s">
        <v>702</v>
      </c>
      <c r="U52" s="2">
        <f>U36+U41+U42+U43</f>
        <v>-4562.9733333333334</v>
      </c>
      <c r="V52" s="2">
        <f>U36+U41+U43</f>
        <v>-2232.9733333333334</v>
      </c>
    </row>
    <row r="53" spans="2:28">
      <c r="B53" s="12"/>
      <c r="C53" s="1"/>
      <c r="D53" s="11"/>
      <c r="S53" s="1" t="s">
        <v>119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14373.84</v>
      </c>
      <c r="H54" s="2">
        <f>SUM(H36:H52)</f>
        <v>14373.84</v>
      </c>
      <c r="J54" t="s">
        <v>2</v>
      </c>
      <c r="K54" s="2">
        <f>SUM(K36:K51)</f>
        <v>3391.17</v>
      </c>
      <c r="L54" s="2">
        <f>SUM(L36:L49)</f>
        <v>3775.45</v>
      </c>
      <c r="N54" t="s">
        <v>2</v>
      </c>
      <c r="O54" s="2">
        <f>SUM(O36:O53)</f>
        <v>9532.76</v>
      </c>
      <c r="P54" s="2">
        <f>SUM(P36:P53)</f>
        <v>12917.32</v>
      </c>
      <c r="S54" s="1"/>
      <c r="T54" s="33" t="s">
        <v>703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0</v>
      </c>
      <c r="L55" s="2">
        <f>K54-L54</f>
        <v>-384.27999999999975</v>
      </c>
      <c r="P55" s="2">
        <f>O54-P54</f>
        <v>-3384.5599999999995</v>
      </c>
      <c r="S55" s="1" t="s">
        <v>704</v>
      </c>
      <c r="U55">
        <v>1341.46</v>
      </c>
      <c r="V55">
        <v>0</v>
      </c>
      <c r="AA55" t="s">
        <v>239</v>
      </c>
      <c r="AB55" s="1">
        <v>10261.049999999999</v>
      </c>
    </row>
    <row r="56" spans="2:28">
      <c r="P56" s="2">
        <f>P55-X44</f>
        <v>-77.879999999999654</v>
      </c>
      <c r="S56" s="1"/>
      <c r="U56" s="165">
        <f>U54+U55</f>
        <v>-2394.8433333333332</v>
      </c>
      <c r="V56" s="143">
        <f>V54+V55</f>
        <v>-1406.3033333333333</v>
      </c>
      <c r="W56" s="93">
        <v>2500</v>
      </c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-1288.8399999999999</v>
      </c>
      <c r="L58" s="2">
        <v>-384.28</v>
      </c>
      <c r="P58" s="2">
        <v>-826.77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1288.8399999999999</v>
      </c>
      <c r="I60" s="41"/>
      <c r="J60" s="41"/>
      <c r="K60" s="41"/>
      <c r="L60" s="51"/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0</v>
      </c>
      <c r="I62" s="44"/>
      <c r="J62" s="44"/>
      <c r="K62" s="44"/>
      <c r="L62" s="45">
        <f>L60+L58</f>
        <v>-384.28</v>
      </c>
      <c r="M62" s="44"/>
      <c r="N62" s="44"/>
      <c r="O62" s="44"/>
      <c r="P62" s="45">
        <f>P60+P58</f>
        <v>-826.77</v>
      </c>
      <c r="T62" t="s">
        <v>98</v>
      </c>
      <c r="V62" s="1">
        <f>Z62-Z63</f>
        <v>1018.6799999999998</v>
      </c>
      <c r="W62" s="2">
        <f>S63-V62</f>
        <v>1481.21</v>
      </c>
      <c r="X62" s="2">
        <f>W62/2</f>
        <v>740.60500000000002</v>
      </c>
      <c r="Z62" s="1">
        <v>4200</v>
      </c>
      <c r="AA62" s="2">
        <f>X64+Z62</f>
        <v>4940.6049999999996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2499.89</v>
      </c>
      <c r="Z63" s="1">
        <v>3181.32</v>
      </c>
      <c r="AA63" s="2">
        <f>X65+Z63</f>
        <v>4940.6049999999996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740.60500000000002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1759.2849999999999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13338.18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 codeName="Hoja33"/>
  <dimension ref="A1:AB87"/>
  <sheetViews>
    <sheetView workbookViewId="0">
      <selection activeCell="D13" sqref="D1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822</v>
      </c>
      <c r="P1" s="218"/>
      <c r="S1" s="218"/>
      <c r="T1" s="218"/>
    </row>
    <row r="2" spans="1:20">
      <c r="B2" s="18" t="s">
        <v>0</v>
      </c>
      <c r="C2" s="94">
        <v>4657.6899999999996</v>
      </c>
      <c r="D2" s="74"/>
      <c r="E2" s="18"/>
      <c r="F2" s="18" t="s">
        <v>0</v>
      </c>
      <c r="G2" s="75">
        <v>11058.64</v>
      </c>
      <c r="H2" s="74"/>
      <c r="I2" s="18"/>
      <c r="J2" s="18" t="s">
        <v>0</v>
      </c>
      <c r="K2" s="73">
        <v>0</v>
      </c>
      <c r="L2" s="74"/>
      <c r="N2" s="18"/>
      <c r="O2" s="73">
        <v>0</v>
      </c>
      <c r="P2" s="97"/>
      <c r="R2" s="18"/>
      <c r="S2" s="73"/>
      <c r="T2" s="97"/>
    </row>
    <row r="3" spans="1:20">
      <c r="B3" s="18" t="s">
        <v>39</v>
      </c>
      <c r="C3" s="23">
        <v>747.91</v>
      </c>
      <c r="D3" s="11"/>
      <c r="E3" s="76"/>
      <c r="F3" s="39" t="s">
        <v>201</v>
      </c>
      <c r="G3" s="101">
        <v>6000</v>
      </c>
      <c r="H3" s="11"/>
      <c r="I3" s="18"/>
      <c r="J3" s="18" t="s">
        <v>820</v>
      </c>
      <c r="K3" s="20"/>
      <c r="L3" s="77"/>
      <c r="N3" s="18" t="s">
        <v>818</v>
      </c>
      <c r="O3" s="20">
        <v>3000</v>
      </c>
      <c r="P3" s="11"/>
      <c r="R3" s="18"/>
      <c r="S3" s="20"/>
      <c r="T3" s="11"/>
    </row>
    <row r="4" spans="1:20">
      <c r="B4" s="18" t="s">
        <v>40</v>
      </c>
      <c r="C4" s="23">
        <v>8277.18</v>
      </c>
      <c r="D4" s="11"/>
      <c r="E4" s="18"/>
      <c r="F4" s="39" t="s">
        <v>94</v>
      </c>
      <c r="G4" s="101">
        <v>826.77</v>
      </c>
      <c r="H4" s="11"/>
      <c r="I4" s="18"/>
      <c r="J4" s="18"/>
      <c r="K4" s="20">
        <v>500</v>
      </c>
      <c r="L4" s="77"/>
      <c r="N4" s="18" t="s">
        <v>841</v>
      </c>
      <c r="O4" s="20"/>
      <c r="P4" s="11">
        <v>3000</v>
      </c>
      <c r="R4" s="18"/>
      <c r="S4" s="166"/>
      <c r="T4" s="11"/>
    </row>
    <row r="5" spans="1:20">
      <c r="B5" s="18" t="s">
        <v>815</v>
      </c>
      <c r="C5" s="170">
        <v>8277.18</v>
      </c>
      <c r="D5" s="11"/>
      <c r="E5" s="18"/>
      <c r="F5" s="39" t="s">
        <v>823</v>
      </c>
      <c r="G5" s="20"/>
      <c r="H5" s="11">
        <v>13127.17</v>
      </c>
      <c r="I5" s="18"/>
      <c r="J5" s="18"/>
      <c r="K5" s="20"/>
      <c r="L5" s="77"/>
      <c r="N5" s="18"/>
      <c r="O5" s="20"/>
      <c r="P5" s="11"/>
      <c r="R5" s="18"/>
      <c r="S5" s="20"/>
      <c r="T5" s="11"/>
    </row>
    <row r="6" spans="1:20">
      <c r="B6" s="18" t="s">
        <v>671</v>
      </c>
      <c r="C6" s="101">
        <v>187.66</v>
      </c>
      <c r="D6" s="11"/>
      <c r="E6" s="18"/>
      <c r="F6" s="39" t="s">
        <v>1</v>
      </c>
      <c r="G6" s="169">
        <v>3181.32</v>
      </c>
      <c r="H6" s="11"/>
      <c r="I6" s="76"/>
      <c r="J6" s="18"/>
      <c r="K6" s="20"/>
      <c r="L6" s="77"/>
      <c r="N6" s="18"/>
      <c r="O6" s="20"/>
      <c r="P6" s="11"/>
      <c r="R6" s="18"/>
      <c r="S6" s="20"/>
      <c r="T6" s="11"/>
    </row>
    <row r="7" spans="1:20">
      <c r="A7" s="1"/>
      <c r="B7" s="167" t="s">
        <v>4</v>
      </c>
      <c r="C7" s="166"/>
      <c r="D7" s="100">
        <v>1400</v>
      </c>
      <c r="E7" s="76"/>
      <c r="F7" s="39" t="s">
        <v>9</v>
      </c>
      <c r="G7" s="20"/>
      <c r="H7" s="11">
        <v>3181.32</v>
      </c>
      <c r="I7" s="76"/>
      <c r="J7" s="18"/>
      <c r="K7" s="20"/>
      <c r="L7" s="77"/>
      <c r="N7" s="18"/>
      <c r="O7" s="20"/>
      <c r="P7" s="11"/>
      <c r="R7" s="18"/>
      <c r="S7" s="20"/>
      <c r="T7" s="77"/>
    </row>
    <row r="8" spans="1:20">
      <c r="B8" s="18" t="s">
        <v>308</v>
      </c>
      <c r="C8" s="166"/>
      <c r="D8" s="100">
        <v>628.29999999999995</v>
      </c>
      <c r="E8" s="18"/>
      <c r="F8" s="39" t="s">
        <v>844</v>
      </c>
      <c r="G8" s="20">
        <v>3000</v>
      </c>
      <c r="H8" s="11"/>
      <c r="I8" s="76"/>
      <c r="J8" s="18"/>
      <c r="K8" s="20"/>
      <c r="L8" s="77"/>
      <c r="N8" s="18"/>
      <c r="O8" s="20"/>
      <c r="P8" s="19"/>
      <c r="R8" s="18"/>
      <c r="S8" s="20"/>
      <c r="T8" s="39"/>
    </row>
    <row r="9" spans="1:20">
      <c r="B9" s="39" t="s">
        <v>816</v>
      </c>
      <c r="C9" s="166"/>
      <c r="D9" s="100">
        <v>1414.85</v>
      </c>
      <c r="E9" s="163"/>
      <c r="F9" s="39" t="s">
        <v>845</v>
      </c>
      <c r="G9" s="20">
        <v>350</v>
      </c>
      <c r="H9" s="11"/>
      <c r="I9" s="18"/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817</v>
      </c>
      <c r="C10" s="169">
        <v>428.21</v>
      </c>
      <c r="D10" s="11"/>
      <c r="E10" s="76"/>
      <c r="F10" s="39" t="s">
        <v>846</v>
      </c>
      <c r="G10" s="20">
        <v>716</v>
      </c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818</v>
      </c>
      <c r="C11" s="166"/>
      <c r="D11" s="100">
        <v>3000</v>
      </c>
      <c r="E11" s="39" t="s">
        <v>819</v>
      </c>
      <c r="F11" s="39" t="s">
        <v>169</v>
      </c>
      <c r="G11" s="20"/>
      <c r="H11" s="11">
        <v>3000</v>
      </c>
      <c r="I11" s="18"/>
      <c r="J11" s="18"/>
      <c r="K11" s="20"/>
      <c r="L11" s="77"/>
    </row>
    <row r="12" spans="1:20">
      <c r="B12" s="39" t="s">
        <v>1</v>
      </c>
      <c r="C12" s="166"/>
      <c r="D12" s="100">
        <v>3181.32</v>
      </c>
      <c r="E12" s="39"/>
      <c r="F12" s="39" t="s">
        <v>165</v>
      </c>
      <c r="G12" s="20"/>
      <c r="H12" s="11">
        <v>350</v>
      </c>
      <c r="I12" s="16"/>
      <c r="J12" s="18"/>
      <c r="K12" s="20"/>
      <c r="L12" s="77"/>
    </row>
    <row r="13" spans="1:20">
      <c r="B13" s="39" t="s">
        <v>201</v>
      </c>
      <c r="C13" s="166"/>
      <c r="D13" s="100">
        <v>6000</v>
      </c>
      <c r="E13" s="39" t="s">
        <v>437</v>
      </c>
      <c r="F13" s="39" t="s">
        <v>169</v>
      </c>
      <c r="G13" s="20"/>
      <c r="H13" s="11">
        <v>716</v>
      </c>
      <c r="I13" s="18"/>
      <c r="J13" s="18"/>
      <c r="K13" s="20"/>
      <c r="L13" s="77"/>
    </row>
    <row r="14" spans="1:20">
      <c r="B14" s="39" t="s">
        <v>840</v>
      </c>
      <c r="C14" s="166"/>
      <c r="D14" s="100">
        <v>518</v>
      </c>
      <c r="E14" s="39" t="s">
        <v>17</v>
      </c>
      <c r="F14" s="39"/>
      <c r="G14" s="20"/>
      <c r="H14" s="11"/>
      <c r="I14" s="18"/>
      <c r="J14" s="18"/>
      <c r="K14" s="20"/>
      <c r="L14" s="77"/>
    </row>
    <row r="15" spans="1:20">
      <c r="B15" s="39" t="s">
        <v>663</v>
      </c>
      <c r="C15" s="166"/>
      <c r="D15" s="100">
        <v>1000</v>
      </c>
      <c r="E15" s="39" t="s">
        <v>106</v>
      </c>
      <c r="F15" s="39"/>
      <c r="G15" s="20"/>
      <c r="H15" s="11"/>
      <c r="I15" s="18"/>
      <c r="J15" s="91"/>
      <c r="K15" s="20"/>
      <c r="L15" s="77"/>
    </row>
    <row r="16" spans="1:20">
      <c r="B16" s="39" t="s">
        <v>144</v>
      </c>
      <c r="C16" s="166"/>
      <c r="D16" s="100">
        <v>348.28</v>
      </c>
      <c r="E16" s="39"/>
      <c r="F16" s="39"/>
      <c r="G16" s="20"/>
      <c r="H16" s="11"/>
      <c r="I16" s="18"/>
      <c r="J16" s="18"/>
      <c r="K16" s="20"/>
      <c r="L16" s="77"/>
    </row>
    <row r="17" spans="1:20">
      <c r="B17" s="39" t="s">
        <v>222</v>
      </c>
      <c r="C17" s="20"/>
      <c r="D17" s="100">
        <v>826.77</v>
      </c>
      <c r="E17" s="39"/>
      <c r="F17" s="39"/>
      <c r="G17" s="20"/>
      <c r="H17" s="11"/>
      <c r="I17" s="18"/>
      <c r="J17" s="18"/>
      <c r="K17" s="20"/>
      <c r="L17" s="77"/>
    </row>
    <row r="18" spans="1:20">
      <c r="B18" s="39" t="s">
        <v>820</v>
      </c>
      <c r="C18" s="20"/>
      <c r="D18" s="100">
        <v>499.78</v>
      </c>
      <c r="E18" s="39" t="s">
        <v>774</v>
      </c>
      <c r="F18" s="39"/>
      <c r="G18" s="20"/>
      <c r="H18" s="11"/>
      <c r="K18" s="20"/>
      <c r="L18" s="77"/>
    </row>
    <row r="19" spans="1:20">
      <c r="B19" s="39" t="s">
        <v>821</v>
      </c>
      <c r="C19" s="20"/>
      <c r="D19" s="100">
        <v>588</v>
      </c>
      <c r="E19" s="96"/>
      <c r="F19" s="39"/>
      <c r="G19" s="20"/>
      <c r="H19" s="11"/>
      <c r="J19" s="2"/>
      <c r="K19" s="20"/>
      <c r="L19" s="77"/>
    </row>
    <row r="20" spans="1:20">
      <c r="A20" t="s">
        <v>839</v>
      </c>
      <c r="B20" s="74" t="s">
        <v>47</v>
      </c>
      <c r="C20" s="132"/>
      <c r="D20" s="172">
        <v>600</v>
      </c>
      <c r="F20" s="39"/>
      <c r="G20" s="20"/>
      <c r="H20" s="11"/>
      <c r="K20" s="20"/>
      <c r="L20" s="77"/>
    </row>
    <row r="21" spans="1:20">
      <c r="A21" s="39"/>
      <c r="B21" s="109" t="s">
        <v>833</v>
      </c>
      <c r="C21" s="135"/>
      <c r="D21" s="173">
        <v>300</v>
      </c>
      <c r="F21" s="39"/>
      <c r="G21" s="20"/>
      <c r="H21" s="11"/>
      <c r="L21" s="77"/>
    </row>
    <row r="22" spans="1:20">
      <c r="B22" s="39" t="s">
        <v>834</v>
      </c>
      <c r="C22" s="20"/>
      <c r="D22" s="100">
        <v>350</v>
      </c>
      <c r="E22" t="s">
        <v>835</v>
      </c>
      <c r="F22" s="39"/>
      <c r="G22" s="20"/>
      <c r="H22" s="11"/>
      <c r="L22" s="77"/>
    </row>
    <row r="23" spans="1:20">
      <c r="B23" s="39" t="s">
        <v>838</v>
      </c>
      <c r="C23" s="20"/>
      <c r="D23" s="100">
        <v>134</v>
      </c>
      <c r="G23" s="20"/>
      <c r="H23" s="11"/>
      <c r="L23" s="77"/>
    </row>
    <row r="24" spans="1:20">
      <c r="B24" s="39" t="s">
        <v>836</v>
      </c>
      <c r="C24" s="20"/>
      <c r="D24" s="100">
        <v>716</v>
      </c>
      <c r="G24" s="20"/>
      <c r="H24" s="11"/>
      <c r="L24" s="77"/>
    </row>
    <row r="25" spans="1:20">
      <c r="B25" s="39" t="s">
        <v>837</v>
      </c>
      <c r="C25" s="101">
        <v>49.01</v>
      </c>
      <c r="D25" s="11"/>
      <c r="G25" s="20"/>
      <c r="H25" s="11"/>
      <c r="L25" s="77"/>
    </row>
    <row r="26" spans="1:20">
      <c r="B26" s="39" t="s">
        <v>843</v>
      </c>
      <c r="C26" s="20"/>
      <c r="D26" s="100">
        <v>115</v>
      </c>
      <c r="G26" s="20"/>
      <c r="H26" s="11"/>
      <c r="L26" s="77"/>
      <c r="R26" t="s">
        <v>80</v>
      </c>
    </row>
    <row r="27" spans="1:20">
      <c r="B27" s="39" t="s">
        <v>843</v>
      </c>
      <c r="C27" s="20"/>
      <c r="D27" s="100">
        <v>115</v>
      </c>
      <c r="G27" s="20"/>
      <c r="H27" s="11"/>
      <c r="L27" s="77"/>
    </row>
    <row r="28" spans="1:20">
      <c r="B28" s="39"/>
      <c r="C28" s="20"/>
      <c r="D28" s="11"/>
      <c r="G28" s="20"/>
      <c r="H28" s="11"/>
      <c r="L28" s="77"/>
    </row>
    <row r="29" spans="1:20">
      <c r="B29" s="39"/>
      <c r="C29" s="20"/>
      <c r="D29" s="11"/>
      <c r="G29" s="20"/>
      <c r="H29" s="11"/>
      <c r="L29" s="77"/>
    </row>
    <row r="30" spans="1:20">
      <c r="B30" s="39"/>
      <c r="C30" s="20"/>
      <c r="D30" s="11"/>
      <c r="G30" s="20"/>
      <c r="H30" s="19"/>
    </row>
    <row r="31" spans="1:20">
      <c r="B31" t="s">
        <v>2</v>
      </c>
      <c r="C31" s="2">
        <f>SUM(C2:C29)</f>
        <v>22624.839999999997</v>
      </c>
      <c r="D31" s="2">
        <f>SUM(D3:D30)</f>
        <v>21735.3</v>
      </c>
      <c r="F31" t="s">
        <v>2</v>
      </c>
      <c r="G31" s="2">
        <f>SUM(G2:G30)</f>
        <v>25132.73</v>
      </c>
      <c r="H31" s="2">
        <f>SUM(H3:H30)</f>
        <v>20374.489999999998</v>
      </c>
      <c r="J31" t="s">
        <v>2</v>
      </c>
      <c r="K31" s="2">
        <f>SUM(K1:K10)</f>
        <v>500</v>
      </c>
      <c r="L31" s="2">
        <f>SUM(L2:L10)</f>
        <v>0</v>
      </c>
      <c r="N31" t="s">
        <v>2</v>
      </c>
      <c r="O31" s="2">
        <f>SUM(O1:O10)</f>
        <v>3000</v>
      </c>
      <c r="P31" s="2">
        <f>SUM(P2:P10)</f>
        <v>3000</v>
      </c>
      <c r="R31" t="s">
        <v>2</v>
      </c>
      <c r="S31" s="2">
        <f>SUM(S1:S10)</f>
        <v>0</v>
      </c>
      <c r="T31" s="2">
        <f>SUM(T2:T10)</f>
        <v>0</v>
      </c>
    </row>
    <row r="32" spans="1:20">
      <c r="D32" s="2">
        <f>C31-D31</f>
        <v>889.53999999999724</v>
      </c>
      <c r="H32" s="2">
        <f>G31-H31</f>
        <v>4758.2400000000016</v>
      </c>
      <c r="L32" s="2">
        <f>K31-L31</f>
        <v>500</v>
      </c>
      <c r="P32" s="2">
        <f>O31-P31</f>
        <v>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143.35000000000286</v>
      </c>
      <c r="V34" s="102">
        <v>42965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168">
        <v>6400</v>
      </c>
      <c r="J36" t="s">
        <v>0</v>
      </c>
      <c r="K36" s="3"/>
      <c r="L36" s="168">
        <v>2452.12</v>
      </c>
      <c r="M36" s="33"/>
      <c r="N36" t="s">
        <v>0</v>
      </c>
      <c r="O36" s="3">
        <v>-14780.3</v>
      </c>
      <c r="P36" s="4"/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16</v>
      </c>
      <c r="W36" s="2">
        <f>U36*V36</f>
        <v>-4442.666666666667</v>
      </c>
      <c r="X36" s="2">
        <f>S36-W36</f>
        <v>-555.33333333333303</v>
      </c>
    </row>
    <row r="37" spans="1:26">
      <c r="B37" s="39" t="s">
        <v>503</v>
      </c>
      <c r="C37" s="1"/>
      <c r="D37" s="1">
        <v>0</v>
      </c>
      <c r="F37" t="s">
        <v>47</v>
      </c>
      <c r="G37" s="1"/>
      <c r="H37" s="100">
        <v>344</v>
      </c>
      <c r="J37" t="s">
        <v>824</v>
      </c>
      <c r="K37" s="171">
        <v>628.29999999999995</v>
      </c>
      <c r="L37" s="14"/>
      <c r="M37" s="29"/>
      <c r="N37" t="s">
        <v>827</v>
      </c>
      <c r="P37" s="11">
        <v>22.4</v>
      </c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F38" t="s">
        <v>179</v>
      </c>
      <c r="G38" s="1"/>
      <c r="H38" s="100">
        <v>112</v>
      </c>
      <c r="I38" s="8"/>
      <c r="J38" t="s">
        <v>349</v>
      </c>
      <c r="K38" s="171">
        <v>1414.85</v>
      </c>
      <c r="L38" s="14"/>
      <c r="N38" t="s">
        <v>169</v>
      </c>
      <c r="O38" s="19">
        <v>13150</v>
      </c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F39" t="s">
        <v>169</v>
      </c>
      <c r="G39" s="101">
        <v>456</v>
      </c>
      <c r="H39" s="11"/>
      <c r="J39" t="s">
        <v>94</v>
      </c>
      <c r="K39" s="171">
        <v>348.28</v>
      </c>
      <c r="L39" s="14"/>
      <c r="N39" s="39" t="s">
        <v>829</v>
      </c>
      <c r="O39" s="19"/>
      <c r="P39" s="11">
        <v>130.91999999999999</v>
      </c>
      <c r="Q39" s="29"/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F40" t="s">
        <v>427</v>
      </c>
      <c r="G40" s="1"/>
      <c r="H40" s="11">
        <v>669</v>
      </c>
      <c r="K40" s="19"/>
      <c r="L40" s="14"/>
      <c r="N40" s="39" t="s">
        <v>91</v>
      </c>
      <c r="O40" s="19"/>
      <c r="P40" s="11">
        <v>219</v>
      </c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 t="s">
        <v>825</v>
      </c>
      <c r="G41" s="1"/>
      <c r="H41" s="11">
        <v>40</v>
      </c>
      <c r="K41" s="19"/>
      <c r="L41" s="14"/>
      <c r="M41" s="29"/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10</v>
      </c>
      <c r="W41" s="2">
        <f t="shared" si="1"/>
        <v>-5490.0333333333328</v>
      </c>
      <c r="X41" s="2">
        <f t="shared" si="2"/>
        <v>-1098.0066666666671</v>
      </c>
    </row>
    <row r="42" spans="1:26">
      <c r="B42" s="39"/>
      <c r="C42" s="20"/>
      <c r="D42" s="11"/>
      <c r="F42" t="s">
        <v>20</v>
      </c>
      <c r="G42" s="1"/>
      <c r="H42" s="11">
        <v>129</v>
      </c>
      <c r="K42" s="19"/>
      <c r="L42" s="14"/>
      <c r="M42" s="29"/>
      <c r="N42" s="39" t="s">
        <v>830</v>
      </c>
      <c r="O42" s="19"/>
      <c r="P42" s="11">
        <v>1306</v>
      </c>
      <c r="Q42" s="29"/>
      <c r="R42" t="s">
        <v>630</v>
      </c>
      <c r="S42" s="101">
        <v>-6990</v>
      </c>
      <c r="T42" s="118">
        <v>3</v>
      </c>
      <c r="U42" s="119">
        <f t="shared" si="0"/>
        <v>-2330</v>
      </c>
      <c r="V42" s="118">
        <v>3</v>
      </c>
      <c r="W42" s="119">
        <f t="shared" si="1"/>
        <v>-6990</v>
      </c>
      <c r="X42" s="119">
        <f t="shared" si="2"/>
        <v>0</v>
      </c>
    </row>
    <row r="43" spans="1:26">
      <c r="B43" s="39"/>
      <c r="C43" s="20"/>
      <c r="D43" s="11"/>
      <c r="F43" t="s">
        <v>826</v>
      </c>
      <c r="G43" s="1">
        <v>6400</v>
      </c>
      <c r="H43" s="11"/>
      <c r="K43" s="19"/>
      <c r="L43" s="14"/>
      <c r="N43" s="39" t="s">
        <v>828</v>
      </c>
      <c r="O43" s="19"/>
      <c r="P43" s="11">
        <v>768.05</v>
      </c>
      <c r="Q43" s="29"/>
      <c r="R43" t="s">
        <v>493</v>
      </c>
      <c r="S43" s="101">
        <v>-4218.91</v>
      </c>
      <c r="T43" s="118">
        <v>3</v>
      </c>
      <c r="U43" s="119">
        <f t="shared" si="0"/>
        <v>-1406.3033333333333</v>
      </c>
      <c r="V43" s="118">
        <v>3</v>
      </c>
      <c r="W43" s="119">
        <f t="shared" si="1"/>
        <v>-4218.91</v>
      </c>
      <c r="X43" s="119">
        <f t="shared" si="2"/>
        <v>0</v>
      </c>
    </row>
    <row r="44" spans="1:26">
      <c r="B44" s="39"/>
      <c r="C44" s="20"/>
      <c r="D44" s="11"/>
      <c r="G44" s="1"/>
      <c r="H44" s="11"/>
      <c r="K44" s="19"/>
      <c r="L44" s="14"/>
      <c r="N44" s="39" t="s">
        <v>831</v>
      </c>
      <c r="O44" s="19"/>
      <c r="P44" s="11">
        <v>174.2</v>
      </c>
      <c r="Q44" s="8"/>
      <c r="R44" t="s">
        <v>11</v>
      </c>
      <c r="S44" s="2">
        <f>SUM(S36:S43)</f>
        <v>-57840.649999999994</v>
      </c>
      <c r="X44" s="2">
        <f>SUM(X36:X43)</f>
        <v>-1653.3400000000001</v>
      </c>
    </row>
    <row r="45" spans="1:26">
      <c r="B45" s="39"/>
      <c r="C45" s="20"/>
      <c r="D45" s="11"/>
      <c r="H45" s="11"/>
      <c r="K45" s="19"/>
      <c r="L45" s="14"/>
      <c r="N45" s="39" t="s">
        <v>832</v>
      </c>
      <c r="O45" s="19"/>
      <c r="P45" s="11">
        <v>570.54</v>
      </c>
    </row>
    <row r="46" spans="1:26">
      <c r="B46" s="39"/>
      <c r="C46" s="20"/>
      <c r="D46" s="11"/>
      <c r="H46" s="11"/>
      <c r="K46" s="19"/>
      <c r="L46" s="14"/>
      <c r="N46" s="39"/>
      <c r="O46" s="19"/>
      <c r="P46" s="11"/>
      <c r="Q46" s="33"/>
      <c r="S46" s="2"/>
    </row>
    <row r="47" spans="1:26">
      <c r="B47" s="12"/>
      <c r="C47" s="20"/>
      <c r="D47" s="11"/>
      <c r="E47" s="29"/>
      <c r="H47" s="11"/>
      <c r="K47" s="19"/>
      <c r="L47" s="11"/>
      <c r="N47" s="39" t="s">
        <v>842</v>
      </c>
      <c r="O47" s="19"/>
      <c r="P47" s="11">
        <v>899</v>
      </c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4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 t="s">
        <v>169</v>
      </c>
      <c r="O49" s="19">
        <v>350</v>
      </c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 t="s">
        <v>169</v>
      </c>
      <c r="O50" s="19">
        <v>3000</v>
      </c>
      <c r="P50" s="11"/>
      <c r="S50" s="2"/>
      <c r="U50" t="s">
        <v>715</v>
      </c>
      <c r="V50" t="s">
        <v>709</v>
      </c>
      <c r="W50" t="s">
        <v>770</v>
      </c>
    </row>
    <row r="51" spans="2:28">
      <c r="B51" s="12"/>
      <c r="C51" s="1"/>
      <c r="D51" s="11"/>
      <c r="E51" s="29"/>
      <c r="H51" s="11"/>
      <c r="L51" s="11"/>
      <c r="M51" s="33"/>
      <c r="N51" s="39" t="s">
        <v>169</v>
      </c>
      <c r="O51" s="19">
        <v>716</v>
      </c>
      <c r="P51" s="11"/>
      <c r="U51" s="29" t="s">
        <v>707</v>
      </c>
      <c r="V51" t="s">
        <v>708</v>
      </c>
      <c r="W51" t="s">
        <v>771</v>
      </c>
    </row>
    <row r="52" spans="2:28">
      <c r="B52" s="12"/>
      <c r="C52" s="1"/>
      <c r="D52" s="11"/>
      <c r="H52" s="14"/>
      <c r="L52" s="11"/>
      <c r="N52" s="39"/>
      <c r="O52" s="19"/>
      <c r="P52" s="11"/>
      <c r="S52" t="s">
        <v>702</v>
      </c>
      <c r="U52" s="2">
        <f>U36+U41+U42+U43</f>
        <v>-4562.9733333333334</v>
      </c>
      <c r="V52" s="2">
        <f>U36+U41+U43</f>
        <v>-2232.9733333333334</v>
      </c>
    </row>
    <row r="53" spans="2:28">
      <c r="B53" s="12"/>
      <c r="C53" s="1"/>
      <c r="D53" s="11"/>
      <c r="S53" s="1" t="s">
        <v>119</v>
      </c>
      <c r="U53">
        <v>826.67</v>
      </c>
      <c r="V53">
        <v>826.67</v>
      </c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6856</v>
      </c>
      <c r="H54" s="2">
        <f>SUM(H36:H52)</f>
        <v>7694</v>
      </c>
      <c r="J54" t="s">
        <v>2</v>
      </c>
      <c r="K54" s="2">
        <f>SUM(K36:K51)</f>
        <v>2391.4299999999998</v>
      </c>
      <c r="L54" s="2">
        <f>SUM(L36:L49)</f>
        <v>2452.12</v>
      </c>
      <c r="N54" t="s">
        <v>2</v>
      </c>
      <c r="O54" s="2">
        <f>SUM(O36:O53)</f>
        <v>2435.7000000000007</v>
      </c>
      <c r="P54" s="2">
        <f>SUM(P36:P53)</f>
        <v>4090.1099999999997</v>
      </c>
      <c r="S54" s="1"/>
      <c r="T54" s="33" t="s">
        <v>703</v>
      </c>
      <c r="U54" s="2">
        <f>U52+U53</f>
        <v>-3736.3033333333333</v>
      </c>
      <c r="V54" s="2">
        <f>V52+V53</f>
        <v>-1406.3033333333333</v>
      </c>
    </row>
    <row r="55" spans="2:28">
      <c r="D55" s="2">
        <f>C54-D54</f>
        <v>0</v>
      </c>
      <c r="H55" s="2">
        <f>G54-H54</f>
        <v>-838</v>
      </c>
      <c r="L55" s="2">
        <f>K54-L54</f>
        <v>-60.690000000000055</v>
      </c>
      <c r="P55" s="2">
        <f>O54-P54</f>
        <v>-1654.4099999999989</v>
      </c>
      <c r="S55" s="1" t="s">
        <v>704</v>
      </c>
      <c r="U55">
        <v>1341.46</v>
      </c>
      <c r="V55">
        <v>0</v>
      </c>
      <c r="AA55" t="s">
        <v>239</v>
      </c>
      <c r="AB55" s="1">
        <v>10261.049999999999</v>
      </c>
    </row>
    <row r="56" spans="2:28">
      <c r="P56" s="2">
        <f>P55-X44</f>
        <v>-1.0699999999987995</v>
      </c>
      <c r="S56" s="1"/>
      <c r="U56" s="165">
        <f>U54+U55</f>
        <v>-2394.8433333333332</v>
      </c>
      <c r="V56" s="143">
        <f>V54+V55</f>
        <v>-1406.3033333333333</v>
      </c>
      <c r="W56" s="93">
        <v>2500</v>
      </c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-1288.8399999999999</v>
      </c>
      <c r="L58" s="2">
        <v>-384.28</v>
      </c>
      <c r="P58" s="2">
        <v>-826.77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1288.8399999999999</v>
      </c>
      <c r="I60" s="41"/>
      <c r="J60" s="41"/>
      <c r="K60" s="41"/>
      <c r="L60" s="51"/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0</v>
      </c>
      <c r="I62" s="44"/>
      <c r="J62" s="44"/>
      <c r="K62" s="44"/>
      <c r="L62" s="45">
        <f>L60+L58</f>
        <v>-384.28</v>
      </c>
      <c r="M62" s="44"/>
      <c r="N62" s="44"/>
      <c r="O62" s="44"/>
      <c r="P62" s="45">
        <f>P60+P58</f>
        <v>-826.77</v>
      </c>
      <c r="T62" t="s">
        <v>98</v>
      </c>
      <c r="V62" s="1">
        <f>Z62-Z63</f>
        <v>1018.6799999999998</v>
      </c>
      <c r="W62" s="2">
        <f>S63-V62</f>
        <v>1481.21</v>
      </c>
      <c r="X62" s="2">
        <f>W62/2</f>
        <v>740.60500000000002</v>
      </c>
      <c r="Z62" s="1">
        <v>4200</v>
      </c>
      <c r="AA62" s="2">
        <f>X64+Z62</f>
        <v>4940.6049999999996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2499.89</v>
      </c>
      <c r="Z63" s="1">
        <v>3181.32</v>
      </c>
      <c r="AA63" s="2">
        <f>X65+Z63</f>
        <v>4940.6049999999996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740.60500000000002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1759.2849999999999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12500.18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3" priority="1" operator="less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Hoja34"/>
  <dimension ref="A1:AB87"/>
  <sheetViews>
    <sheetView workbookViewId="0">
      <selection activeCell="C15" sqref="C15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822</v>
      </c>
      <c r="P1" s="218"/>
      <c r="S1" s="218"/>
      <c r="T1" s="218"/>
    </row>
    <row r="2" spans="1:20">
      <c r="B2" s="18" t="s">
        <v>0</v>
      </c>
      <c r="C2" s="94">
        <v>1224.54</v>
      </c>
      <c r="D2" s="74"/>
      <c r="E2" s="18"/>
      <c r="F2" s="18" t="s">
        <v>0</v>
      </c>
      <c r="G2" s="75">
        <v>4735.41</v>
      </c>
      <c r="H2" s="74"/>
      <c r="I2" s="18"/>
      <c r="J2" s="18" t="s">
        <v>0</v>
      </c>
      <c r="K2" s="73">
        <v>500</v>
      </c>
      <c r="L2" s="74"/>
      <c r="N2" s="18"/>
      <c r="O2" s="73">
        <v>0</v>
      </c>
      <c r="P2" s="97"/>
      <c r="R2" s="18"/>
      <c r="S2" s="73"/>
      <c r="T2" s="97"/>
    </row>
    <row r="3" spans="1:20">
      <c r="B3" t="s">
        <v>847</v>
      </c>
      <c r="D3" s="100">
        <v>250</v>
      </c>
      <c r="E3" s="76"/>
      <c r="F3" s="39" t="s">
        <v>201</v>
      </c>
      <c r="G3" s="20">
        <v>6000</v>
      </c>
      <c r="H3" s="11"/>
      <c r="I3" s="18"/>
      <c r="J3" s="18" t="s">
        <v>620</v>
      </c>
      <c r="K3" s="20">
        <v>1</v>
      </c>
      <c r="L3" s="77"/>
      <c r="N3" s="18" t="s">
        <v>818</v>
      </c>
      <c r="O3" s="20">
        <v>3000</v>
      </c>
      <c r="P3" s="11"/>
      <c r="R3" s="18"/>
      <c r="S3" s="20"/>
      <c r="T3" s="11"/>
    </row>
    <row r="4" spans="1:20">
      <c r="B4" t="s">
        <v>3</v>
      </c>
      <c r="D4" s="100">
        <v>900</v>
      </c>
      <c r="E4" s="18"/>
      <c r="F4" s="39" t="s">
        <v>853</v>
      </c>
      <c r="G4" s="20"/>
      <c r="H4" s="11">
        <v>3899</v>
      </c>
      <c r="I4" s="18"/>
      <c r="J4" s="18"/>
      <c r="K4" s="20">
        <v>1001.09</v>
      </c>
      <c r="L4" s="77"/>
      <c r="N4" s="18" t="s">
        <v>841</v>
      </c>
      <c r="O4" s="20"/>
      <c r="P4" s="11">
        <v>3000</v>
      </c>
      <c r="R4" s="18"/>
      <c r="S4" s="166"/>
      <c r="T4" s="11"/>
    </row>
    <row r="5" spans="1:20">
      <c r="B5" s="18" t="s">
        <v>39</v>
      </c>
      <c r="C5" s="23">
        <v>426.72</v>
      </c>
      <c r="D5" s="11"/>
      <c r="E5" s="18"/>
      <c r="F5" s="39"/>
      <c r="G5" s="20"/>
      <c r="H5" s="11"/>
      <c r="I5" s="18"/>
      <c r="J5" s="18"/>
      <c r="K5" s="20"/>
      <c r="L5" s="77"/>
      <c r="N5" s="18" t="s">
        <v>854</v>
      </c>
      <c r="O5" s="20">
        <v>900</v>
      </c>
      <c r="P5" s="11"/>
      <c r="R5" s="18"/>
      <c r="S5" s="20"/>
      <c r="T5" s="11"/>
    </row>
    <row r="6" spans="1:20">
      <c r="B6" s="18" t="s">
        <v>40</v>
      </c>
      <c r="C6" s="23">
        <v>8291.7800000000007</v>
      </c>
      <c r="D6" s="11"/>
      <c r="E6" s="18"/>
      <c r="F6" s="39"/>
      <c r="G6" s="20"/>
      <c r="H6" s="11"/>
      <c r="I6" s="76"/>
      <c r="J6" s="18"/>
      <c r="K6" s="20"/>
      <c r="L6" s="77"/>
      <c r="N6" s="18" t="s">
        <v>855</v>
      </c>
      <c r="O6" s="20">
        <v>3000</v>
      </c>
      <c r="P6" s="11"/>
      <c r="R6" s="18"/>
      <c r="S6" s="20"/>
      <c r="T6" s="11"/>
    </row>
    <row r="7" spans="1:20">
      <c r="A7" s="1"/>
      <c r="B7" s="39" t="s">
        <v>815</v>
      </c>
      <c r="C7" s="23">
        <v>8291.7800000000007</v>
      </c>
      <c r="D7" s="11"/>
      <c r="E7" s="76"/>
      <c r="F7" s="39"/>
      <c r="G7" s="20"/>
      <c r="H7" s="11"/>
      <c r="I7" s="76"/>
      <c r="J7" s="18"/>
      <c r="K7" s="20"/>
      <c r="L7" s="77"/>
      <c r="N7" s="18"/>
      <c r="O7" s="20"/>
      <c r="P7" s="11"/>
      <c r="R7" s="18"/>
      <c r="S7" s="20"/>
      <c r="T7" s="77"/>
    </row>
    <row r="8" spans="1:20">
      <c r="B8" s="39" t="s">
        <v>848</v>
      </c>
      <c r="C8" s="166"/>
      <c r="D8" s="100">
        <v>1001.09</v>
      </c>
      <c r="E8" s="18" t="s">
        <v>849</v>
      </c>
      <c r="F8" s="39"/>
      <c r="G8" s="20"/>
      <c r="H8" s="11"/>
      <c r="I8" s="76"/>
      <c r="J8" s="18"/>
      <c r="K8" s="20"/>
      <c r="L8" s="77"/>
      <c r="N8" s="18"/>
      <c r="O8" s="20"/>
      <c r="P8" s="19"/>
      <c r="R8" s="18"/>
      <c r="S8" s="20"/>
      <c r="T8" s="39"/>
    </row>
    <row r="9" spans="1:20">
      <c r="B9" s="39" t="s">
        <v>201</v>
      </c>
      <c r="C9" s="166"/>
      <c r="D9" s="100">
        <v>6000</v>
      </c>
      <c r="E9" s="174" t="s">
        <v>437</v>
      </c>
      <c r="F9" s="39"/>
      <c r="G9" s="20"/>
      <c r="H9" s="11"/>
      <c r="I9" s="18"/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43</v>
      </c>
      <c r="C10" s="166"/>
      <c r="D10" s="100">
        <v>4200</v>
      </c>
      <c r="E10" s="76"/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592</v>
      </c>
      <c r="C11" s="166"/>
      <c r="D11" s="100">
        <v>403.11</v>
      </c>
      <c r="E11" s="39"/>
      <c r="F11" s="39"/>
      <c r="G11" s="20"/>
      <c r="H11" s="11"/>
      <c r="I11" s="18"/>
      <c r="J11" s="18"/>
      <c r="K11" s="20"/>
      <c r="L11" s="77"/>
    </row>
    <row r="12" spans="1:20">
      <c r="B12" s="39" t="s">
        <v>76</v>
      </c>
      <c r="C12" s="166"/>
      <c r="D12" s="100">
        <v>1400</v>
      </c>
      <c r="E12" s="39"/>
      <c r="F12" s="39"/>
      <c r="G12" s="20"/>
      <c r="H12" s="11"/>
      <c r="I12" s="16"/>
      <c r="J12" s="18"/>
      <c r="K12" s="20"/>
      <c r="L12" s="77"/>
    </row>
    <row r="13" spans="1:20">
      <c r="B13" s="39" t="s">
        <v>436</v>
      </c>
      <c r="C13" s="166"/>
      <c r="D13" s="100">
        <v>1500</v>
      </c>
      <c r="E13" s="39"/>
      <c r="F13" s="39"/>
      <c r="G13" s="20"/>
      <c r="H13" s="11"/>
      <c r="I13" s="18"/>
      <c r="J13" s="18"/>
      <c r="K13" s="20"/>
      <c r="L13" s="77"/>
    </row>
    <row r="14" spans="1:20">
      <c r="B14" s="39" t="s">
        <v>748</v>
      </c>
      <c r="C14" s="166"/>
      <c r="D14" s="100">
        <v>1500</v>
      </c>
      <c r="E14" s="39"/>
      <c r="F14" s="39"/>
      <c r="G14" s="20"/>
      <c r="H14" s="11"/>
      <c r="I14" s="18"/>
      <c r="J14" s="18"/>
      <c r="K14" s="20"/>
      <c r="L14" s="77"/>
    </row>
    <row r="15" spans="1:20">
      <c r="B15" s="39"/>
      <c r="C15" s="166"/>
      <c r="D15" s="11"/>
      <c r="E15" s="39"/>
      <c r="F15" s="39"/>
      <c r="G15" s="20"/>
      <c r="H15" s="11"/>
      <c r="I15" s="18"/>
      <c r="J15" s="91"/>
      <c r="K15" s="20"/>
      <c r="L15" s="77"/>
    </row>
    <row r="16" spans="1:20">
      <c r="B16" s="39"/>
      <c r="C16" s="166"/>
      <c r="D16" s="11"/>
      <c r="E16" s="39"/>
      <c r="F16" s="39"/>
      <c r="G16" s="20"/>
      <c r="H16" s="11"/>
      <c r="I16" s="18"/>
      <c r="J16" s="18"/>
      <c r="K16" s="20"/>
      <c r="L16" s="77"/>
    </row>
    <row r="17" spans="2:20">
      <c r="B17" s="39"/>
      <c r="C17" s="166"/>
      <c r="D17" s="11"/>
      <c r="E17" s="39"/>
      <c r="F17" s="39"/>
      <c r="G17" s="20"/>
      <c r="H17" s="11"/>
      <c r="I17" s="18"/>
      <c r="J17" s="18"/>
      <c r="K17" s="20"/>
      <c r="L17" s="77"/>
    </row>
    <row r="18" spans="2:20">
      <c r="B18" s="39"/>
      <c r="C18" s="166"/>
      <c r="D18" s="11"/>
      <c r="E18" s="39"/>
      <c r="F18" s="39"/>
      <c r="G18" s="20"/>
      <c r="H18" s="11"/>
      <c r="K18" s="20"/>
      <c r="L18" s="77"/>
    </row>
    <row r="19" spans="2:20">
      <c r="B19" s="39"/>
      <c r="C19" s="166"/>
      <c r="D19" s="11"/>
      <c r="E19" s="96"/>
      <c r="F19" s="39"/>
      <c r="G19" s="20"/>
      <c r="H19" s="11"/>
      <c r="J19" s="2"/>
      <c r="K19" s="20"/>
      <c r="L19" s="77"/>
    </row>
    <row r="20" spans="2:20">
      <c r="B20" s="39"/>
      <c r="C20" s="166"/>
      <c r="D20" s="11"/>
      <c r="F20" s="39"/>
      <c r="G20" s="20"/>
      <c r="H20" s="11"/>
      <c r="K20" s="20"/>
      <c r="L20" s="77"/>
    </row>
    <row r="21" spans="2:20">
      <c r="B21" s="39"/>
      <c r="C21" s="166"/>
      <c r="D21" s="11"/>
      <c r="F21" s="39"/>
      <c r="G21" s="20"/>
      <c r="H21" s="11"/>
      <c r="L21" s="77"/>
    </row>
    <row r="22" spans="2:20">
      <c r="B22" s="39"/>
      <c r="C22" s="166"/>
      <c r="D22" s="11"/>
      <c r="F22" s="39"/>
      <c r="G22" s="20"/>
      <c r="H22" s="11"/>
      <c r="L22" s="77"/>
    </row>
    <row r="23" spans="2:20">
      <c r="B23" s="39"/>
      <c r="C23" s="166"/>
      <c r="D23" s="11"/>
      <c r="G23" s="20"/>
      <c r="H23" s="11"/>
      <c r="L23" s="77"/>
    </row>
    <row r="24" spans="2:20">
      <c r="B24" s="39"/>
      <c r="C24" s="166"/>
      <c r="D24" s="11"/>
      <c r="G24" s="20"/>
      <c r="H24" s="11"/>
      <c r="L24" s="77"/>
    </row>
    <row r="25" spans="2:20">
      <c r="B25" s="39"/>
      <c r="C25" s="166"/>
      <c r="D25" s="11"/>
      <c r="G25" s="20"/>
      <c r="H25" s="11"/>
      <c r="L25" s="77"/>
    </row>
    <row r="26" spans="2:20">
      <c r="B26" s="39"/>
      <c r="C26" s="166"/>
      <c r="D26" s="11"/>
      <c r="G26" s="20"/>
      <c r="H26" s="11"/>
      <c r="L26" s="77"/>
      <c r="R26" t="s">
        <v>80</v>
      </c>
    </row>
    <row r="27" spans="2:20">
      <c r="B27" s="39"/>
      <c r="C27" s="166"/>
      <c r="D27" s="11"/>
      <c r="G27" s="20"/>
      <c r="H27" s="11"/>
      <c r="L27" s="77"/>
    </row>
    <row r="28" spans="2:20">
      <c r="B28" s="39"/>
      <c r="C28" s="166"/>
      <c r="D28" s="11"/>
      <c r="G28" s="20"/>
      <c r="H28" s="11"/>
      <c r="L28" s="77"/>
    </row>
    <row r="29" spans="2:20">
      <c r="B29" s="39"/>
      <c r="C29" s="20"/>
      <c r="D29" s="11"/>
      <c r="G29" s="20"/>
      <c r="H29" s="11"/>
      <c r="L29" s="77"/>
    </row>
    <row r="30" spans="2:20">
      <c r="B30" s="39"/>
      <c r="C30" s="20"/>
      <c r="D30" s="11"/>
      <c r="G30" s="20"/>
      <c r="H30" s="19"/>
    </row>
    <row r="31" spans="2:20">
      <c r="B31" t="s">
        <v>2</v>
      </c>
      <c r="C31" s="2">
        <f>SUM(C2:C29)</f>
        <v>18234.82</v>
      </c>
      <c r="D31" s="2">
        <f>SUM(D3:D30)</f>
        <v>17154.2</v>
      </c>
      <c r="F31" t="s">
        <v>2</v>
      </c>
      <c r="G31" s="2">
        <f>SUM(G2:G30)</f>
        <v>10735.41</v>
      </c>
      <c r="H31" s="2">
        <f>SUM(H3:H30)</f>
        <v>3899</v>
      </c>
      <c r="J31" t="s">
        <v>2</v>
      </c>
      <c r="K31" s="2">
        <f>SUM(K1:K10)</f>
        <v>1502.0900000000001</v>
      </c>
      <c r="L31" s="2">
        <f>SUM(L2:L10)</f>
        <v>0</v>
      </c>
      <c r="N31" t="s">
        <v>2</v>
      </c>
      <c r="O31" s="2">
        <f>SUM(O1:O10)</f>
        <v>6900</v>
      </c>
      <c r="P31" s="2">
        <f>SUM(P2:P10)</f>
        <v>3000</v>
      </c>
      <c r="R31" t="s">
        <v>2</v>
      </c>
      <c r="S31" s="2">
        <f>SUM(S1:S10)</f>
        <v>0</v>
      </c>
      <c r="T31" s="2">
        <f>SUM(T2:T10)</f>
        <v>0</v>
      </c>
    </row>
    <row r="32" spans="2:20">
      <c r="D32" s="2">
        <f>C31-D31</f>
        <v>1080.619999999999</v>
      </c>
      <c r="H32" s="2">
        <f>G31-H31</f>
        <v>6836.41</v>
      </c>
      <c r="L32" s="2">
        <f>K31-L31</f>
        <v>1502.0900000000001</v>
      </c>
      <c r="P32" s="2">
        <f>O31-P31</f>
        <v>3900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-47.729999999998881</v>
      </c>
      <c r="V34" s="102">
        <v>42965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168">
        <v>7606.84</v>
      </c>
      <c r="J36" t="s">
        <v>0</v>
      </c>
      <c r="K36" s="3"/>
      <c r="L36" s="168">
        <v>1784.99</v>
      </c>
      <c r="M36" s="33"/>
      <c r="N36" t="s">
        <v>0</v>
      </c>
      <c r="O36" s="3"/>
      <c r="P36" s="168">
        <v>1654.41</v>
      </c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16</v>
      </c>
      <c r="W36" s="2">
        <f>U36*V36</f>
        <v>-4442.666666666667</v>
      </c>
      <c r="X36" s="2">
        <f>S36-W36</f>
        <v>-555.33333333333303</v>
      </c>
    </row>
    <row r="37" spans="1:26">
      <c r="B37" s="39" t="s">
        <v>503</v>
      </c>
      <c r="C37" s="1"/>
      <c r="D37" s="1">
        <v>0</v>
      </c>
      <c r="G37" s="1"/>
      <c r="H37" s="11"/>
      <c r="J37" t="s">
        <v>850</v>
      </c>
      <c r="K37" s="19">
        <v>1168</v>
      </c>
      <c r="L37" s="14"/>
      <c r="M37" s="29" t="s">
        <v>285</v>
      </c>
      <c r="P37" s="11"/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G38" s="1"/>
      <c r="H38" s="11"/>
      <c r="I38" s="8"/>
      <c r="J38" t="s">
        <v>852</v>
      </c>
      <c r="K38" s="1">
        <f>14.15*18.15</f>
        <v>256.82249999999999</v>
      </c>
      <c r="L38" s="14"/>
      <c r="O38" s="19"/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G39" s="1"/>
      <c r="H39" s="11"/>
      <c r="J39" t="s">
        <v>851</v>
      </c>
      <c r="K39" s="19">
        <v>360.17</v>
      </c>
      <c r="L39" s="14"/>
      <c r="N39" s="39"/>
      <c r="O39" s="19"/>
      <c r="P39" s="11"/>
      <c r="Q39" s="29"/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G40" s="1"/>
      <c r="H40" s="11"/>
      <c r="K40" s="19"/>
      <c r="L40" s="14"/>
      <c r="N40" s="39"/>
      <c r="O40" s="19"/>
      <c r="P40" s="11"/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/>
      <c r="G41" s="1"/>
      <c r="H41" s="11"/>
      <c r="K41" s="19"/>
      <c r="L41" s="14"/>
      <c r="M41" s="29"/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10</v>
      </c>
      <c r="W41" s="2">
        <f t="shared" si="1"/>
        <v>-5490.0333333333328</v>
      </c>
      <c r="X41" s="2">
        <f t="shared" si="2"/>
        <v>-1098.0066666666671</v>
      </c>
    </row>
    <row r="42" spans="1:26">
      <c r="B42" s="39"/>
      <c r="C42" s="20"/>
      <c r="D42" s="11"/>
      <c r="G42" s="1"/>
      <c r="H42" s="11"/>
      <c r="K42" s="19"/>
      <c r="L42" s="14"/>
      <c r="M42" s="29"/>
      <c r="N42" s="39"/>
      <c r="O42" s="19"/>
      <c r="P42" s="11"/>
      <c r="Q42" s="29"/>
      <c r="R42" t="s">
        <v>630</v>
      </c>
      <c r="S42" s="101">
        <v>-6990</v>
      </c>
      <c r="T42" s="118">
        <v>3</v>
      </c>
      <c r="U42" s="119">
        <f t="shared" si="0"/>
        <v>-2330</v>
      </c>
      <c r="V42" s="118">
        <v>3</v>
      </c>
      <c r="W42" s="119">
        <f t="shared" si="1"/>
        <v>-6990</v>
      </c>
      <c r="X42" s="119">
        <f t="shared" si="2"/>
        <v>0</v>
      </c>
    </row>
    <row r="43" spans="1:26">
      <c r="B43" s="39"/>
      <c r="C43" s="20"/>
      <c r="D43" s="11"/>
      <c r="F43" t="s">
        <v>826</v>
      </c>
      <c r="G43" s="1">
        <v>1000</v>
      </c>
      <c r="H43" s="11"/>
      <c r="K43" s="19"/>
      <c r="L43" s="14"/>
      <c r="N43" s="39"/>
      <c r="O43" s="19"/>
      <c r="P43" s="11"/>
      <c r="Q43" s="29"/>
      <c r="R43" t="s">
        <v>493</v>
      </c>
      <c r="S43" s="101">
        <v>-4218.91</v>
      </c>
      <c r="T43" s="118">
        <v>3</v>
      </c>
      <c r="U43" s="119">
        <f t="shared" si="0"/>
        <v>-1406.3033333333333</v>
      </c>
      <c r="V43" s="118">
        <v>3</v>
      </c>
      <c r="W43" s="119">
        <f t="shared" si="1"/>
        <v>-4218.91</v>
      </c>
      <c r="X43" s="119">
        <f t="shared" si="2"/>
        <v>0</v>
      </c>
    </row>
    <row r="44" spans="1:26">
      <c r="B44" s="39"/>
      <c r="C44" s="20"/>
      <c r="D44" s="11"/>
      <c r="F44" t="s">
        <v>856</v>
      </c>
      <c r="G44" s="1">
        <v>403.11</v>
      </c>
      <c r="H44" s="11"/>
      <c r="K44" s="19"/>
      <c r="L44" s="14"/>
      <c r="N44" s="39"/>
      <c r="O44" s="19"/>
      <c r="P44" s="11"/>
      <c r="Q44" s="8"/>
      <c r="R44" t="s">
        <v>11</v>
      </c>
      <c r="S44" s="2">
        <f>SUM(S36:S43)</f>
        <v>-57840.649999999994</v>
      </c>
      <c r="X44" s="2">
        <f>SUM(X36:X43)</f>
        <v>-1653.3400000000001</v>
      </c>
    </row>
    <row r="45" spans="1:26">
      <c r="B45" s="39"/>
      <c r="C45" s="20"/>
      <c r="D45" s="11"/>
      <c r="F45" t="s">
        <v>857</v>
      </c>
      <c r="H45" s="11">
        <v>40.6</v>
      </c>
      <c r="K45" s="19"/>
      <c r="L45" s="14"/>
      <c r="N45" s="39"/>
      <c r="O45" s="19"/>
      <c r="P45" s="11"/>
    </row>
    <row r="46" spans="1:26">
      <c r="B46" s="39"/>
      <c r="C46" s="20"/>
      <c r="D46" s="11"/>
      <c r="F46" t="s">
        <v>858</v>
      </c>
      <c r="H46" s="11">
        <v>218.64</v>
      </c>
      <c r="K46" s="19"/>
      <c r="L46" s="14"/>
      <c r="N46" s="39"/>
      <c r="O46" s="19"/>
      <c r="P46" s="11"/>
      <c r="Q46" s="33"/>
      <c r="S46" s="2"/>
    </row>
    <row r="47" spans="1:26">
      <c r="B47" s="12"/>
      <c r="C47" s="20"/>
      <c r="D47" s="11"/>
      <c r="E47" s="29"/>
      <c r="F47" t="s">
        <v>859</v>
      </c>
      <c r="H47" s="11">
        <v>39.6</v>
      </c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F48" t="s">
        <v>169</v>
      </c>
      <c r="G48">
        <v>803.73</v>
      </c>
      <c r="H48" s="14"/>
      <c r="K48" s="19"/>
      <c r="L48" s="14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2206.84</v>
      </c>
      <c r="H54" s="2">
        <f>SUM(H36:H52)</f>
        <v>7905.6800000000012</v>
      </c>
      <c r="J54" t="s">
        <v>2</v>
      </c>
      <c r="K54" s="2">
        <f>SUM(K36:K51)</f>
        <v>1784.9925000000001</v>
      </c>
      <c r="L54" s="2">
        <f>SUM(L36:L49)</f>
        <v>1784.99</v>
      </c>
      <c r="N54" t="s">
        <v>2</v>
      </c>
      <c r="O54" s="2">
        <f>SUM(O36:O53)</f>
        <v>0</v>
      </c>
      <c r="P54" s="2">
        <f>SUM(P36:P53)</f>
        <v>1654.41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-5698.8400000000011</v>
      </c>
      <c r="L55" s="2">
        <f>K54-L54</f>
        <v>2.5000000000545697E-3</v>
      </c>
      <c r="P55" s="2">
        <f>O54-P54</f>
        <v>-1654.41</v>
      </c>
      <c r="S55" s="1"/>
      <c r="AA55" t="s">
        <v>239</v>
      </c>
      <c r="AB55" s="1">
        <v>10261.049999999999</v>
      </c>
    </row>
    <row r="56" spans="2:28">
      <c r="P56" s="2">
        <f>P55-X44</f>
        <v>-1.0699999999999363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-1206.8399999999999</v>
      </c>
      <c r="L58" s="2">
        <v>-616.99</v>
      </c>
      <c r="P58" s="2">
        <v>-1.07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403.11</v>
      </c>
      <c r="I60" s="41"/>
      <c r="J60" s="41"/>
      <c r="K60" s="41"/>
      <c r="L60" s="51"/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-803.7299999999999</v>
      </c>
      <c r="I62" s="44"/>
      <c r="J62" s="44"/>
      <c r="K62" s="44"/>
      <c r="L62" s="45">
        <f>L60+L58</f>
        <v>-616.99</v>
      </c>
      <c r="M62" s="44"/>
      <c r="N62" s="44"/>
      <c r="O62" s="44"/>
      <c r="P62" s="45">
        <f>P60+P58</f>
        <v>-1.07</v>
      </c>
      <c r="T62" t="s">
        <v>98</v>
      </c>
      <c r="V62" s="1">
        <f>Z62-Z63</f>
        <v>1018.6799999999998</v>
      </c>
      <c r="W62" s="2">
        <f>S63-V62</f>
        <v>806.22</v>
      </c>
      <c r="X62" s="2">
        <f>W62/2</f>
        <v>403.11</v>
      </c>
      <c r="Z62" s="1">
        <v>4200</v>
      </c>
      <c r="AA62" s="2">
        <f>X64+Z62</f>
        <v>4603.1099999999997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1824.8999999999999</v>
      </c>
      <c r="Z63" s="1">
        <v>3181.32</v>
      </c>
      <c r="AA63" s="2">
        <f>X65+Z63</f>
        <v>4603.1100000000006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403.11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1421.79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7639.3399999999992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Hoja35"/>
  <dimension ref="A1:AB87"/>
  <sheetViews>
    <sheetView workbookViewId="0">
      <selection activeCell="I13" sqref="I1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822</v>
      </c>
      <c r="P1" s="218"/>
      <c r="S1" s="218"/>
      <c r="T1" s="218"/>
    </row>
    <row r="2" spans="1:20">
      <c r="B2" s="18" t="s">
        <v>0</v>
      </c>
      <c r="C2" s="94">
        <v>23.53</v>
      </c>
      <c r="D2" s="74"/>
      <c r="E2" s="18"/>
      <c r="F2" s="18" t="s">
        <v>0</v>
      </c>
      <c r="G2" s="75">
        <v>9029.93</v>
      </c>
      <c r="H2" s="74"/>
      <c r="I2" s="18"/>
      <c r="J2" s="18" t="s">
        <v>0</v>
      </c>
      <c r="K2" s="73">
        <v>3024.29</v>
      </c>
      <c r="L2" s="74"/>
      <c r="N2" s="18"/>
      <c r="O2" s="73">
        <v>276.70999999999998</v>
      </c>
      <c r="P2" s="97"/>
      <c r="R2" s="18"/>
      <c r="S2" s="73"/>
      <c r="T2" s="97"/>
    </row>
    <row r="3" spans="1:20">
      <c r="B3" s="18" t="s">
        <v>39</v>
      </c>
      <c r="C3" s="23">
        <v>705.2</v>
      </c>
      <c r="D3" s="11"/>
      <c r="E3" s="76"/>
      <c r="F3" s="39" t="s">
        <v>864</v>
      </c>
      <c r="G3" s="23">
        <v>9181.32</v>
      </c>
      <c r="H3" s="11"/>
      <c r="I3" s="18"/>
      <c r="J3" s="18" t="s">
        <v>620</v>
      </c>
      <c r="K3" s="20"/>
      <c r="L3" s="77"/>
      <c r="N3" s="18" t="s">
        <v>866</v>
      </c>
      <c r="O3" s="20">
        <v>3000</v>
      </c>
      <c r="P3" s="11"/>
      <c r="R3" s="18"/>
      <c r="S3" s="20"/>
      <c r="T3" s="11"/>
    </row>
    <row r="4" spans="1:20">
      <c r="B4" s="18" t="s">
        <v>40</v>
      </c>
      <c r="C4" s="23">
        <v>8277.18</v>
      </c>
      <c r="D4" s="11"/>
      <c r="E4" s="18"/>
      <c r="F4" s="39" t="s">
        <v>1</v>
      </c>
      <c r="G4" s="20"/>
      <c r="H4" s="11">
        <v>3181.32</v>
      </c>
      <c r="I4" s="18"/>
      <c r="J4" s="18" t="s">
        <v>860</v>
      </c>
      <c r="K4" s="20">
        <v>1001.09</v>
      </c>
      <c r="L4" s="77"/>
      <c r="N4" s="18" t="s">
        <v>76</v>
      </c>
      <c r="O4" s="20">
        <v>1400</v>
      </c>
      <c r="P4" s="11"/>
      <c r="R4" s="18"/>
      <c r="S4" s="166"/>
      <c r="T4" s="11"/>
    </row>
    <row r="5" spans="1:20">
      <c r="B5" s="39" t="s">
        <v>815</v>
      </c>
      <c r="C5" s="23">
        <v>8277.18</v>
      </c>
      <c r="D5" s="11"/>
      <c r="E5" s="18"/>
      <c r="F5" s="39" t="s">
        <v>94</v>
      </c>
      <c r="G5" s="20"/>
      <c r="H5" s="11">
        <v>5000</v>
      </c>
      <c r="I5" s="18" t="s">
        <v>868</v>
      </c>
      <c r="J5" s="18"/>
      <c r="K5" s="20"/>
      <c r="L5" s="77"/>
      <c r="N5" s="18" t="s">
        <v>97</v>
      </c>
      <c r="O5" s="20">
        <v>600</v>
      </c>
      <c r="P5" s="11"/>
      <c r="R5" s="18"/>
      <c r="S5" s="20"/>
      <c r="T5" s="11"/>
    </row>
    <row r="6" spans="1:20">
      <c r="B6" s="39" t="s">
        <v>860</v>
      </c>
      <c r="C6" s="166"/>
      <c r="D6" s="11">
        <v>1000</v>
      </c>
      <c r="E6" s="18"/>
      <c r="F6" s="39"/>
      <c r="G6" s="20"/>
      <c r="H6" s="11"/>
      <c r="I6" s="76"/>
      <c r="J6" s="18"/>
      <c r="K6" s="20"/>
      <c r="L6" s="77"/>
      <c r="N6" s="18" t="s">
        <v>867</v>
      </c>
      <c r="O6" s="20"/>
      <c r="P6" s="11">
        <v>2500</v>
      </c>
      <c r="R6" s="18"/>
      <c r="S6" s="20"/>
      <c r="T6" s="11"/>
    </row>
    <row r="7" spans="1:20">
      <c r="A7" s="1"/>
      <c r="B7" s="39" t="s">
        <v>201</v>
      </c>
      <c r="C7" s="166"/>
      <c r="D7" s="100">
        <v>6000</v>
      </c>
      <c r="E7" s="76"/>
      <c r="F7" s="39"/>
      <c r="G7" s="20"/>
      <c r="H7" s="11"/>
      <c r="I7" s="76"/>
      <c r="J7" s="18"/>
      <c r="K7" s="20"/>
      <c r="L7" s="77"/>
      <c r="N7" s="18"/>
      <c r="O7" s="20"/>
      <c r="P7" s="11"/>
      <c r="R7" s="18"/>
      <c r="S7" s="20"/>
      <c r="T7" s="77"/>
    </row>
    <row r="8" spans="1:20">
      <c r="B8" s="39" t="s">
        <v>1</v>
      </c>
      <c r="C8" s="166"/>
      <c r="D8" s="100">
        <v>3181.32</v>
      </c>
      <c r="E8" s="18"/>
      <c r="F8" s="39"/>
      <c r="G8" s="20"/>
      <c r="H8" s="11"/>
      <c r="I8" s="76"/>
      <c r="J8" s="18"/>
      <c r="K8" s="20"/>
      <c r="L8" s="77"/>
      <c r="N8" s="18"/>
      <c r="O8" s="20"/>
      <c r="P8" s="19"/>
      <c r="R8" s="18"/>
      <c r="S8" s="20"/>
      <c r="T8" s="39"/>
    </row>
    <row r="9" spans="1:20">
      <c r="B9" s="39" t="s">
        <v>777</v>
      </c>
      <c r="C9" s="156">
        <v>954.4</v>
      </c>
      <c r="D9" s="11"/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349</v>
      </c>
      <c r="C10" s="166"/>
      <c r="D10" s="175">
        <v>1000</v>
      </c>
      <c r="E10" s="76"/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862</v>
      </c>
      <c r="C11" s="166"/>
      <c r="D11" s="9">
        <v>800</v>
      </c>
      <c r="E11" s="39"/>
      <c r="F11" s="39"/>
      <c r="G11" s="20"/>
      <c r="H11" s="11"/>
      <c r="I11" s="18"/>
      <c r="J11" s="18"/>
      <c r="K11" s="20"/>
      <c r="L11" s="77"/>
    </row>
    <row r="12" spans="1:20">
      <c r="B12" s="39" t="s">
        <v>863</v>
      </c>
      <c r="C12" s="166"/>
      <c r="D12" s="175">
        <v>600</v>
      </c>
      <c r="E12" s="39"/>
      <c r="F12" s="39"/>
      <c r="G12" s="20"/>
      <c r="H12" s="11"/>
      <c r="I12" s="16"/>
      <c r="J12" s="18"/>
      <c r="K12" s="20"/>
      <c r="L12" s="77"/>
    </row>
    <row r="13" spans="1:20">
      <c r="B13" s="39" t="s">
        <v>662</v>
      </c>
      <c r="C13" s="166"/>
      <c r="D13" s="11">
        <v>1500</v>
      </c>
      <c r="E13" s="39"/>
      <c r="F13" s="39"/>
      <c r="G13" s="20"/>
      <c r="H13" s="11"/>
      <c r="I13" s="18"/>
      <c r="J13" s="18"/>
      <c r="K13" s="20"/>
      <c r="L13" s="77"/>
    </row>
    <row r="14" spans="1:20">
      <c r="B14" s="39" t="s">
        <v>663</v>
      </c>
      <c r="C14" s="166"/>
      <c r="D14" s="11">
        <v>1500</v>
      </c>
      <c r="E14" s="39"/>
      <c r="F14" s="39"/>
      <c r="G14" s="20"/>
      <c r="H14" s="11"/>
      <c r="I14" s="18"/>
      <c r="J14" s="18"/>
      <c r="K14" s="20"/>
      <c r="L14" s="77"/>
    </row>
    <row r="15" spans="1:20">
      <c r="B15" s="39" t="s">
        <v>76</v>
      </c>
      <c r="C15" s="166"/>
      <c r="D15" s="9">
        <v>1400</v>
      </c>
      <c r="E15" s="117" t="s">
        <v>865</v>
      </c>
      <c r="F15" s="39"/>
      <c r="G15" s="20"/>
      <c r="H15" s="11"/>
      <c r="I15" s="18"/>
      <c r="J15" s="91"/>
      <c r="K15" s="20"/>
      <c r="L15" s="77"/>
    </row>
    <row r="16" spans="1:20">
      <c r="B16" s="39"/>
      <c r="C16" s="166"/>
      <c r="D16" s="11"/>
      <c r="E16" s="39"/>
      <c r="F16" s="39"/>
      <c r="G16" s="20"/>
      <c r="H16" s="11"/>
      <c r="I16" s="18"/>
      <c r="J16" s="18"/>
      <c r="K16" s="20"/>
      <c r="L16" s="77"/>
    </row>
    <row r="17" spans="2:20">
      <c r="B17" s="39"/>
      <c r="C17" s="166"/>
      <c r="D17" s="11"/>
      <c r="E17" s="39"/>
      <c r="F17" s="39"/>
      <c r="G17" s="20"/>
      <c r="H17" s="11"/>
      <c r="I17" s="18"/>
      <c r="J17" s="18"/>
      <c r="K17" s="20"/>
      <c r="L17" s="77"/>
    </row>
    <row r="18" spans="2:20">
      <c r="B18" s="39"/>
      <c r="C18" s="166"/>
      <c r="D18" s="11"/>
      <c r="E18" s="39"/>
      <c r="F18" s="39"/>
      <c r="G18" s="20"/>
      <c r="H18" s="11"/>
      <c r="K18" s="20"/>
      <c r="L18" s="77"/>
    </row>
    <row r="19" spans="2:20">
      <c r="B19" s="39"/>
      <c r="C19" s="166"/>
      <c r="D19" s="11"/>
      <c r="E19" s="96"/>
      <c r="F19" s="39"/>
      <c r="G19" s="20"/>
      <c r="H19" s="11"/>
      <c r="J19" s="2"/>
      <c r="K19" s="20"/>
      <c r="L19" s="77"/>
    </row>
    <row r="20" spans="2:20">
      <c r="B20" s="39"/>
      <c r="C20" s="166"/>
      <c r="D20" s="11"/>
      <c r="F20" s="39"/>
      <c r="G20" s="20"/>
      <c r="H20" s="11"/>
      <c r="K20" s="20"/>
      <c r="L20" s="77"/>
    </row>
    <row r="21" spans="2:20">
      <c r="B21" s="39"/>
      <c r="C21" s="166"/>
      <c r="D21" s="11"/>
      <c r="F21" s="39"/>
      <c r="G21" s="20"/>
      <c r="H21" s="11"/>
      <c r="L21" s="77"/>
    </row>
    <row r="22" spans="2:20">
      <c r="B22" s="39"/>
      <c r="C22" s="166"/>
      <c r="D22" s="11"/>
      <c r="F22" s="39"/>
      <c r="G22" s="20"/>
      <c r="H22" s="11"/>
      <c r="L22" s="77"/>
    </row>
    <row r="23" spans="2:20">
      <c r="B23" s="39"/>
      <c r="C23" s="166"/>
      <c r="D23" s="11"/>
      <c r="G23" s="20"/>
      <c r="H23" s="11"/>
      <c r="L23" s="77"/>
    </row>
    <row r="24" spans="2:20">
      <c r="B24" s="39"/>
      <c r="C24" s="166"/>
      <c r="D24" s="11"/>
      <c r="G24" s="20"/>
      <c r="H24" s="11"/>
      <c r="L24" s="77"/>
    </row>
    <row r="25" spans="2:20">
      <c r="B25" s="39"/>
      <c r="C25" s="166"/>
      <c r="D25" s="11"/>
      <c r="G25" s="20"/>
      <c r="H25" s="11"/>
      <c r="L25" s="77"/>
    </row>
    <row r="26" spans="2:20">
      <c r="B26" s="39"/>
      <c r="C26" s="166"/>
      <c r="D26" s="11"/>
      <c r="G26" s="20"/>
      <c r="H26" s="11"/>
      <c r="L26" s="77"/>
      <c r="R26" t="s">
        <v>80</v>
      </c>
    </row>
    <row r="27" spans="2:20">
      <c r="B27" s="39"/>
      <c r="C27" s="166"/>
      <c r="D27" s="11"/>
      <c r="G27" s="20"/>
      <c r="H27" s="11"/>
      <c r="L27" s="77"/>
    </row>
    <row r="28" spans="2:20">
      <c r="B28" s="39"/>
      <c r="C28" s="166"/>
      <c r="D28" s="11"/>
      <c r="G28" s="20"/>
      <c r="H28" s="11"/>
      <c r="L28" s="77"/>
    </row>
    <row r="29" spans="2:20">
      <c r="B29" s="39"/>
      <c r="C29" s="20"/>
      <c r="D29" s="11"/>
      <c r="G29" s="20"/>
      <c r="H29" s="11"/>
      <c r="L29" s="77"/>
    </row>
    <row r="30" spans="2:20">
      <c r="B30" s="39"/>
      <c r="C30" s="20"/>
      <c r="D30" s="11"/>
      <c r="G30" s="20"/>
      <c r="H30" s="19"/>
    </row>
    <row r="31" spans="2:20">
      <c r="B31" t="s">
        <v>2</v>
      </c>
      <c r="C31" s="2">
        <f>SUM(C2:C29)</f>
        <v>18237.490000000002</v>
      </c>
      <c r="D31" s="2">
        <f>SUM(D3:D30)</f>
        <v>16981.32</v>
      </c>
      <c r="F31" t="s">
        <v>2</v>
      </c>
      <c r="G31" s="2">
        <f>SUM(G2:G30)</f>
        <v>18211.25</v>
      </c>
      <c r="H31" s="2">
        <f>SUM(H3:H30)</f>
        <v>8181.32</v>
      </c>
      <c r="J31" t="s">
        <v>2</v>
      </c>
      <c r="K31" s="2">
        <f>SUM(K1:K10)</f>
        <v>4025.38</v>
      </c>
      <c r="L31" s="2">
        <f>SUM(L2:L10)</f>
        <v>0</v>
      </c>
      <c r="N31" t="s">
        <v>2</v>
      </c>
      <c r="O31" s="2">
        <f>SUM(O1:O10)</f>
        <v>5276.71</v>
      </c>
      <c r="P31" s="2">
        <f>SUM(P2:P10)</f>
        <v>2500</v>
      </c>
      <c r="R31" t="s">
        <v>2</v>
      </c>
      <c r="S31" s="2">
        <f>SUM(S1:S10)</f>
        <v>0</v>
      </c>
      <c r="T31" s="2">
        <f>SUM(T2:T10)</f>
        <v>0</v>
      </c>
    </row>
    <row r="32" spans="2:20">
      <c r="D32" s="2">
        <f>C31-D31</f>
        <v>1256.1700000000019</v>
      </c>
      <c r="H32" s="2">
        <f>G31-H31</f>
        <v>10029.93</v>
      </c>
      <c r="L32" s="2">
        <f>K31-L31</f>
        <v>4025.38</v>
      </c>
      <c r="P32" s="2">
        <f>O31-P31</f>
        <v>2776.71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-223.28000000000179</v>
      </c>
      <c r="V34" s="102">
        <v>42965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168">
        <v>5130.58</v>
      </c>
      <c r="J36" t="s">
        <v>0</v>
      </c>
      <c r="K36" s="3"/>
      <c r="L36" s="168">
        <v>4882.16</v>
      </c>
      <c r="M36" s="33"/>
      <c r="N36" t="s">
        <v>0</v>
      </c>
      <c r="O36" s="3"/>
      <c r="P36" s="168">
        <v>1654.41</v>
      </c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16</v>
      </c>
      <c r="W36" s="2">
        <f>U36*V36</f>
        <v>-4442.666666666667</v>
      </c>
      <c r="X36" s="2">
        <f>S36-W36</f>
        <v>-555.33333333333303</v>
      </c>
    </row>
    <row r="37" spans="1:26">
      <c r="B37" s="39" t="s">
        <v>503</v>
      </c>
      <c r="C37" s="1"/>
      <c r="D37" s="1">
        <v>0</v>
      </c>
      <c r="F37" t="s">
        <v>427</v>
      </c>
      <c r="G37" s="1"/>
      <c r="H37" s="24">
        <v>699.25</v>
      </c>
      <c r="J37" t="s">
        <v>850</v>
      </c>
      <c r="K37" s="27">
        <v>1000</v>
      </c>
      <c r="L37" s="14"/>
      <c r="M37" s="29"/>
      <c r="P37" s="11"/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F38" t="s">
        <v>412</v>
      </c>
      <c r="G38" s="1">
        <f>5650 - 1400 + 250</f>
        <v>4500</v>
      </c>
      <c r="H38" s="11"/>
      <c r="I38" s="8"/>
      <c r="J38" t="s">
        <v>861</v>
      </c>
      <c r="K38" s="1">
        <v>2619.0100000000002</v>
      </c>
      <c r="L38" s="14"/>
      <c r="O38" s="19"/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F39" t="s">
        <v>169</v>
      </c>
      <c r="G39" s="23">
        <v>800</v>
      </c>
      <c r="H39" s="11"/>
      <c r="J39" t="s">
        <v>169</v>
      </c>
      <c r="K39" s="27">
        <v>600</v>
      </c>
      <c r="L39" s="14"/>
      <c r="N39" s="39"/>
      <c r="O39" s="19"/>
      <c r="P39" s="11"/>
      <c r="Q39" s="29"/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G40" s="1"/>
      <c r="H40" s="11"/>
      <c r="K40" s="19"/>
      <c r="L40" s="14"/>
      <c r="N40" s="39"/>
      <c r="O40" s="19"/>
      <c r="P40" s="11"/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/>
      <c r="G41" s="1"/>
      <c r="H41" s="11"/>
      <c r="K41" s="19"/>
      <c r="L41" s="14"/>
      <c r="M41" s="29"/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10</v>
      </c>
      <c r="W41" s="2">
        <f t="shared" si="1"/>
        <v>-5490.0333333333328</v>
      </c>
      <c r="X41" s="2">
        <f t="shared" si="2"/>
        <v>-1098.0066666666671</v>
      </c>
    </row>
    <row r="42" spans="1:26">
      <c r="B42" s="39"/>
      <c r="C42" s="20"/>
      <c r="D42" s="11"/>
      <c r="H42" s="11"/>
      <c r="K42" s="19"/>
      <c r="L42" s="14"/>
      <c r="M42" s="29"/>
      <c r="N42" s="39"/>
      <c r="O42" s="19"/>
      <c r="P42" s="11"/>
      <c r="Q42" s="29"/>
      <c r="R42" t="s">
        <v>630</v>
      </c>
      <c r="S42" s="101">
        <v>-6990</v>
      </c>
      <c r="T42" s="118">
        <v>3</v>
      </c>
      <c r="U42" s="119">
        <f t="shared" si="0"/>
        <v>-2330</v>
      </c>
      <c r="V42" s="118">
        <v>3</v>
      </c>
      <c r="W42" s="119">
        <f t="shared" si="1"/>
        <v>-6990</v>
      </c>
      <c r="X42" s="119">
        <f t="shared" si="2"/>
        <v>0</v>
      </c>
    </row>
    <row r="43" spans="1:26">
      <c r="B43" s="39"/>
      <c r="C43" s="20"/>
      <c r="D43" s="11"/>
      <c r="G43" s="1"/>
      <c r="H43" s="11"/>
      <c r="K43" s="19"/>
      <c r="L43" s="14"/>
      <c r="N43" s="39"/>
      <c r="O43" s="19"/>
      <c r="P43" s="11"/>
      <c r="Q43" s="29"/>
      <c r="R43" t="s">
        <v>493</v>
      </c>
      <c r="S43" s="101">
        <v>-4218.91</v>
      </c>
      <c r="T43" s="118">
        <v>3</v>
      </c>
      <c r="U43" s="119">
        <f t="shared" si="0"/>
        <v>-1406.3033333333333</v>
      </c>
      <c r="V43" s="118">
        <v>3</v>
      </c>
      <c r="W43" s="119">
        <f t="shared" si="1"/>
        <v>-4218.91</v>
      </c>
      <c r="X43" s="119">
        <f t="shared" si="2"/>
        <v>0</v>
      </c>
    </row>
    <row r="44" spans="1:26">
      <c r="B44" s="39"/>
      <c r="C44" s="20"/>
      <c r="D44" s="11"/>
      <c r="G44" s="1"/>
      <c r="H44" s="11"/>
      <c r="K44" s="19"/>
      <c r="L44" s="14"/>
      <c r="N44" s="39"/>
      <c r="O44" s="19"/>
      <c r="P44" s="11"/>
      <c r="Q44" s="8"/>
      <c r="R44" t="s">
        <v>11</v>
      </c>
      <c r="S44" s="2">
        <f>SUM(S36:S43)</f>
        <v>-57840.649999999994</v>
      </c>
      <c r="X44" s="2">
        <f>SUM(X36:X43)</f>
        <v>-1653.3400000000001</v>
      </c>
    </row>
    <row r="45" spans="1:26">
      <c r="B45" s="39"/>
      <c r="C45" s="20"/>
      <c r="D45" s="11"/>
      <c r="H45" s="11"/>
      <c r="K45" s="19"/>
      <c r="L45" s="14"/>
      <c r="N45" s="39"/>
      <c r="O45" s="19"/>
      <c r="P45" s="11"/>
    </row>
    <row r="46" spans="1:26">
      <c r="B46" s="39"/>
      <c r="C46" s="20"/>
      <c r="D46" s="11"/>
      <c r="H46" s="11"/>
      <c r="K46" s="19"/>
      <c r="L46" s="14"/>
      <c r="N46" s="39"/>
      <c r="O46" s="19"/>
      <c r="P46" s="11"/>
      <c r="Q46" s="33"/>
      <c r="S46" s="2"/>
    </row>
    <row r="47" spans="1:26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4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5300</v>
      </c>
      <c r="H54" s="2">
        <f>SUM(H36:H52)</f>
        <v>5829.83</v>
      </c>
      <c r="J54" t="s">
        <v>2</v>
      </c>
      <c r="K54" s="2">
        <f>SUM(K36:K51)</f>
        <v>4219.01</v>
      </c>
      <c r="L54" s="2">
        <f>SUM(L36:L49)</f>
        <v>4882.16</v>
      </c>
      <c r="N54" t="s">
        <v>2</v>
      </c>
      <c r="O54" s="2">
        <f>SUM(O36:O53)</f>
        <v>0</v>
      </c>
      <c r="P54" s="2">
        <f>SUM(P36:P53)</f>
        <v>1654.41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-529.82999999999993</v>
      </c>
      <c r="L55" s="2">
        <f>K54-L54</f>
        <v>-663.14999999999964</v>
      </c>
      <c r="P55" s="2">
        <f>O54-P54</f>
        <v>-1654.41</v>
      </c>
      <c r="S55" s="1"/>
      <c r="AA55" t="s">
        <v>239</v>
      </c>
      <c r="AB55" s="1">
        <v>10261.049999999999</v>
      </c>
    </row>
    <row r="56" spans="2:28">
      <c r="P56" s="2">
        <f>P55-X44</f>
        <v>-1.0699999999999363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/>
      <c r="L58" s="2"/>
      <c r="P58" s="2">
        <v>-1.07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403.11</v>
      </c>
      <c r="I60" s="41"/>
      <c r="J60" s="41"/>
      <c r="K60" s="41"/>
      <c r="L60" s="51"/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403.11</v>
      </c>
      <c r="I62" s="44"/>
      <c r="J62" s="44"/>
      <c r="K62" s="44"/>
      <c r="L62" s="45">
        <f>L60+L58</f>
        <v>0</v>
      </c>
      <c r="M62" s="44"/>
      <c r="N62" s="44"/>
      <c r="O62" s="44"/>
      <c r="P62" s="45">
        <f>P60+P58</f>
        <v>-1.07</v>
      </c>
      <c r="T62" t="s">
        <v>98</v>
      </c>
      <c r="V62" s="1">
        <f>Z62-Z63</f>
        <v>1018.6799999999998</v>
      </c>
      <c r="W62" s="2">
        <f>S63-V62</f>
        <v>-1017.6099999999998</v>
      </c>
      <c r="X62" s="2">
        <f>W62/2</f>
        <v>-508.80499999999989</v>
      </c>
      <c r="Z62" s="1">
        <v>4200</v>
      </c>
      <c r="AA62" s="2">
        <f>X64+Z62</f>
        <v>4708.8050000000003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1.07</v>
      </c>
      <c r="Z63" s="1">
        <v>3181.32</v>
      </c>
      <c r="AA63" s="2">
        <f>X65+Z63</f>
        <v>4708.8050000000003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508.80499999999989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1527.4849999999997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12808.35</v>
      </c>
    </row>
    <row r="87" spans="2:2">
      <c r="B87">
        <f>879+179</f>
        <v>1058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B93"/>
  <sheetViews>
    <sheetView workbookViewId="0">
      <selection activeCell="N41" sqref="N41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822</v>
      </c>
      <c r="P1" s="218"/>
      <c r="S1" s="218"/>
      <c r="T1" s="218"/>
    </row>
    <row r="2" spans="1:20">
      <c r="B2" s="18" t="s">
        <v>0</v>
      </c>
      <c r="C2" s="94">
        <v>0</v>
      </c>
      <c r="D2" s="74"/>
      <c r="E2" s="18"/>
      <c r="F2" s="18" t="s">
        <v>0</v>
      </c>
      <c r="G2" s="75">
        <v>10400</v>
      </c>
      <c r="H2" s="74"/>
      <c r="I2" s="18"/>
      <c r="J2" s="18" t="s">
        <v>0</v>
      </c>
      <c r="K2" s="73">
        <v>4040</v>
      </c>
      <c r="L2" s="74"/>
      <c r="N2" s="18"/>
      <c r="O2" s="73">
        <v>276.70999999999998</v>
      </c>
      <c r="P2" s="97"/>
      <c r="R2" s="18"/>
      <c r="S2" s="73"/>
      <c r="T2" s="97"/>
    </row>
    <row r="3" spans="1:20">
      <c r="B3" s="18" t="s">
        <v>39</v>
      </c>
      <c r="C3" s="23">
        <v>648.27</v>
      </c>
      <c r="D3" s="11"/>
      <c r="E3" s="76"/>
      <c r="F3" s="39" t="s">
        <v>201</v>
      </c>
      <c r="G3" s="23">
        <v>6000</v>
      </c>
      <c r="H3" s="11"/>
      <c r="I3" s="18"/>
      <c r="J3" s="18" t="s">
        <v>620</v>
      </c>
      <c r="K3" s="20"/>
      <c r="L3" s="77"/>
      <c r="N3" s="18" t="s">
        <v>866</v>
      </c>
      <c r="O3" s="20">
        <v>3000</v>
      </c>
      <c r="P3" s="11"/>
      <c r="R3" s="18"/>
      <c r="S3" s="20"/>
      <c r="T3" s="11"/>
    </row>
    <row r="4" spans="1:20">
      <c r="B4" s="18" t="s">
        <v>40</v>
      </c>
      <c r="C4" s="23">
        <v>8291.7800000000007</v>
      </c>
      <c r="D4" s="11"/>
      <c r="E4" s="18"/>
      <c r="F4" s="39" t="s">
        <v>869</v>
      </c>
      <c r="G4" s="20"/>
      <c r="H4" s="11">
        <v>3889.99</v>
      </c>
      <c r="I4" s="18"/>
      <c r="J4" s="18" t="s">
        <v>860</v>
      </c>
      <c r="K4" s="20">
        <v>1000</v>
      </c>
      <c r="L4" s="77"/>
      <c r="N4" s="18" t="s">
        <v>76</v>
      </c>
      <c r="O4" s="20">
        <v>1400</v>
      </c>
      <c r="P4" s="11"/>
      <c r="R4" s="18"/>
      <c r="S4" s="166"/>
      <c r="T4" s="11"/>
    </row>
    <row r="5" spans="1:20">
      <c r="B5" s="39" t="s">
        <v>815</v>
      </c>
      <c r="C5" s="23">
        <v>8291.7800000000007</v>
      </c>
      <c r="D5" s="11"/>
      <c r="E5" s="18"/>
      <c r="F5" s="39"/>
      <c r="G5" s="20"/>
      <c r="H5" s="11" t="s">
        <v>80</v>
      </c>
      <c r="I5" s="18"/>
      <c r="J5" s="18"/>
      <c r="K5" s="20"/>
      <c r="L5" s="77"/>
      <c r="N5" s="18" t="s">
        <v>97</v>
      </c>
      <c r="O5" s="20">
        <v>600</v>
      </c>
      <c r="P5" s="11"/>
      <c r="R5" s="18"/>
      <c r="S5" s="20"/>
      <c r="T5" s="11"/>
    </row>
    <row r="6" spans="1:20">
      <c r="B6" s="39" t="s">
        <v>860</v>
      </c>
      <c r="C6" s="166"/>
      <c r="D6" s="11">
        <v>1000</v>
      </c>
      <c r="E6" s="18"/>
      <c r="F6" s="39"/>
      <c r="G6" s="20"/>
      <c r="H6" s="11"/>
      <c r="I6" s="76"/>
      <c r="J6" s="18"/>
      <c r="K6" s="20"/>
      <c r="L6" s="77"/>
      <c r="N6" s="18" t="s">
        <v>867</v>
      </c>
      <c r="O6" s="20"/>
      <c r="P6" s="11">
        <v>2500</v>
      </c>
      <c r="R6" s="18"/>
      <c r="S6" s="20"/>
      <c r="T6" s="11"/>
    </row>
    <row r="7" spans="1:20">
      <c r="A7" s="1"/>
      <c r="B7" s="39" t="s">
        <v>201</v>
      </c>
      <c r="C7" s="166"/>
      <c r="D7" s="24">
        <v>6000</v>
      </c>
      <c r="E7" s="76"/>
      <c r="F7" s="39"/>
      <c r="G7" s="20"/>
      <c r="H7" s="11"/>
      <c r="I7" s="76"/>
      <c r="J7" s="18"/>
      <c r="K7" s="20"/>
      <c r="L7" s="77"/>
      <c r="N7" s="18"/>
      <c r="O7" s="20"/>
      <c r="P7" s="11"/>
      <c r="R7" s="18"/>
      <c r="S7" s="20"/>
      <c r="T7" s="77"/>
    </row>
    <row r="8" spans="1:20">
      <c r="B8" s="39" t="s">
        <v>43</v>
      </c>
      <c r="C8" s="166"/>
      <c r="D8" s="24">
        <v>4200</v>
      </c>
      <c r="E8" s="18"/>
      <c r="F8" s="39"/>
      <c r="G8" s="20"/>
      <c r="H8" s="11"/>
      <c r="I8" s="76"/>
      <c r="J8" s="18"/>
      <c r="K8" s="20"/>
      <c r="L8" s="77"/>
      <c r="N8" s="18"/>
      <c r="O8" s="20"/>
      <c r="P8" s="19"/>
      <c r="R8" s="18"/>
      <c r="S8" s="20"/>
      <c r="T8" s="39"/>
    </row>
    <row r="9" spans="1:20">
      <c r="B9" s="39" t="s">
        <v>76</v>
      </c>
      <c r="C9" s="166"/>
      <c r="D9" s="24">
        <v>1500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662</v>
      </c>
      <c r="C10" s="166"/>
      <c r="D10" s="24">
        <v>1500</v>
      </c>
      <c r="E10" s="76"/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663</v>
      </c>
      <c r="C11" s="166"/>
      <c r="D11" s="24">
        <v>1500</v>
      </c>
      <c r="E11" s="39"/>
      <c r="F11" s="39"/>
      <c r="G11" s="20"/>
      <c r="H11" s="11"/>
      <c r="I11" s="18"/>
      <c r="J11" s="18"/>
      <c r="K11" s="20"/>
      <c r="L11" s="77"/>
    </row>
    <row r="12" spans="1:20">
      <c r="B12" s="39"/>
      <c r="C12" s="166"/>
      <c r="D12" s="11"/>
      <c r="E12" s="39"/>
      <c r="F12" s="39"/>
      <c r="G12" s="20"/>
      <c r="H12" s="11"/>
      <c r="I12" s="16"/>
      <c r="J12" s="18"/>
      <c r="K12" s="20"/>
      <c r="L12" s="77"/>
    </row>
    <row r="13" spans="1:20">
      <c r="B13" s="39"/>
      <c r="C13" s="166"/>
      <c r="D13" s="11"/>
      <c r="E13" s="39"/>
      <c r="F13" s="39"/>
      <c r="G13" s="20"/>
      <c r="H13" s="11"/>
      <c r="I13" s="18"/>
      <c r="J13" s="18"/>
      <c r="K13" s="20"/>
      <c r="L13" s="77"/>
    </row>
    <row r="14" spans="1:20">
      <c r="B14" s="39"/>
      <c r="C14" s="166"/>
      <c r="D14" s="11"/>
      <c r="E14" s="39"/>
      <c r="F14" s="39"/>
      <c r="G14" s="20"/>
      <c r="H14" s="11"/>
      <c r="I14" s="18"/>
      <c r="J14" s="18"/>
      <c r="K14" s="20"/>
      <c r="L14" s="77"/>
    </row>
    <row r="15" spans="1:20">
      <c r="B15" s="39"/>
      <c r="C15" s="166"/>
      <c r="D15" s="11"/>
      <c r="E15" s="117"/>
      <c r="F15" s="39"/>
      <c r="G15" s="20"/>
      <c r="H15" s="11"/>
      <c r="I15" s="18"/>
      <c r="J15" s="91"/>
      <c r="K15" s="20"/>
      <c r="L15" s="77"/>
    </row>
    <row r="16" spans="1:20">
      <c r="B16" s="39"/>
      <c r="C16" s="166"/>
      <c r="D16" s="11"/>
      <c r="E16" s="39"/>
      <c r="F16" s="39"/>
      <c r="G16" s="20"/>
      <c r="H16" s="11"/>
      <c r="I16" s="18"/>
      <c r="J16" s="18"/>
      <c r="K16" s="20"/>
      <c r="L16" s="77"/>
    </row>
    <row r="17" spans="2:20">
      <c r="B17" s="39"/>
      <c r="C17" s="166"/>
      <c r="D17" s="11"/>
      <c r="E17" s="39"/>
      <c r="F17" s="39"/>
      <c r="G17" s="20"/>
      <c r="H17" s="11"/>
      <c r="I17" s="18"/>
      <c r="J17" s="18"/>
      <c r="K17" s="20"/>
      <c r="L17" s="77"/>
    </row>
    <row r="18" spans="2:20">
      <c r="B18" s="39"/>
      <c r="C18" s="166"/>
      <c r="D18" s="11"/>
      <c r="E18" s="39"/>
      <c r="F18" s="39"/>
      <c r="G18" s="20"/>
      <c r="H18" s="11"/>
      <c r="K18" s="20"/>
      <c r="L18" s="77"/>
    </row>
    <row r="19" spans="2:20">
      <c r="B19" s="39"/>
      <c r="C19" s="166"/>
      <c r="D19" s="11"/>
      <c r="E19" s="96"/>
      <c r="F19" s="39"/>
      <c r="G19" s="20"/>
      <c r="H19" s="11"/>
      <c r="J19" s="2"/>
      <c r="K19" s="20"/>
      <c r="L19" s="77"/>
    </row>
    <row r="20" spans="2:20">
      <c r="B20" s="39"/>
      <c r="C20" s="166"/>
      <c r="D20" s="11"/>
      <c r="F20" s="39"/>
      <c r="G20" s="20"/>
      <c r="H20" s="11"/>
      <c r="K20" s="20"/>
      <c r="L20" s="77"/>
    </row>
    <row r="21" spans="2:20">
      <c r="B21" s="39"/>
      <c r="C21" s="166"/>
      <c r="D21" s="11"/>
      <c r="F21" s="39"/>
      <c r="G21" s="20"/>
      <c r="H21" s="11"/>
      <c r="L21" s="77"/>
    </row>
    <row r="22" spans="2:20">
      <c r="B22" s="39"/>
      <c r="C22" s="166"/>
      <c r="D22" s="11"/>
      <c r="F22" s="39"/>
      <c r="G22" s="20"/>
      <c r="H22" s="11"/>
      <c r="L22" s="77"/>
    </row>
    <row r="23" spans="2:20">
      <c r="B23" s="39"/>
      <c r="C23" s="166"/>
      <c r="D23" s="11"/>
      <c r="G23" s="20"/>
      <c r="H23" s="11"/>
      <c r="L23" s="77"/>
    </row>
    <row r="24" spans="2:20">
      <c r="B24" s="39"/>
      <c r="C24" s="166"/>
      <c r="D24" s="11"/>
      <c r="G24" s="20"/>
      <c r="H24" s="11"/>
      <c r="L24" s="77"/>
    </row>
    <row r="25" spans="2:20">
      <c r="B25" s="39"/>
      <c r="C25" s="166"/>
      <c r="D25" s="11"/>
      <c r="G25" s="20"/>
      <c r="H25" s="11"/>
      <c r="L25" s="77"/>
    </row>
    <row r="26" spans="2:20">
      <c r="B26" s="39"/>
      <c r="C26" s="166"/>
      <c r="D26" s="11"/>
      <c r="G26" s="20"/>
      <c r="H26" s="11"/>
      <c r="L26" s="77"/>
      <c r="R26" t="s">
        <v>80</v>
      </c>
    </row>
    <row r="27" spans="2:20">
      <c r="B27" s="39"/>
      <c r="C27" s="166"/>
      <c r="D27" s="11"/>
      <c r="G27" s="20"/>
      <c r="H27" s="11"/>
      <c r="L27" s="77"/>
    </row>
    <row r="28" spans="2:20">
      <c r="B28" s="39"/>
      <c r="C28" s="166"/>
      <c r="D28" s="11"/>
      <c r="G28" s="20"/>
      <c r="H28" s="11"/>
      <c r="L28" s="77"/>
    </row>
    <row r="29" spans="2:20">
      <c r="B29" s="39"/>
      <c r="C29" s="20"/>
      <c r="D29" s="11"/>
      <c r="G29" s="20"/>
      <c r="H29" s="11"/>
      <c r="L29" s="77"/>
    </row>
    <row r="30" spans="2:20">
      <c r="B30" s="39"/>
      <c r="C30" s="20"/>
      <c r="D30" s="11"/>
      <c r="G30" s="20"/>
      <c r="H30" s="19"/>
    </row>
    <row r="31" spans="2:20">
      <c r="B31" t="s">
        <v>2</v>
      </c>
      <c r="C31" s="2">
        <f>SUM(C2:C29)</f>
        <v>17231.830000000002</v>
      </c>
      <c r="D31" s="2">
        <f>SUM(D3:D30)</f>
        <v>15700</v>
      </c>
      <c r="F31" t="s">
        <v>2</v>
      </c>
      <c r="G31" s="2">
        <f>SUM(G2:G30)</f>
        <v>16400</v>
      </c>
      <c r="H31" s="2">
        <f>SUM(H3:H30)</f>
        <v>3889.99</v>
      </c>
      <c r="J31" t="s">
        <v>2</v>
      </c>
      <c r="K31" s="2">
        <f>SUM(K1:K10)</f>
        <v>5040</v>
      </c>
      <c r="L31" s="2">
        <f>SUM(L2:L10)</f>
        <v>0</v>
      </c>
      <c r="N31" t="s">
        <v>2</v>
      </c>
      <c r="O31" s="2">
        <f>SUM(O1:O10)</f>
        <v>5276.71</v>
      </c>
      <c r="P31" s="2">
        <f>SUM(P2:P10)</f>
        <v>2500</v>
      </c>
      <c r="R31" t="s">
        <v>2</v>
      </c>
      <c r="S31" s="2">
        <f>SUM(S1:S10)</f>
        <v>0</v>
      </c>
      <c r="T31" s="2">
        <f>SUM(T2:T10)</f>
        <v>0</v>
      </c>
    </row>
    <row r="32" spans="2:20">
      <c r="D32" s="2">
        <f>C31-D31</f>
        <v>1531.8300000000017</v>
      </c>
      <c r="H32" s="2">
        <f>G31-H31</f>
        <v>12510.01</v>
      </c>
      <c r="L32" s="2">
        <f>K31-L31</f>
        <v>5040</v>
      </c>
      <c r="P32" s="2">
        <f>O31-P31</f>
        <v>2776.71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-498.94000000000165</v>
      </c>
      <c r="V34" s="102">
        <v>42965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168">
        <v>5520.87</v>
      </c>
      <c r="J36" t="s">
        <v>0</v>
      </c>
      <c r="K36" s="3"/>
      <c r="L36" s="168">
        <v>705</v>
      </c>
      <c r="M36" s="33"/>
      <c r="N36" t="s">
        <v>0</v>
      </c>
      <c r="O36" s="3"/>
      <c r="P36" s="168">
        <v>1654.41</v>
      </c>
      <c r="R36" t="s">
        <v>469</v>
      </c>
      <c r="S36" s="1">
        <v>-4998</v>
      </c>
      <c r="T36">
        <v>18</v>
      </c>
      <c r="U36" s="2">
        <f t="shared" ref="U36:U43" si="0">S36/T36</f>
        <v>-277.66666666666669</v>
      </c>
      <c r="V36">
        <v>16</v>
      </c>
      <c r="W36" s="2">
        <f>U36*V36</f>
        <v>-4442.666666666667</v>
      </c>
      <c r="X36" s="2">
        <f>S36-W36</f>
        <v>-555.33333333333303</v>
      </c>
    </row>
    <row r="37" spans="1:26">
      <c r="B37" s="39" t="s">
        <v>503</v>
      </c>
      <c r="C37" s="1"/>
      <c r="D37" s="1">
        <v>0</v>
      </c>
      <c r="F37" t="s">
        <v>427</v>
      </c>
      <c r="G37" s="1"/>
      <c r="H37" s="24"/>
      <c r="K37" s="19"/>
      <c r="L37" s="14"/>
      <c r="M37" s="29"/>
      <c r="P37" s="11"/>
      <c r="Q37" s="93"/>
      <c r="R37" t="s">
        <v>132</v>
      </c>
      <c r="S37" s="101">
        <v>-3144</v>
      </c>
      <c r="T37" s="118">
        <v>6</v>
      </c>
      <c r="U37" s="119">
        <f t="shared" si="0"/>
        <v>-524</v>
      </c>
      <c r="V37" s="118">
        <v>6</v>
      </c>
      <c r="W37" s="119">
        <f t="shared" ref="W37:W43" si="1">U37*V37</f>
        <v>-3144</v>
      </c>
      <c r="X37" s="119">
        <f t="shared" ref="X37:X43" si="2">S37-W37</f>
        <v>0</v>
      </c>
      <c r="Z37">
        <f>6990+2330</f>
        <v>9320</v>
      </c>
    </row>
    <row r="38" spans="1:26">
      <c r="B38" s="39"/>
      <c r="C38" s="1"/>
      <c r="D38" s="11"/>
      <c r="F38" t="s">
        <v>412</v>
      </c>
      <c r="G38" s="1">
        <f>5650 - 1400 + 250</f>
        <v>4500</v>
      </c>
      <c r="H38" s="11"/>
      <c r="I38" s="8"/>
      <c r="K38" s="19"/>
      <c r="L38" s="14"/>
      <c r="O38" s="19"/>
      <c r="P38" s="11"/>
      <c r="R38" t="s">
        <v>277</v>
      </c>
      <c r="S38" s="101">
        <v>-18198.95</v>
      </c>
      <c r="T38" s="118">
        <v>6</v>
      </c>
      <c r="U38" s="119">
        <f t="shared" si="0"/>
        <v>-3033.1583333333333</v>
      </c>
      <c r="V38" s="118">
        <v>6</v>
      </c>
      <c r="W38" s="119">
        <f t="shared" si="1"/>
        <v>-18198.95</v>
      </c>
      <c r="X38" s="119">
        <f t="shared" si="2"/>
        <v>0</v>
      </c>
    </row>
    <row r="39" spans="1:26">
      <c r="B39" s="39"/>
      <c r="C39" s="1"/>
      <c r="D39" s="11"/>
      <c r="F39" t="s">
        <v>169</v>
      </c>
      <c r="G39" s="1"/>
      <c r="H39" s="11"/>
      <c r="K39" s="19"/>
      <c r="L39" s="14"/>
      <c r="N39" s="39"/>
      <c r="O39" s="19"/>
      <c r="P39" s="11"/>
      <c r="Q39" s="29"/>
      <c r="R39" t="s">
        <v>470</v>
      </c>
      <c r="S39" s="101">
        <v>-7768.75</v>
      </c>
      <c r="T39" s="118">
        <v>3</v>
      </c>
      <c r="U39" s="119">
        <f t="shared" si="0"/>
        <v>-2589.5833333333335</v>
      </c>
      <c r="V39" s="118">
        <v>3</v>
      </c>
      <c r="W39" s="119">
        <f t="shared" si="1"/>
        <v>-7768.75</v>
      </c>
      <c r="X39" s="119">
        <f t="shared" si="2"/>
        <v>0</v>
      </c>
    </row>
    <row r="40" spans="1:26">
      <c r="B40" s="39"/>
      <c r="C40" s="20"/>
      <c r="D40" s="11"/>
      <c r="H40" s="11"/>
      <c r="K40" s="19"/>
      <c r="L40" s="14"/>
      <c r="N40" s="39"/>
      <c r="O40" s="19"/>
      <c r="P40" s="11"/>
      <c r="R40" t="s">
        <v>468</v>
      </c>
      <c r="S40" s="101">
        <v>-5934</v>
      </c>
      <c r="T40" s="118">
        <v>6</v>
      </c>
      <c r="U40" s="119">
        <f t="shared" si="0"/>
        <v>-989</v>
      </c>
      <c r="V40" s="118">
        <v>6</v>
      </c>
      <c r="W40" s="119">
        <f t="shared" si="1"/>
        <v>-5934</v>
      </c>
      <c r="X40" s="119">
        <f t="shared" si="2"/>
        <v>0</v>
      </c>
    </row>
    <row r="41" spans="1:26">
      <c r="B41" s="39"/>
      <c r="C41" s="20"/>
      <c r="D41" s="11"/>
      <c r="F41" s="116"/>
      <c r="H41" s="11"/>
      <c r="K41" s="19"/>
      <c r="L41" s="14"/>
      <c r="M41" s="29"/>
      <c r="Q41" s="29"/>
      <c r="R41" t="s">
        <v>471</v>
      </c>
      <c r="S41" s="1">
        <v>-6588.04</v>
      </c>
      <c r="T41">
        <v>12</v>
      </c>
      <c r="U41" s="2">
        <f t="shared" si="0"/>
        <v>-549.00333333333333</v>
      </c>
      <c r="V41">
        <v>10</v>
      </c>
      <c r="W41" s="2">
        <f t="shared" si="1"/>
        <v>-5490.0333333333328</v>
      </c>
      <c r="X41" s="2">
        <f t="shared" si="2"/>
        <v>-1098.0066666666671</v>
      </c>
    </row>
    <row r="42" spans="1:26">
      <c r="B42" s="39"/>
      <c r="C42" s="20"/>
      <c r="D42" s="11"/>
      <c r="H42" s="11"/>
      <c r="K42" s="19"/>
      <c r="L42" s="14"/>
      <c r="M42" s="29"/>
      <c r="N42" s="39"/>
      <c r="O42" s="19"/>
      <c r="P42" s="11"/>
      <c r="Q42" s="29"/>
      <c r="R42" t="s">
        <v>630</v>
      </c>
      <c r="S42" s="101">
        <v>-6990</v>
      </c>
      <c r="T42" s="118">
        <v>3</v>
      </c>
      <c r="U42" s="119">
        <f t="shared" si="0"/>
        <v>-2330</v>
      </c>
      <c r="V42" s="118">
        <v>3</v>
      </c>
      <c r="W42" s="119">
        <f t="shared" si="1"/>
        <v>-6990</v>
      </c>
      <c r="X42" s="119">
        <f t="shared" si="2"/>
        <v>0</v>
      </c>
    </row>
    <row r="43" spans="1:26">
      <c r="B43" s="39"/>
      <c r="C43" s="20"/>
      <c r="D43" s="11"/>
      <c r="H43" s="11"/>
      <c r="K43" s="19"/>
      <c r="L43" s="14"/>
      <c r="N43" s="39"/>
      <c r="O43" s="19"/>
      <c r="P43" s="11"/>
      <c r="Q43" s="29"/>
      <c r="R43" t="s">
        <v>493</v>
      </c>
      <c r="S43" s="101">
        <v>-4218.91</v>
      </c>
      <c r="T43" s="118">
        <v>3</v>
      </c>
      <c r="U43" s="119">
        <f t="shared" si="0"/>
        <v>-1406.3033333333333</v>
      </c>
      <c r="V43" s="118">
        <v>3</v>
      </c>
      <c r="W43" s="119">
        <f t="shared" si="1"/>
        <v>-4218.91</v>
      </c>
      <c r="X43" s="119">
        <f t="shared" si="2"/>
        <v>0</v>
      </c>
    </row>
    <row r="44" spans="1:26">
      <c r="B44" s="39"/>
      <c r="C44" s="20"/>
      <c r="D44" s="11"/>
      <c r="G44" s="1"/>
      <c r="H44" s="11"/>
      <c r="K44" s="19"/>
      <c r="L44" s="14"/>
      <c r="N44" s="39"/>
      <c r="O44" s="19"/>
      <c r="P44" s="11"/>
      <c r="Q44" s="8"/>
      <c r="R44" t="s">
        <v>11</v>
      </c>
      <c r="S44" s="2">
        <f>SUM(S36:S43)</f>
        <v>-57840.649999999994</v>
      </c>
      <c r="X44" s="2">
        <f>SUM(X36:X43)</f>
        <v>-1653.3400000000001</v>
      </c>
    </row>
    <row r="45" spans="1:26">
      <c r="B45" s="39"/>
      <c r="C45" s="20"/>
      <c r="D45" s="11"/>
      <c r="H45" s="11"/>
      <c r="K45" s="19"/>
      <c r="L45" s="14"/>
      <c r="N45" s="39"/>
      <c r="O45" s="19"/>
      <c r="P45" s="11"/>
    </row>
    <row r="46" spans="1:26">
      <c r="B46" s="39"/>
      <c r="C46" s="20"/>
      <c r="D46" s="11"/>
      <c r="H46" s="11"/>
      <c r="K46" s="19"/>
      <c r="L46" s="14"/>
      <c r="N46" s="39"/>
      <c r="O46" s="19"/>
      <c r="P46" s="11"/>
      <c r="Q46" s="33"/>
      <c r="S46" s="2"/>
    </row>
    <row r="47" spans="1:26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4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4500</v>
      </c>
      <c r="H54" s="2">
        <f>SUM(H36:H52)</f>
        <v>5520.87</v>
      </c>
      <c r="J54" t="s">
        <v>2</v>
      </c>
      <c r="K54" s="2">
        <f>SUM(K36:K51)</f>
        <v>0</v>
      </c>
      <c r="L54" s="2">
        <f>SUM(L36:L49)</f>
        <v>705</v>
      </c>
      <c r="N54" t="s">
        <v>2</v>
      </c>
      <c r="O54" s="2">
        <f>SUM(O36:O53)</f>
        <v>0</v>
      </c>
      <c r="P54" s="2">
        <f>SUM(P36:P53)</f>
        <v>1654.41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-1020.8699999999999</v>
      </c>
      <c r="L55" s="2">
        <f>K54-L54</f>
        <v>-705</v>
      </c>
      <c r="P55" s="2">
        <f>O54-P54</f>
        <v>-1654.41</v>
      </c>
      <c r="S55" s="1"/>
      <c r="AA55" t="s">
        <v>239</v>
      </c>
      <c r="AB55" s="1">
        <v>10261.049999999999</v>
      </c>
    </row>
    <row r="56" spans="2:28">
      <c r="P56" s="2">
        <f>P55-X44</f>
        <v>-1.0699999999999363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1020.87</v>
      </c>
      <c r="L58" s="2">
        <v>705</v>
      </c>
      <c r="P58" s="2"/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-353.6</v>
      </c>
      <c r="I60" s="41"/>
      <c r="J60" s="41"/>
      <c r="K60" s="41"/>
      <c r="L60" s="51"/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667.27</v>
      </c>
      <c r="I62" s="44"/>
      <c r="J62" s="44"/>
      <c r="K62" s="44"/>
      <c r="L62" s="45">
        <f>L60+L58</f>
        <v>705</v>
      </c>
      <c r="M62" s="44"/>
      <c r="N62" s="44"/>
      <c r="O62" s="44"/>
      <c r="P62" s="45">
        <f>P60+P58</f>
        <v>0</v>
      </c>
      <c r="T62" t="s">
        <v>98</v>
      </c>
      <c r="V62" s="1">
        <f>Z62-Z63</f>
        <v>1018.6799999999998</v>
      </c>
      <c r="W62" s="2">
        <f>S63-V62</f>
        <v>707.19</v>
      </c>
      <c r="X62" s="2">
        <f>W62/2</f>
        <v>353.59500000000003</v>
      </c>
      <c r="Z62" s="1">
        <v>4200</v>
      </c>
      <c r="AA62" s="2">
        <f>X64+Z62</f>
        <v>4553.5950000000003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1725.87</v>
      </c>
      <c r="Z63" s="1">
        <v>3181.32</v>
      </c>
      <c r="AA63" s="2">
        <f>X65+Z63</f>
        <v>4553.5950000000003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353.59500000000003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1372.2749999999999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12317.310000000001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B93"/>
  <sheetViews>
    <sheetView workbookViewId="0">
      <selection activeCell="H43" sqref="H4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4" max="24" width="11.5703125" bestFit="1" customWidth="1"/>
    <col min="28" max="28" width="11.5703125" bestFit="1" customWidth="1"/>
  </cols>
  <sheetData>
    <row r="1" spans="1:20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822</v>
      </c>
      <c r="P1" s="218"/>
      <c r="S1" s="218" t="s">
        <v>883</v>
      </c>
      <c r="T1" s="218"/>
    </row>
    <row r="2" spans="1:20">
      <c r="B2" s="18" t="s">
        <v>0</v>
      </c>
      <c r="C2" s="94">
        <v>500</v>
      </c>
      <c r="D2" s="74"/>
      <c r="E2" s="18"/>
      <c r="F2" s="18" t="s">
        <v>0</v>
      </c>
      <c r="G2" s="75">
        <v>3465.68</v>
      </c>
      <c r="H2" s="74"/>
      <c r="I2" s="18"/>
      <c r="J2" s="18" t="s">
        <v>0</v>
      </c>
      <c r="K2" s="73">
        <v>29819.37</v>
      </c>
      <c r="L2" s="74"/>
      <c r="N2" s="18"/>
      <c r="O2" s="73">
        <v>0</v>
      </c>
      <c r="P2" s="97"/>
      <c r="R2" s="18"/>
      <c r="S2" s="73"/>
      <c r="T2" s="97"/>
    </row>
    <row r="3" spans="1:20">
      <c r="A3">
        <v>653.20000000000005</v>
      </c>
      <c r="B3" s="18" t="s">
        <v>39</v>
      </c>
      <c r="C3" s="23">
        <v>1024.1199999999999</v>
      </c>
      <c r="D3" s="11"/>
      <c r="E3" s="76"/>
      <c r="F3" s="39" t="s">
        <v>201</v>
      </c>
      <c r="G3" s="101">
        <v>3000</v>
      </c>
      <c r="H3" s="11"/>
      <c r="I3" s="18"/>
      <c r="J3" s="18" t="s">
        <v>620</v>
      </c>
      <c r="K3" s="20">
        <v>0</v>
      </c>
      <c r="L3" s="77"/>
      <c r="N3" s="18" t="s">
        <v>866</v>
      </c>
      <c r="O3" s="20">
        <v>2000</v>
      </c>
      <c r="P3" s="11"/>
      <c r="R3" s="18"/>
      <c r="S3" s="20"/>
      <c r="T3" s="11"/>
    </row>
    <row r="4" spans="1:20">
      <c r="A4">
        <v>8277.18</v>
      </c>
      <c r="B4" s="18" t="s">
        <v>40</v>
      </c>
      <c r="C4" s="23">
        <v>9759.07</v>
      </c>
      <c r="D4" s="11"/>
      <c r="E4" s="18"/>
      <c r="F4" s="39" t="s">
        <v>882</v>
      </c>
      <c r="G4" s="101"/>
      <c r="H4" s="11">
        <v>3800</v>
      </c>
      <c r="I4" s="18"/>
      <c r="J4" s="18" t="s">
        <v>860</v>
      </c>
      <c r="K4" s="101">
        <v>1000</v>
      </c>
      <c r="L4" s="77"/>
      <c r="N4" s="18" t="s">
        <v>313</v>
      </c>
      <c r="O4" s="20"/>
      <c r="P4" s="11">
        <v>500</v>
      </c>
      <c r="R4" s="18"/>
      <c r="S4" s="166"/>
      <c r="T4" s="11"/>
    </row>
    <row r="5" spans="1:20">
      <c r="A5">
        <v>8277.18</v>
      </c>
      <c r="B5" s="39" t="s">
        <v>815</v>
      </c>
      <c r="C5" s="23">
        <v>9759.07</v>
      </c>
      <c r="D5" s="11"/>
      <c r="E5" s="18"/>
      <c r="F5" s="39" t="s">
        <v>884</v>
      </c>
      <c r="G5" s="20">
        <v>500</v>
      </c>
      <c r="H5" s="11"/>
      <c r="I5" s="18"/>
      <c r="J5" s="18" t="s">
        <v>871</v>
      </c>
      <c r="K5" s="101">
        <v>2999.44</v>
      </c>
      <c r="L5" s="77"/>
      <c r="N5" s="18"/>
      <c r="O5" s="20"/>
      <c r="P5" s="11"/>
      <c r="R5" s="18"/>
      <c r="S5" s="20"/>
      <c r="T5" s="11"/>
    </row>
    <row r="6" spans="1:20">
      <c r="B6" s="39" t="s">
        <v>662</v>
      </c>
      <c r="C6" s="166"/>
      <c r="D6" s="100">
        <v>2000</v>
      </c>
      <c r="E6" s="18"/>
      <c r="F6" s="39"/>
      <c r="G6" s="20"/>
      <c r="H6" s="11"/>
      <c r="I6" s="76"/>
      <c r="J6" s="18"/>
      <c r="K6" s="20"/>
      <c r="L6" s="77"/>
      <c r="N6" s="18"/>
      <c r="O6" s="20"/>
      <c r="P6" s="11"/>
      <c r="R6" s="18"/>
      <c r="S6" s="20"/>
      <c r="T6" s="11"/>
    </row>
    <row r="7" spans="1:20">
      <c r="A7" s="1"/>
      <c r="B7" s="39" t="s">
        <v>663</v>
      </c>
      <c r="C7" s="166"/>
      <c r="D7" s="100">
        <v>1500</v>
      </c>
      <c r="E7" s="76"/>
      <c r="F7" s="39"/>
      <c r="G7" s="20"/>
      <c r="H7" s="11"/>
      <c r="I7" s="76"/>
      <c r="J7" s="18"/>
      <c r="K7" s="20"/>
      <c r="L7" s="77"/>
      <c r="N7" s="18"/>
      <c r="O7" s="20"/>
      <c r="P7" s="11"/>
      <c r="R7" s="18"/>
      <c r="S7" s="20"/>
      <c r="T7" s="77"/>
    </row>
    <row r="8" spans="1:20">
      <c r="B8" s="39" t="s">
        <v>870</v>
      </c>
      <c r="C8" s="166"/>
      <c r="D8" s="100">
        <v>3000</v>
      </c>
      <c r="E8" s="18"/>
      <c r="F8" s="39"/>
      <c r="G8" s="20"/>
      <c r="H8" s="11"/>
      <c r="I8" s="76"/>
      <c r="J8" s="18"/>
      <c r="K8" s="20"/>
      <c r="L8" s="77"/>
      <c r="N8" s="18"/>
      <c r="O8" s="20"/>
      <c r="P8" s="19"/>
      <c r="R8" s="18"/>
      <c r="S8" s="20"/>
      <c r="T8" s="39"/>
    </row>
    <row r="9" spans="1:20">
      <c r="B9" s="39" t="s">
        <v>880</v>
      </c>
      <c r="C9" s="166"/>
      <c r="D9" s="100">
        <v>3000</v>
      </c>
      <c r="E9" s="174" t="s">
        <v>25</v>
      </c>
      <c r="F9" s="39"/>
      <c r="G9" s="20"/>
      <c r="H9" s="11"/>
      <c r="I9" s="18"/>
      <c r="J9" s="18"/>
      <c r="K9" s="20"/>
      <c r="L9" s="77"/>
      <c r="N9" s="18"/>
      <c r="O9" s="18"/>
      <c r="P9" s="20"/>
      <c r="R9" s="18"/>
      <c r="S9" s="18"/>
      <c r="T9" s="18"/>
    </row>
    <row r="10" spans="1:20">
      <c r="B10" s="39" t="s">
        <v>881</v>
      </c>
      <c r="C10" s="166"/>
      <c r="D10" s="100">
        <v>1000</v>
      </c>
      <c r="E10" s="138" t="s">
        <v>886</v>
      </c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18"/>
      <c r="S10" s="18"/>
      <c r="T10" s="18"/>
    </row>
    <row r="11" spans="1:20">
      <c r="B11" s="39" t="s">
        <v>76</v>
      </c>
      <c r="C11" s="166"/>
      <c r="D11" s="100">
        <v>1400</v>
      </c>
      <c r="E11" s="39" t="s">
        <v>887</v>
      </c>
      <c r="F11" s="39"/>
      <c r="G11" s="20"/>
      <c r="H11" s="11"/>
      <c r="I11" s="18"/>
      <c r="J11" s="18"/>
      <c r="K11" s="20"/>
      <c r="L11" s="77"/>
    </row>
    <row r="12" spans="1:20">
      <c r="B12" s="39" t="s">
        <v>43</v>
      </c>
      <c r="C12" s="166"/>
      <c r="D12" s="100">
        <v>4200</v>
      </c>
      <c r="E12" s="39"/>
      <c r="F12" s="39"/>
      <c r="G12" s="20"/>
      <c r="H12" s="11"/>
      <c r="I12" s="16"/>
      <c r="J12" s="18"/>
      <c r="K12" s="20"/>
      <c r="L12" s="77"/>
    </row>
    <row r="13" spans="1:20">
      <c r="B13" s="39" t="s">
        <v>230</v>
      </c>
      <c r="C13" s="166"/>
      <c r="D13" s="100">
        <v>300</v>
      </c>
      <c r="E13" s="39"/>
      <c r="F13" s="39"/>
      <c r="G13" s="20"/>
      <c r="H13" s="11"/>
      <c r="I13" s="18"/>
      <c r="J13" s="18"/>
      <c r="K13" s="20"/>
      <c r="L13" s="77"/>
    </row>
    <row r="14" spans="1:20">
      <c r="B14" s="39" t="s">
        <v>22</v>
      </c>
      <c r="C14" s="166">
        <v>350</v>
      </c>
      <c r="D14" s="11"/>
      <c r="E14" s="39"/>
      <c r="F14" s="39"/>
      <c r="G14" s="20"/>
      <c r="H14" s="11"/>
      <c r="I14" s="18"/>
      <c r="J14" s="18"/>
      <c r="K14" s="20"/>
      <c r="L14" s="77"/>
    </row>
    <row r="15" spans="1:20">
      <c r="B15" s="39" t="s">
        <v>885</v>
      </c>
      <c r="C15" s="166"/>
      <c r="D15" s="100">
        <v>2000</v>
      </c>
      <c r="E15" s="117"/>
      <c r="F15" s="39"/>
      <c r="G15" s="20"/>
      <c r="H15" s="11"/>
      <c r="I15" s="18"/>
      <c r="J15" s="91"/>
      <c r="K15" s="20"/>
      <c r="L15" s="77"/>
    </row>
    <row r="16" spans="1:20">
      <c r="B16" s="39"/>
      <c r="C16" s="166"/>
      <c r="D16" s="11"/>
      <c r="E16" s="39"/>
      <c r="F16" s="39"/>
      <c r="G16" s="20"/>
      <c r="H16" s="11"/>
      <c r="I16" s="18"/>
      <c r="J16" s="18"/>
      <c r="K16" s="20"/>
      <c r="L16" s="77"/>
    </row>
    <row r="17" spans="2:20">
      <c r="B17" s="39"/>
      <c r="C17" s="166"/>
      <c r="D17" s="11"/>
      <c r="E17" s="39"/>
      <c r="F17" s="39"/>
      <c r="G17" s="20"/>
      <c r="H17" s="11"/>
      <c r="I17" s="18"/>
      <c r="J17" s="18"/>
      <c r="K17" s="20"/>
      <c r="L17" s="77"/>
    </row>
    <row r="18" spans="2:20">
      <c r="B18" s="39"/>
      <c r="C18" s="166"/>
      <c r="D18" s="11"/>
      <c r="E18" s="39"/>
      <c r="F18" s="39"/>
      <c r="G18" s="20"/>
      <c r="H18" s="11"/>
      <c r="K18" s="20"/>
      <c r="L18" s="77"/>
    </row>
    <row r="19" spans="2:20">
      <c r="B19" s="39"/>
      <c r="C19" s="166"/>
      <c r="D19" s="11"/>
      <c r="E19" s="96"/>
      <c r="F19" s="39"/>
      <c r="G19" s="20"/>
      <c r="H19" s="11"/>
      <c r="J19" s="2"/>
      <c r="K19" s="20"/>
      <c r="L19" s="77"/>
    </row>
    <row r="20" spans="2:20">
      <c r="B20" s="39"/>
      <c r="C20" s="166"/>
      <c r="D20" s="11"/>
      <c r="F20" s="39"/>
      <c r="G20" s="20"/>
      <c r="H20" s="11"/>
      <c r="K20" s="20"/>
      <c r="L20" s="77"/>
    </row>
    <row r="21" spans="2:20">
      <c r="B21" s="39"/>
      <c r="C21" s="166"/>
      <c r="D21" s="11"/>
      <c r="F21" s="39"/>
      <c r="G21" s="20"/>
      <c r="H21" s="11"/>
      <c r="L21" s="77"/>
    </row>
    <row r="22" spans="2:20">
      <c r="B22" s="39"/>
      <c r="C22" s="166"/>
      <c r="D22" s="11"/>
      <c r="F22" s="39"/>
      <c r="G22" s="20"/>
      <c r="H22" s="11"/>
      <c r="L22" s="77"/>
    </row>
    <row r="23" spans="2:20">
      <c r="B23" s="39"/>
      <c r="C23" s="166"/>
      <c r="D23" s="11"/>
      <c r="G23" s="20"/>
      <c r="H23" s="11"/>
      <c r="L23" s="77"/>
    </row>
    <row r="24" spans="2:20">
      <c r="B24" s="39"/>
      <c r="C24" s="166"/>
      <c r="D24" s="11"/>
      <c r="G24" s="20"/>
      <c r="H24" s="11"/>
      <c r="L24" s="77"/>
    </row>
    <row r="25" spans="2:20">
      <c r="B25" s="39"/>
      <c r="C25" s="166"/>
      <c r="D25" s="11"/>
      <c r="G25" s="20"/>
      <c r="H25" s="11"/>
      <c r="L25" s="77"/>
    </row>
    <row r="26" spans="2:20">
      <c r="B26" s="39"/>
      <c r="C26" s="166"/>
      <c r="D26" s="11"/>
      <c r="G26" s="20"/>
      <c r="H26" s="11"/>
      <c r="L26" s="77"/>
      <c r="R26" t="s">
        <v>80</v>
      </c>
    </row>
    <row r="27" spans="2:20">
      <c r="B27" s="39"/>
      <c r="C27" s="166"/>
      <c r="D27" s="11"/>
      <c r="G27" s="20"/>
      <c r="H27" s="11"/>
      <c r="L27" s="77"/>
    </row>
    <row r="28" spans="2:20">
      <c r="B28" s="39"/>
      <c r="C28" s="166"/>
      <c r="D28" s="11"/>
      <c r="G28" s="20"/>
      <c r="H28" s="11"/>
      <c r="L28" s="77"/>
    </row>
    <row r="29" spans="2:20">
      <c r="B29" s="39"/>
      <c r="C29" s="20"/>
      <c r="D29" s="11"/>
      <c r="G29" s="20"/>
      <c r="H29" s="11"/>
      <c r="L29" s="77"/>
    </row>
    <row r="30" spans="2:20">
      <c r="B30" s="39"/>
      <c r="C30" s="20"/>
      <c r="D30" s="11"/>
      <c r="G30" s="20"/>
      <c r="H30" s="19"/>
    </row>
    <row r="31" spans="2:20">
      <c r="B31" t="s">
        <v>2</v>
      </c>
      <c r="C31" s="2">
        <f>SUM(C2:C29)</f>
        <v>21392.26</v>
      </c>
      <c r="D31" s="2">
        <f>SUM(D3:D30)</f>
        <v>18400</v>
      </c>
      <c r="F31" t="s">
        <v>2</v>
      </c>
      <c r="G31" s="2">
        <f>SUM(G2:G30)</f>
        <v>6965.68</v>
      </c>
      <c r="H31" s="2">
        <f>SUM(H3:H30)</f>
        <v>3800</v>
      </c>
      <c r="J31" t="s">
        <v>2</v>
      </c>
      <c r="K31" s="2">
        <f>SUM(K1:K10)</f>
        <v>33818.81</v>
      </c>
      <c r="L31" s="2">
        <f>SUM(L2:L10)</f>
        <v>0</v>
      </c>
      <c r="N31" t="s">
        <v>2</v>
      </c>
      <c r="O31" s="2">
        <f>SUM(O1:O10)</f>
        <v>2000</v>
      </c>
      <c r="P31" s="2">
        <f>SUM(P2:P10)</f>
        <v>500</v>
      </c>
      <c r="R31" t="s">
        <v>2</v>
      </c>
      <c r="S31" s="2">
        <f>SUM(S1:S10)</f>
        <v>0</v>
      </c>
      <c r="T31" s="2">
        <f>SUM(T2:T10)</f>
        <v>0</v>
      </c>
    </row>
    <row r="32" spans="2:20">
      <c r="D32" s="2">
        <f>C31-D31</f>
        <v>2992.2599999999984</v>
      </c>
      <c r="H32" s="2">
        <f>G31-H31</f>
        <v>3165.6800000000003</v>
      </c>
      <c r="L32" s="2">
        <f>K31-L31</f>
        <v>33818.81</v>
      </c>
      <c r="P32" s="2">
        <f>O31-P31</f>
        <v>1500</v>
      </c>
      <c r="T32" s="2">
        <f>S31-T31</f>
        <v>0</v>
      </c>
    </row>
    <row r="33" spans="1:26">
      <c r="A33">
        <v>1032.8900000000001</v>
      </c>
    </row>
    <row r="34" spans="1:26">
      <c r="A34" s="2">
        <f>A33-D32</f>
        <v>-1959.3699999999983</v>
      </c>
      <c r="V34" s="102">
        <v>43026</v>
      </c>
    </row>
    <row r="35" spans="1:26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</row>
    <row r="36" spans="1:26">
      <c r="B36" t="s">
        <v>0</v>
      </c>
      <c r="C36" s="3">
        <v>0</v>
      </c>
      <c r="D36" s="4"/>
      <c r="F36" t="s">
        <v>0</v>
      </c>
      <c r="G36" s="3"/>
      <c r="H36" s="168">
        <v>1884.61</v>
      </c>
      <c r="J36" t="s">
        <v>0</v>
      </c>
      <c r="K36" s="3"/>
      <c r="L36" s="168">
        <v>3261.75</v>
      </c>
      <c r="M36" s="33"/>
      <c r="N36" t="s">
        <v>0</v>
      </c>
      <c r="O36" s="3"/>
      <c r="P36" s="168">
        <v>7798.61</v>
      </c>
      <c r="R36" t="s">
        <v>872</v>
      </c>
      <c r="S36" s="101">
        <v>-8800</v>
      </c>
      <c r="T36" s="118">
        <v>6</v>
      </c>
      <c r="U36" s="119">
        <f>S36/T36</f>
        <v>-1466.6666666666667</v>
      </c>
      <c r="V36" s="118">
        <v>1</v>
      </c>
      <c r="W36" s="119">
        <f>U36*V36</f>
        <v>-1466.6666666666667</v>
      </c>
      <c r="X36" s="119">
        <f>S36-W36</f>
        <v>-7333.333333333333</v>
      </c>
      <c r="Y36" t="s">
        <v>437</v>
      </c>
    </row>
    <row r="37" spans="1:26">
      <c r="B37" s="39" t="s">
        <v>503</v>
      </c>
      <c r="C37" s="1"/>
      <c r="D37" s="1">
        <v>0</v>
      </c>
      <c r="F37" s="33"/>
      <c r="G37" s="13"/>
      <c r="H37" s="14"/>
      <c r="J37" t="s">
        <v>875</v>
      </c>
      <c r="K37" s="19">
        <v>0</v>
      </c>
      <c r="L37" s="14"/>
      <c r="M37" s="29"/>
      <c r="N37" t="s">
        <v>878</v>
      </c>
      <c r="O37" s="171">
        <v>300</v>
      </c>
      <c r="P37" s="11"/>
      <c r="Q37" s="93"/>
      <c r="R37" t="s">
        <v>873</v>
      </c>
      <c r="S37" s="101">
        <v>-3057</v>
      </c>
      <c r="T37" s="118">
        <v>12</v>
      </c>
      <c r="U37" s="119">
        <f>S37/T37</f>
        <v>-254.75</v>
      </c>
      <c r="V37" s="118">
        <v>1</v>
      </c>
      <c r="W37" s="119">
        <f>U37*V37</f>
        <v>-254.75</v>
      </c>
      <c r="X37" s="119">
        <f>S37-W37</f>
        <v>-2802.25</v>
      </c>
      <c r="Y37" t="s">
        <v>888</v>
      </c>
    </row>
    <row r="38" spans="1:26">
      <c r="B38" s="39"/>
      <c r="C38" s="1"/>
      <c r="D38" s="11"/>
      <c r="G38" s="12"/>
      <c r="H38" s="11"/>
      <c r="I38" s="8"/>
      <c r="J38" t="s">
        <v>876</v>
      </c>
      <c r="K38" s="19">
        <v>1604.27</v>
      </c>
      <c r="L38" s="14"/>
      <c r="N38" t="s">
        <v>169</v>
      </c>
      <c r="O38" s="171">
        <v>400</v>
      </c>
      <c r="P38" s="11"/>
      <c r="R38" t="s">
        <v>874</v>
      </c>
      <c r="S38" s="101">
        <v>-3090</v>
      </c>
      <c r="T38" s="118">
        <v>12</v>
      </c>
      <c r="U38" s="119">
        <f t="shared" ref="U38:U43" si="0">S38/T38</f>
        <v>-257.5</v>
      </c>
      <c r="V38" s="118">
        <v>1</v>
      </c>
      <c r="W38" s="119">
        <f t="shared" ref="W38:W43" si="1">U38*V38</f>
        <v>-257.5</v>
      </c>
      <c r="X38" s="119">
        <f t="shared" ref="X38:X43" si="2">S38-W38</f>
        <v>-2832.5</v>
      </c>
      <c r="Y38" t="s">
        <v>889</v>
      </c>
    </row>
    <row r="39" spans="1:26">
      <c r="B39" s="39"/>
      <c r="C39" s="1"/>
      <c r="D39" s="11"/>
      <c r="H39" s="11"/>
      <c r="J39" s="33"/>
      <c r="K39" s="19"/>
      <c r="L39" s="14"/>
      <c r="N39" s="39"/>
      <c r="O39" s="19"/>
      <c r="P39" s="11"/>
      <c r="Q39" s="29"/>
      <c r="R39" t="s">
        <v>890</v>
      </c>
      <c r="S39" s="101">
        <v>11175</v>
      </c>
      <c r="T39" s="118">
        <v>18</v>
      </c>
      <c r="U39" s="119">
        <f t="shared" si="0"/>
        <v>620.83333333333337</v>
      </c>
      <c r="V39" s="118">
        <v>1</v>
      </c>
      <c r="W39" s="119">
        <f t="shared" si="1"/>
        <v>620.83333333333337</v>
      </c>
      <c r="X39" s="119">
        <f t="shared" si="2"/>
        <v>10554.166666666666</v>
      </c>
      <c r="Y39" t="s">
        <v>888</v>
      </c>
    </row>
    <row r="40" spans="1:26">
      <c r="B40" s="39"/>
      <c r="C40" s="20"/>
      <c r="D40" s="11"/>
      <c r="H40" s="11"/>
      <c r="K40" s="19"/>
      <c r="L40" s="24">
        <v>452.75</v>
      </c>
      <c r="N40" s="39"/>
      <c r="O40" s="19"/>
      <c r="P40" s="11"/>
      <c r="S40" s="101">
        <v>0</v>
      </c>
      <c r="T40" s="118">
        <v>1</v>
      </c>
      <c r="U40" s="119">
        <f t="shared" si="0"/>
        <v>0</v>
      </c>
      <c r="V40" s="118">
        <v>1</v>
      </c>
      <c r="W40" s="119">
        <f t="shared" si="1"/>
        <v>0</v>
      </c>
      <c r="X40" s="119">
        <f t="shared" si="2"/>
        <v>0</v>
      </c>
    </row>
    <row r="41" spans="1:26">
      <c r="B41" s="39"/>
      <c r="C41" s="20"/>
      <c r="D41" s="11"/>
      <c r="H41" s="11"/>
      <c r="J41" t="s">
        <v>891</v>
      </c>
      <c r="K41" s="27">
        <v>500</v>
      </c>
      <c r="L41" s="11"/>
      <c r="M41" s="29"/>
      <c r="N41" s="39"/>
      <c r="O41" s="19"/>
      <c r="P41" s="11"/>
      <c r="Q41" s="29"/>
      <c r="S41" s="101">
        <v>0</v>
      </c>
      <c r="T41" s="118">
        <v>1</v>
      </c>
      <c r="U41" s="119">
        <f t="shared" si="0"/>
        <v>0</v>
      </c>
      <c r="V41" s="118">
        <v>1</v>
      </c>
      <c r="W41" s="119">
        <f t="shared" si="1"/>
        <v>0</v>
      </c>
      <c r="X41" s="119">
        <f t="shared" si="2"/>
        <v>0</v>
      </c>
    </row>
    <row r="42" spans="1:26">
      <c r="B42" s="39"/>
      <c r="C42" s="20"/>
      <c r="D42" s="11"/>
      <c r="H42" s="11"/>
      <c r="J42" t="s">
        <v>892</v>
      </c>
      <c r="K42" s="19"/>
      <c r="L42" s="24">
        <v>620.83000000000004</v>
      </c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si="1"/>
        <v>0</v>
      </c>
      <c r="X42" s="119">
        <f t="shared" si="2"/>
        <v>0</v>
      </c>
    </row>
    <row r="43" spans="1:26">
      <c r="B43" s="39"/>
      <c r="C43" s="20"/>
      <c r="D43" s="11"/>
      <c r="H43" s="11"/>
      <c r="J43" t="s">
        <v>47</v>
      </c>
      <c r="K43" s="19"/>
      <c r="L43" s="24">
        <v>454</v>
      </c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6">
      <c r="B44" s="39"/>
      <c r="C44" s="20"/>
      <c r="D44" s="11"/>
      <c r="H44" s="11"/>
      <c r="J44" t="s">
        <v>313</v>
      </c>
      <c r="K44" s="27">
        <v>500</v>
      </c>
      <c r="L44" s="11"/>
      <c r="N44" s="39"/>
      <c r="O44" s="19"/>
      <c r="P44" s="11"/>
      <c r="Q44" s="8"/>
      <c r="R44" t="s">
        <v>11</v>
      </c>
      <c r="S44" s="2">
        <f>SUM(S36:S43)</f>
        <v>-3772</v>
      </c>
      <c r="X44" s="2">
        <f>SUM(X36:X43)</f>
        <v>-2413.9166666666661</v>
      </c>
    </row>
    <row r="45" spans="1:26">
      <c r="B45" s="39"/>
      <c r="C45" s="20"/>
      <c r="D45" s="11"/>
      <c r="F45" t="s">
        <v>893</v>
      </c>
      <c r="G45" s="1">
        <v>1300</v>
      </c>
      <c r="H45" s="11"/>
      <c r="J45" t="s">
        <v>169</v>
      </c>
      <c r="K45" s="27">
        <v>1000</v>
      </c>
      <c r="L45" s="11"/>
      <c r="N45" s="39"/>
      <c r="O45" s="19"/>
      <c r="P45" s="11"/>
    </row>
    <row r="46" spans="1:26">
      <c r="B46" s="39"/>
      <c r="C46" s="20"/>
      <c r="D46" s="11"/>
      <c r="H46" s="11"/>
      <c r="K46" s="19"/>
      <c r="L46" s="11"/>
      <c r="N46" s="39"/>
      <c r="O46" s="19"/>
      <c r="P46" s="11"/>
      <c r="Q46" s="33"/>
      <c r="S46" s="2"/>
    </row>
    <row r="47" spans="1:26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6">
      <c r="B48" s="12"/>
      <c r="C48" s="20"/>
      <c r="D48" s="11"/>
      <c r="E48" s="29"/>
      <c r="H48" s="14"/>
      <c r="K48" s="19"/>
      <c r="L48" s="11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1300</v>
      </c>
      <c r="H54" s="2">
        <f>SUM(H36:H52)</f>
        <v>1884.61</v>
      </c>
      <c r="J54" t="s">
        <v>2</v>
      </c>
      <c r="K54" s="2">
        <f>SUM(K36:K51)</f>
        <v>3604.27</v>
      </c>
      <c r="L54" s="2">
        <f>SUM(L36:L49)</f>
        <v>4789.33</v>
      </c>
      <c r="N54" t="s">
        <v>2</v>
      </c>
      <c r="O54" s="2">
        <f>SUM(O36:O53)</f>
        <v>700</v>
      </c>
      <c r="P54" s="2">
        <f>SUM(P36:P53)</f>
        <v>7798.61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-584.6099999999999</v>
      </c>
      <c r="L55" s="2">
        <f>K54-L54</f>
        <v>-1185.06</v>
      </c>
      <c r="M55" t="s">
        <v>879</v>
      </c>
      <c r="N55" s="2">
        <f>X37</f>
        <v>-2802.25</v>
      </c>
      <c r="P55" s="2">
        <f>O54-P54</f>
        <v>-7098.61</v>
      </c>
      <c r="Q55" t="s">
        <v>877</v>
      </c>
      <c r="R55" s="2">
        <f>X36</f>
        <v>-7333.333333333333</v>
      </c>
      <c r="S55" s="1"/>
      <c r="AA55" t="s">
        <v>239</v>
      </c>
      <c r="AB55" s="1">
        <v>10261.049999999999</v>
      </c>
    </row>
    <row r="56" spans="2:28">
      <c r="L56" s="2">
        <f>L55-N55</f>
        <v>1617.19</v>
      </c>
      <c r="P56" s="2">
        <f>P55-R55</f>
        <v>234.72333333333336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1145.75</v>
      </c>
      <c r="L58" s="2"/>
      <c r="P58" s="2">
        <v>465.28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/>
      <c r="I60" s="41"/>
      <c r="J60" s="41"/>
      <c r="K60" s="41"/>
      <c r="L60" s="51"/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1145.75</v>
      </c>
      <c r="I62" s="44"/>
      <c r="J62" s="44"/>
      <c r="K62" s="44"/>
      <c r="L62" s="45">
        <f>L60+L58</f>
        <v>0</v>
      </c>
      <c r="M62" s="44"/>
      <c r="N62" s="44"/>
      <c r="O62" s="44"/>
      <c r="P62" s="45">
        <f>P60+P58</f>
        <v>465.28</v>
      </c>
      <c r="T62" t="s">
        <v>98</v>
      </c>
      <c r="V62" s="1">
        <f>Z62-Z63</f>
        <v>1018.6799999999998</v>
      </c>
      <c r="W62" s="2">
        <f>S63-V62</f>
        <v>592.35000000000014</v>
      </c>
      <c r="X62" s="2">
        <f>W62/2</f>
        <v>296.17500000000007</v>
      </c>
      <c r="Z62" s="1">
        <v>4200</v>
      </c>
      <c r="AA62" s="2">
        <f>X64+Z62</f>
        <v>4496.1750000000002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1611.03</v>
      </c>
      <c r="Z63" s="1">
        <v>3181.32</v>
      </c>
      <c r="AA63" s="2">
        <f>X65+Z63</f>
        <v>4496.1750000000002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296.17500000000007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1314.855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12753.57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9">
    <mergeCell ref="S1:T1"/>
    <mergeCell ref="C35:D35"/>
    <mergeCell ref="G35:H35"/>
    <mergeCell ref="K35:L35"/>
    <mergeCell ref="O35:P35"/>
    <mergeCell ref="C1:D1"/>
    <mergeCell ref="G1:H1"/>
    <mergeCell ref="K1:L1"/>
    <mergeCell ref="O1:P1"/>
  </mergeCells>
  <conditionalFormatting sqref="P55 L55 H32 L32 D55 H55 D32 P32 T32">
    <cfRule type="cellIs" dxfId="45" priority="1" operator="less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B93"/>
  <sheetViews>
    <sheetView topLeftCell="A10" workbookViewId="0">
      <selection activeCell="T26" sqref="T26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822</v>
      </c>
      <c r="P1" s="218"/>
      <c r="S1" s="218" t="s">
        <v>902</v>
      </c>
      <c r="T1" s="218"/>
      <c r="W1" s="218" t="s">
        <v>903</v>
      </c>
      <c r="X1" s="218"/>
    </row>
    <row r="2" spans="1:24">
      <c r="B2" s="18" t="s">
        <v>0</v>
      </c>
      <c r="C2" s="94">
        <v>0</v>
      </c>
      <c r="D2" s="74"/>
      <c r="E2" s="18"/>
      <c r="F2" s="18" t="s">
        <v>0</v>
      </c>
      <c r="G2" s="75">
        <v>2657.6</v>
      </c>
      <c r="H2" s="74"/>
      <c r="I2" s="18"/>
      <c r="J2" s="18" t="s">
        <v>0</v>
      </c>
      <c r="K2" s="73">
        <v>33818.81</v>
      </c>
      <c r="L2" s="74"/>
      <c r="N2" s="18"/>
      <c r="O2" s="73">
        <v>500</v>
      </c>
      <c r="P2" s="97"/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A3">
        <v>653.20000000000005</v>
      </c>
      <c r="B3" s="18" t="s">
        <v>39</v>
      </c>
      <c r="C3" s="23">
        <v>814.26</v>
      </c>
      <c r="D3" s="11"/>
      <c r="E3" s="76"/>
      <c r="F3" s="39" t="s">
        <v>201</v>
      </c>
      <c r="G3" s="20">
        <v>3000</v>
      </c>
      <c r="H3" s="11"/>
      <c r="I3" s="18"/>
      <c r="J3" s="18" t="s">
        <v>620</v>
      </c>
      <c r="K3" s="20">
        <v>117.5</v>
      </c>
      <c r="L3" s="77"/>
      <c r="N3" s="18" t="s">
        <v>866</v>
      </c>
      <c r="O3" s="20">
        <v>321.81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A4">
        <v>8277.18</v>
      </c>
      <c r="B4" s="18" t="s">
        <v>40</v>
      </c>
      <c r="C4" s="23">
        <v>8315.25</v>
      </c>
      <c r="D4" s="11"/>
      <c r="E4" s="18"/>
      <c r="F4" s="39" t="s">
        <v>1</v>
      </c>
      <c r="G4" s="20">
        <v>3181.32</v>
      </c>
      <c r="H4" s="11"/>
      <c r="I4" s="18"/>
      <c r="J4" s="18" t="s">
        <v>860</v>
      </c>
      <c r="K4" s="20">
        <v>1000</v>
      </c>
      <c r="L4" s="77"/>
      <c r="N4" s="18"/>
      <c r="O4" s="20"/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A5">
        <v>8277.18</v>
      </c>
      <c r="B5" s="39" t="s">
        <v>815</v>
      </c>
      <c r="C5" s="23">
        <v>8315.25</v>
      </c>
      <c r="D5" s="11"/>
      <c r="E5" s="18"/>
      <c r="F5" s="39" t="s">
        <v>9</v>
      </c>
      <c r="G5" s="20"/>
      <c r="H5" s="11">
        <v>3181.32</v>
      </c>
      <c r="I5" s="18"/>
      <c r="J5" s="18" t="s">
        <v>871</v>
      </c>
      <c r="K5" s="20">
        <v>2999.44</v>
      </c>
      <c r="L5" s="77"/>
      <c r="N5" s="18"/>
      <c r="O5" s="20"/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 t="s">
        <v>662</v>
      </c>
      <c r="C6" s="166"/>
      <c r="D6" s="11">
        <v>400</v>
      </c>
      <c r="E6" s="18"/>
      <c r="F6" s="39"/>
      <c r="G6" s="20"/>
      <c r="H6" s="11"/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A7" s="1"/>
      <c r="B7" s="39" t="s">
        <v>663</v>
      </c>
      <c r="C7" s="166"/>
      <c r="D7" s="24">
        <v>1300</v>
      </c>
      <c r="E7" s="76"/>
      <c r="F7" s="39"/>
      <c r="G7" s="20"/>
      <c r="H7" s="11"/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/>
      <c r="X7" s="77"/>
    </row>
    <row r="8" spans="1:24">
      <c r="B8" s="39" t="s">
        <v>894</v>
      </c>
      <c r="C8" s="166"/>
      <c r="D8" s="24">
        <v>1300</v>
      </c>
      <c r="E8" s="18"/>
      <c r="F8" s="39"/>
      <c r="G8" s="20"/>
      <c r="H8" s="11"/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/>
      <c r="X8" s="39"/>
    </row>
    <row r="9" spans="1:24">
      <c r="B9" s="39" t="s">
        <v>870</v>
      </c>
      <c r="C9" s="166"/>
      <c r="D9" s="24">
        <v>3000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/>
      <c r="X9" s="18"/>
    </row>
    <row r="10" spans="1:24">
      <c r="B10" s="39" t="s">
        <v>880</v>
      </c>
      <c r="C10" s="166"/>
      <c r="D10" s="11">
        <v>3000</v>
      </c>
      <c r="E10" s="138"/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219" t="s">
        <v>28</v>
      </c>
      <c r="S10" s="19">
        <v>1000</v>
      </c>
      <c r="T10" s="18"/>
      <c r="V10" s="219" t="s">
        <v>908</v>
      </c>
      <c r="W10" s="19"/>
      <c r="X10" s="18"/>
    </row>
    <row r="11" spans="1:24">
      <c r="B11" s="39" t="s">
        <v>881</v>
      </c>
      <c r="C11" s="166"/>
      <c r="D11" s="11">
        <v>1000</v>
      </c>
      <c r="E11" s="39"/>
      <c r="F11" s="39"/>
      <c r="G11" s="20"/>
      <c r="H11" s="11"/>
      <c r="I11" s="18"/>
      <c r="J11" s="18"/>
      <c r="K11" s="20"/>
      <c r="L11" s="77"/>
      <c r="R11" s="219"/>
      <c r="S11" s="19">
        <v>1000</v>
      </c>
      <c r="V11" s="219"/>
      <c r="W11" s="19"/>
    </row>
    <row r="12" spans="1:24">
      <c r="B12" s="39" t="s">
        <v>76</v>
      </c>
      <c r="C12" s="166"/>
      <c r="D12" s="11">
        <v>1400</v>
      </c>
      <c r="E12" s="39"/>
      <c r="F12" s="39"/>
      <c r="G12" s="20"/>
      <c r="H12" s="11"/>
      <c r="I12" s="16"/>
      <c r="J12" s="18"/>
      <c r="K12" s="20"/>
      <c r="L12" s="77"/>
      <c r="R12" t="s">
        <v>106</v>
      </c>
      <c r="T12">
        <v>1500</v>
      </c>
    </row>
    <row r="13" spans="1:24">
      <c r="B13" s="39" t="s">
        <v>1</v>
      </c>
      <c r="C13" s="166"/>
      <c r="D13" s="24">
        <v>3181.32</v>
      </c>
      <c r="E13" s="39"/>
      <c r="F13" s="39"/>
      <c r="G13" s="20"/>
      <c r="H13" s="11"/>
      <c r="I13" s="18"/>
      <c r="J13" s="18"/>
      <c r="K13" s="20"/>
      <c r="L13" s="77"/>
    </row>
    <row r="14" spans="1:24">
      <c r="B14" s="39" t="s">
        <v>17</v>
      </c>
      <c r="C14" s="166"/>
      <c r="D14" s="24">
        <v>1300</v>
      </c>
      <c r="E14" s="39"/>
      <c r="F14" s="39"/>
      <c r="G14" s="20"/>
      <c r="H14" s="11"/>
      <c r="I14" s="18"/>
      <c r="J14" s="18"/>
      <c r="K14" s="20"/>
      <c r="L14" s="77"/>
    </row>
    <row r="15" spans="1:24">
      <c r="B15" s="39" t="s">
        <v>895</v>
      </c>
      <c r="C15" s="166">
        <v>10594.16</v>
      </c>
      <c r="D15" s="11"/>
      <c r="E15" s="117"/>
      <c r="F15" s="39"/>
      <c r="G15" s="20"/>
      <c r="H15" s="11"/>
      <c r="I15" s="18"/>
      <c r="J15" s="91"/>
      <c r="K15" s="20"/>
      <c r="L15" s="77"/>
    </row>
    <row r="16" spans="1:24">
      <c r="B16" s="39" t="s">
        <v>659</v>
      </c>
      <c r="C16" s="166"/>
      <c r="D16" s="11">
        <v>10594.16</v>
      </c>
      <c r="E16" s="39"/>
      <c r="F16" s="39"/>
      <c r="G16" s="20"/>
      <c r="H16" s="11"/>
      <c r="I16" s="18"/>
      <c r="J16" s="18"/>
      <c r="K16" s="20"/>
      <c r="L16" s="77"/>
    </row>
    <row r="17" spans="2:27">
      <c r="B17" s="39"/>
      <c r="C17" s="166"/>
      <c r="D17" s="11"/>
      <c r="E17" s="39"/>
      <c r="F17" s="39"/>
      <c r="G17" s="20"/>
      <c r="H17" s="11"/>
      <c r="I17" s="18"/>
      <c r="J17" s="18"/>
      <c r="K17" s="20"/>
      <c r="L17" s="77"/>
    </row>
    <row r="18" spans="2:27">
      <c r="B18" s="39"/>
      <c r="C18" s="166"/>
      <c r="D18" s="11"/>
      <c r="E18" s="39"/>
      <c r="F18" s="39"/>
      <c r="G18" s="20"/>
      <c r="H18" s="11"/>
      <c r="K18" s="20"/>
      <c r="L18" s="77"/>
    </row>
    <row r="19" spans="2:27">
      <c r="B19" s="39"/>
      <c r="C19" s="166"/>
      <c r="D19" s="11"/>
      <c r="E19" s="96"/>
      <c r="F19" s="39"/>
      <c r="G19" s="20"/>
      <c r="H19" s="11"/>
      <c r="J19" s="2"/>
      <c r="K19" s="20"/>
      <c r="L19" s="77"/>
    </row>
    <row r="20" spans="2:27">
      <c r="B20" s="39"/>
      <c r="C20" s="166"/>
      <c r="D20" s="11"/>
      <c r="F20" s="39"/>
      <c r="G20" s="20"/>
      <c r="H20" s="11"/>
      <c r="K20" s="20"/>
      <c r="L20" s="77"/>
    </row>
    <row r="21" spans="2:27">
      <c r="B21" s="39"/>
      <c r="C21" s="166"/>
      <c r="D21" s="11"/>
      <c r="F21" s="39"/>
      <c r="G21" s="20"/>
      <c r="H21" s="11"/>
      <c r="L21" s="77"/>
    </row>
    <row r="22" spans="2:27">
      <c r="B22" s="39"/>
      <c r="C22" s="166"/>
      <c r="D22" s="11"/>
      <c r="F22" s="39"/>
      <c r="G22" s="20"/>
      <c r="H22" s="11"/>
      <c r="L22" s="77"/>
    </row>
    <row r="23" spans="2:27">
      <c r="B23" s="39"/>
      <c r="C23" s="166"/>
      <c r="D23" s="11"/>
      <c r="G23" s="20"/>
      <c r="H23" s="11"/>
      <c r="L23" s="77"/>
    </row>
    <row r="24" spans="2:27">
      <c r="B24" s="39"/>
      <c r="C24" s="166"/>
      <c r="D24" s="11"/>
      <c r="G24" s="20"/>
      <c r="H24" s="11"/>
      <c r="L24" s="77"/>
    </row>
    <row r="25" spans="2:27">
      <c r="B25" s="39"/>
      <c r="C25" s="166"/>
      <c r="D25" s="11"/>
      <c r="G25" s="20"/>
      <c r="H25" s="11"/>
      <c r="L25" s="77"/>
    </row>
    <row r="26" spans="2:27">
      <c r="B26" s="39"/>
      <c r="C26" s="166"/>
      <c r="D26" s="11"/>
      <c r="G26" s="20"/>
      <c r="H26" s="11"/>
      <c r="L26" s="77"/>
      <c r="R26" t="s">
        <v>80</v>
      </c>
      <c r="V26" t="s">
        <v>80</v>
      </c>
    </row>
    <row r="27" spans="2:27">
      <c r="B27" s="39"/>
      <c r="C27" s="166"/>
      <c r="D27" s="11"/>
      <c r="G27" s="20"/>
      <c r="H27" s="11"/>
      <c r="L27" s="77"/>
    </row>
    <row r="28" spans="2:27">
      <c r="B28" s="39"/>
      <c r="C28" s="166"/>
      <c r="D28" s="11"/>
      <c r="G28" s="20"/>
      <c r="H28" s="11"/>
      <c r="L28" s="77"/>
    </row>
    <row r="29" spans="2:27" ht="15.75" thickBot="1">
      <c r="B29" s="39"/>
      <c r="C29" s="20"/>
      <c r="D29" s="11"/>
      <c r="G29" s="20"/>
      <c r="H29" s="11"/>
      <c r="L29" s="77"/>
    </row>
    <row r="30" spans="2:27">
      <c r="B30" s="39"/>
      <c r="C30" s="20"/>
      <c r="D30" s="11"/>
      <c r="G30" s="20"/>
      <c r="H30" s="19"/>
      <c r="Y30" t="s">
        <v>899</v>
      </c>
      <c r="AA30" s="179">
        <v>1500</v>
      </c>
    </row>
    <row r="31" spans="2:27">
      <c r="B31" t="s">
        <v>2</v>
      </c>
      <c r="C31" s="2">
        <f>SUM(C2:C29)</f>
        <v>28038.920000000002</v>
      </c>
      <c r="D31" s="2">
        <f>SUM(D3:D30)</f>
        <v>26475.48</v>
      </c>
      <c r="F31" t="s">
        <v>2</v>
      </c>
      <c r="G31" s="2">
        <f>SUM(G2:G30)</f>
        <v>8838.92</v>
      </c>
      <c r="H31" s="2">
        <f>SUM(H3:H30)</f>
        <v>3181.32</v>
      </c>
      <c r="J31" t="s">
        <v>2</v>
      </c>
      <c r="K31" s="2">
        <f>SUM(K1:K10)</f>
        <v>37935.75</v>
      </c>
      <c r="L31" s="2">
        <f>SUM(L2:L10)</f>
        <v>0</v>
      </c>
      <c r="N31" t="s">
        <v>2</v>
      </c>
      <c r="O31" s="2">
        <f>SUM(O1:O10)</f>
        <v>821.81</v>
      </c>
      <c r="P31" s="2">
        <f>SUM(P2:P10)</f>
        <v>0</v>
      </c>
      <c r="R31" t="s">
        <v>2</v>
      </c>
      <c r="S31" s="2">
        <f>SUM(S1:S15)</f>
        <v>9500</v>
      </c>
      <c r="T31" s="2">
        <f>SUM(T1:T15)</f>
        <v>1500</v>
      </c>
      <c r="V31" t="s">
        <v>2</v>
      </c>
      <c r="W31" s="2">
        <f>SUM(W1:W10)</f>
        <v>1000</v>
      </c>
      <c r="X31" s="2">
        <f>SUM(X2:X10)</f>
        <v>0</v>
      </c>
      <c r="AA31" s="177">
        <v>1500</v>
      </c>
    </row>
    <row r="32" spans="2:27">
      <c r="D32" s="2">
        <f>C31-D31</f>
        <v>1563.4400000000023</v>
      </c>
      <c r="H32" s="2">
        <f>G31-H31</f>
        <v>5657.6</v>
      </c>
      <c r="L32" s="2">
        <f>K31-L31</f>
        <v>37935.75</v>
      </c>
      <c r="P32" s="2">
        <f>O31-P31</f>
        <v>821.81</v>
      </c>
      <c r="T32" s="2">
        <f>S31-T31</f>
        <v>8000</v>
      </c>
      <c r="X32" s="2">
        <f>W31-X31</f>
        <v>1000</v>
      </c>
      <c r="AA32" s="177">
        <v>1500</v>
      </c>
    </row>
    <row r="33" spans="1:27">
      <c r="A33">
        <v>1032.8900000000001</v>
      </c>
      <c r="AA33" s="177">
        <v>1500</v>
      </c>
    </row>
    <row r="34" spans="1:27">
      <c r="A34" s="2">
        <f>A33-D32</f>
        <v>-530.55000000000223</v>
      </c>
      <c r="V34" s="102">
        <v>43026</v>
      </c>
      <c r="AA34" s="177">
        <v>1500</v>
      </c>
    </row>
    <row r="35" spans="1:27" ht="15.75" thickBot="1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  <c r="AA35" s="178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168">
        <v>1884.61</v>
      </c>
      <c r="J36" t="s">
        <v>0</v>
      </c>
      <c r="K36" s="3"/>
      <c r="L36" s="168">
        <v>13857.71</v>
      </c>
      <c r="M36" s="33"/>
      <c r="N36" t="s">
        <v>0</v>
      </c>
      <c r="O36" s="3"/>
      <c r="P36" s="168">
        <v>7798.61</v>
      </c>
      <c r="R36" t="s">
        <v>872</v>
      </c>
      <c r="S36" s="101">
        <v>-8800</v>
      </c>
      <c r="T36" s="118">
        <v>6</v>
      </c>
      <c r="U36" s="119">
        <f t="shared" ref="U36:U43" si="0">S36/T36</f>
        <v>-1466.6666666666667</v>
      </c>
      <c r="V36" s="118">
        <v>1</v>
      </c>
      <c r="W36" s="119">
        <f>U36*V36</f>
        <v>-1466.6666666666667</v>
      </c>
      <c r="X36" s="119">
        <f>S36-W36</f>
        <v>-7333.333333333333</v>
      </c>
      <c r="Y36" t="s">
        <v>437</v>
      </c>
    </row>
    <row r="37" spans="1:27">
      <c r="B37" s="39" t="s">
        <v>503</v>
      </c>
      <c r="C37" s="1"/>
      <c r="D37" s="1">
        <v>0</v>
      </c>
      <c r="F37" s="33"/>
      <c r="G37" s="13"/>
      <c r="H37" s="14"/>
      <c r="J37" t="s">
        <v>875</v>
      </c>
      <c r="K37" s="19">
        <v>0</v>
      </c>
      <c r="L37" s="14"/>
      <c r="M37" s="29"/>
      <c r="N37" t="s">
        <v>878</v>
      </c>
      <c r="O37" s="171">
        <v>300</v>
      </c>
      <c r="P37" s="11"/>
      <c r="Q37" s="93"/>
      <c r="S37" s="101"/>
      <c r="T37" s="118"/>
      <c r="U37" s="119"/>
      <c r="V37" s="118"/>
      <c r="W37" s="119"/>
      <c r="X37" s="119"/>
    </row>
    <row r="38" spans="1:27">
      <c r="B38" s="39"/>
      <c r="C38" s="1"/>
      <c r="D38" s="11"/>
      <c r="G38" s="12"/>
      <c r="H38" s="11"/>
      <c r="I38" s="8"/>
      <c r="J38" t="s">
        <v>876</v>
      </c>
      <c r="K38" s="19">
        <v>1604.27</v>
      </c>
      <c r="L38" s="14"/>
      <c r="N38" t="s">
        <v>169</v>
      </c>
      <c r="O38" s="171">
        <v>400</v>
      </c>
      <c r="P38" s="11"/>
      <c r="R38" t="s">
        <v>874</v>
      </c>
      <c r="S38" s="101">
        <v>-3090</v>
      </c>
      <c r="T38" s="118">
        <v>12</v>
      </c>
      <c r="U38" s="119">
        <f t="shared" si="0"/>
        <v>-257.5</v>
      </c>
      <c r="V38" s="118">
        <v>1</v>
      </c>
      <c r="W38" s="119">
        <f t="shared" ref="W38:W43" si="1">U38*V38</f>
        <v>-257.5</v>
      </c>
      <c r="X38" s="119">
        <f t="shared" ref="X38:X43" si="2">S38-W38</f>
        <v>-2832.5</v>
      </c>
      <c r="Y38" t="s">
        <v>889</v>
      </c>
    </row>
    <row r="39" spans="1:27">
      <c r="B39" s="39"/>
      <c r="C39" s="1"/>
      <c r="D39" s="11"/>
      <c r="H39" s="11"/>
      <c r="J39" t="s">
        <v>896</v>
      </c>
      <c r="K39" s="19">
        <v>10594.16</v>
      </c>
      <c r="L39" s="14"/>
      <c r="N39" s="39"/>
      <c r="O39" s="19"/>
      <c r="P39" s="11"/>
      <c r="Q39" s="29"/>
      <c r="R39" t="s">
        <v>890</v>
      </c>
      <c r="S39" s="101">
        <v>-11175</v>
      </c>
      <c r="T39" s="118">
        <v>18</v>
      </c>
      <c r="U39" s="119">
        <f t="shared" si="0"/>
        <v>-620.83333333333337</v>
      </c>
      <c r="V39" s="118">
        <v>1</v>
      </c>
      <c r="W39" s="119">
        <f t="shared" si="1"/>
        <v>-620.83333333333337</v>
      </c>
      <c r="X39" s="119">
        <f t="shared" si="2"/>
        <v>-10554.166666666666</v>
      </c>
      <c r="Y39" t="s">
        <v>888</v>
      </c>
    </row>
    <row r="40" spans="1:27">
      <c r="B40" s="39"/>
      <c r="C40" s="20"/>
      <c r="D40" s="11"/>
      <c r="F40" s="176"/>
      <c r="H40" s="11"/>
      <c r="J40" t="s">
        <v>897</v>
      </c>
      <c r="K40" s="19">
        <v>444</v>
      </c>
      <c r="L40" s="11">
        <v>444</v>
      </c>
      <c r="M40" t="s">
        <v>898</v>
      </c>
      <c r="N40" s="39"/>
      <c r="O40" s="19"/>
      <c r="P40" s="11"/>
      <c r="S40" s="101">
        <v>0</v>
      </c>
      <c r="T40" s="118">
        <v>1</v>
      </c>
      <c r="U40" s="119">
        <f t="shared" si="0"/>
        <v>0</v>
      </c>
      <c r="V40" s="118">
        <v>1</v>
      </c>
      <c r="W40" s="119">
        <f t="shared" si="1"/>
        <v>0</v>
      </c>
      <c r="X40" s="119">
        <f t="shared" si="2"/>
        <v>0</v>
      </c>
    </row>
    <row r="41" spans="1:27">
      <c r="B41" s="39"/>
      <c r="C41" s="20"/>
      <c r="D41" s="11"/>
      <c r="F41" s="116"/>
      <c r="H41" s="11"/>
      <c r="K41" s="19"/>
      <c r="L41" s="11"/>
      <c r="M41" s="29"/>
      <c r="N41" s="39"/>
      <c r="O41" s="19"/>
      <c r="P41" s="11"/>
      <c r="Q41" s="29"/>
      <c r="S41" s="101">
        <v>0</v>
      </c>
      <c r="T41" s="118">
        <v>1</v>
      </c>
      <c r="U41" s="119">
        <f t="shared" si="0"/>
        <v>0</v>
      </c>
      <c r="V41" s="118">
        <v>1</v>
      </c>
      <c r="W41" s="119">
        <f t="shared" si="1"/>
        <v>0</v>
      </c>
      <c r="X41" s="119">
        <f t="shared" si="2"/>
        <v>0</v>
      </c>
    </row>
    <row r="42" spans="1:27">
      <c r="B42" s="39"/>
      <c r="C42" s="20"/>
      <c r="D42" s="11"/>
      <c r="H42" s="11"/>
      <c r="K42" s="19"/>
      <c r="L42" s="11"/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si="1"/>
        <v>0</v>
      </c>
      <c r="X42" s="119">
        <f t="shared" si="2"/>
        <v>0</v>
      </c>
    </row>
    <row r="43" spans="1:27">
      <c r="B43" s="39"/>
      <c r="C43" s="20"/>
      <c r="D43" s="11"/>
      <c r="H43" s="11"/>
      <c r="K43" s="19"/>
      <c r="L43" s="11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/>
      <c r="O44" s="19"/>
      <c r="P44" s="11"/>
      <c r="Q44" s="8"/>
      <c r="R44" t="s">
        <v>11</v>
      </c>
      <c r="S44" s="2">
        <f>SUM(S36:S43)</f>
        <v>-23065</v>
      </c>
      <c r="X44" s="2">
        <f>SUM(X36:X43)</f>
        <v>-20720</v>
      </c>
    </row>
    <row r="45" spans="1:27">
      <c r="B45" s="39"/>
      <c r="C45" s="20"/>
      <c r="D45" s="11"/>
      <c r="F45" t="s">
        <v>893</v>
      </c>
      <c r="G45" s="1">
        <v>1300</v>
      </c>
      <c r="H45" s="11"/>
      <c r="K45" s="19"/>
      <c r="L45" s="11"/>
      <c r="N45" s="39"/>
      <c r="O45" s="19"/>
      <c r="P45" s="11"/>
    </row>
    <row r="46" spans="1:27">
      <c r="B46" s="39"/>
      <c r="C46" s="20"/>
      <c r="D46" s="11"/>
      <c r="H46" s="11"/>
      <c r="K46" s="19"/>
      <c r="L46" s="11"/>
      <c r="N46" s="39"/>
      <c r="O46" s="19"/>
      <c r="P46" s="11"/>
      <c r="Q46" s="33"/>
      <c r="S46" s="2"/>
    </row>
    <row r="47" spans="1:27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7">
      <c r="B48" s="12"/>
      <c r="C48" s="20"/>
      <c r="D48" s="11"/>
      <c r="E48" s="29"/>
      <c r="H48" s="14"/>
      <c r="K48" s="19"/>
      <c r="L48" s="11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1300</v>
      </c>
      <c r="H54" s="2">
        <f>SUM(H36:H52)</f>
        <v>1884.61</v>
      </c>
      <c r="J54" t="s">
        <v>2</v>
      </c>
      <c r="K54" s="2">
        <f>SUM(K36:K51)</f>
        <v>12642.43</v>
      </c>
      <c r="L54" s="2">
        <f>SUM(L36:L49)</f>
        <v>14301.71</v>
      </c>
      <c r="N54" t="s">
        <v>2</v>
      </c>
      <c r="O54" s="2">
        <f>SUM(O36:O53)</f>
        <v>700</v>
      </c>
      <c r="P54" s="2">
        <f>SUM(P36:P53)</f>
        <v>7798.61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-584.6099999999999</v>
      </c>
      <c r="L55" s="2">
        <f>K54-L54</f>
        <v>-1659.2799999999988</v>
      </c>
      <c r="M55" t="s">
        <v>879</v>
      </c>
      <c r="N55" s="2">
        <f>X37</f>
        <v>0</v>
      </c>
      <c r="P55" s="2">
        <f>O54-P54</f>
        <v>-7098.61</v>
      </c>
      <c r="Q55" t="s">
        <v>877</v>
      </c>
      <c r="R55" s="2">
        <f>X36</f>
        <v>-7333.333333333333</v>
      </c>
      <c r="S55" s="1"/>
      <c r="AA55" t="s">
        <v>239</v>
      </c>
      <c r="AB55" s="1">
        <v>10261.049999999999</v>
      </c>
    </row>
    <row r="56" spans="2:28">
      <c r="L56" s="2">
        <f>L55-N55</f>
        <v>-1659.2799999999988</v>
      </c>
      <c r="P56" s="2">
        <f>P55-R55</f>
        <v>234.72333333333336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1145.75</v>
      </c>
      <c r="L58" s="2"/>
      <c r="P58" s="2">
        <v>465.28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/>
      <c r="I60" s="41"/>
      <c r="J60" s="41"/>
      <c r="K60" s="41"/>
      <c r="L60" s="51"/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1145.75</v>
      </c>
      <c r="I62" s="44"/>
      <c r="J62" s="44"/>
      <c r="K62" s="44"/>
      <c r="L62" s="45">
        <f>L60+L58</f>
        <v>0</v>
      </c>
      <c r="M62" s="44"/>
      <c r="N62" s="44"/>
      <c r="O62" s="44"/>
      <c r="P62" s="45">
        <f>P60+P58</f>
        <v>465.28</v>
      </c>
      <c r="T62" t="s">
        <v>98</v>
      </c>
      <c r="V62" s="1">
        <f>Z62-Z63</f>
        <v>1018.6799999999998</v>
      </c>
      <c r="W62" s="2">
        <f>S63-V62</f>
        <v>592.35000000000014</v>
      </c>
      <c r="X62" s="2">
        <f>W62/2</f>
        <v>296.17500000000007</v>
      </c>
      <c r="Z62" s="1">
        <v>4200</v>
      </c>
      <c r="AA62" s="2">
        <f>X64+Z62</f>
        <v>4496.1750000000002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1611.03</v>
      </c>
      <c r="Z63" s="1">
        <v>3181.32</v>
      </c>
      <c r="AA63" s="2">
        <f>X65+Z63</f>
        <v>4496.1750000000002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296.17500000000007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1314.855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12753.57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8:R9"/>
    <mergeCell ref="R6:R7"/>
    <mergeCell ref="C35:D35"/>
    <mergeCell ref="G35:H35"/>
    <mergeCell ref="K35:L35"/>
    <mergeCell ref="O35:P35"/>
    <mergeCell ref="R10:R11"/>
    <mergeCell ref="C1:D1"/>
    <mergeCell ref="G1:H1"/>
    <mergeCell ref="K1:L1"/>
    <mergeCell ref="O1:P1"/>
    <mergeCell ref="S1:T1"/>
    <mergeCell ref="W1:X1"/>
    <mergeCell ref="V6:V7"/>
    <mergeCell ref="V8:V9"/>
    <mergeCell ref="V10:V11"/>
    <mergeCell ref="V2:V3"/>
    <mergeCell ref="V4:V5"/>
  </mergeCells>
  <conditionalFormatting sqref="P55 L55 H32 L32 D55 H55 D32 P32 T32">
    <cfRule type="cellIs" dxfId="43" priority="3" operator="lessThan">
      <formula>0</formula>
    </cfRule>
    <cfRule type="cellIs" dxfId="42" priority="4" operator="greaterThan">
      <formula>0</formula>
    </cfRule>
  </conditionalFormatting>
  <conditionalFormatting sqref="X32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93"/>
  <sheetViews>
    <sheetView topLeftCell="L43" workbookViewId="0">
      <selection activeCell="S63" sqref="S6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822</v>
      </c>
      <c r="P1" s="218"/>
      <c r="S1" s="218" t="s">
        <v>902</v>
      </c>
      <c r="T1" s="218"/>
      <c r="W1" s="218" t="s">
        <v>903</v>
      </c>
      <c r="X1" s="218"/>
    </row>
    <row r="2" spans="1:24">
      <c r="B2" s="18" t="s">
        <v>0</v>
      </c>
      <c r="C2" s="94">
        <v>0</v>
      </c>
      <c r="D2" s="74"/>
      <c r="E2" s="18"/>
      <c r="F2" s="18" t="s">
        <v>0</v>
      </c>
      <c r="G2" s="75">
        <f>6952.9-260</f>
        <v>6692.9</v>
      </c>
      <c r="H2" s="74"/>
      <c r="I2" s="18"/>
      <c r="J2" s="18" t="s">
        <v>0</v>
      </c>
      <c r="K2" s="73">
        <v>42753.82</v>
      </c>
      <c r="L2" s="74"/>
      <c r="N2" s="18"/>
      <c r="O2" s="73">
        <v>500</v>
      </c>
      <c r="P2" s="97"/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760.1</v>
      </c>
      <c r="D3" s="11"/>
      <c r="E3" s="76"/>
      <c r="F3" s="39" t="s">
        <v>201</v>
      </c>
      <c r="G3" s="20">
        <v>3000</v>
      </c>
      <c r="H3" s="11"/>
      <c r="I3" s="18"/>
      <c r="J3" s="18" t="s">
        <v>201</v>
      </c>
      <c r="K3" s="20">
        <v>2998.1</v>
      </c>
      <c r="L3" s="77"/>
      <c r="N3" s="18" t="s">
        <v>866</v>
      </c>
      <c r="O3" s="20">
        <v>321.81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8332.35</v>
      </c>
      <c r="D4" s="11"/>
      <c r="E4" s="18"/>
      <c r="F4" s="39" t="s">
        <v>251</v>
      </c>
      <c r="G4" s="20">
        <v>487.38</v>
      </c>
      <c r="H4" s="11"/>
      <c r="I4" s="18"/>
      <c r="J4" s="18" t="s">
        <v>911</v>
      </c>
      <c r="K4" s="20">
        <v>145.49</v>
      </c>
      <c r="L4" s="77"/>
      <c r="N4" s="18"/>
      <c r="O4" s="20"/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8332.35</v>
      </c>
      <c r="D5" s="11"/>
      <c r="E5" s="18"/>
      <c r="F5" s="39" t="s">
        <v>94</v>
      </c>
      <c r="G5" s="20"/>
      <c r="H5" s="11">
        <v>487.38</v>
      </c>
      <c r="I5" s="18"/>
      <c r="J5" s="18"/>
      <c r="K5" s="20"/>
      <c r="L5" s="77"/>
      <c r="N5" s="18"/>
      <c r="O5" s="20"/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/>
      <c r="C6" s="166"/>
      <c r="D6" s="11"/>
      <c r="E6" s="18"/>
      <c r="F6" s="39" t="s">
        <v>912</v>
      </c>
      <c r="G6" s="20"/>
      <c r="H6" s="11">
        <v>3796.22</v>
      </c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A7" s="1"/>
      <c r="B7" s="39" t="s">
        <v>662</v>
      </c>
      <c r="C7" s="166"/>
      <c r="D7" s="24">
        <v>1500</v>
      </c>
      <c r="E7" s="76"/>
      <c r="F7" s="39"/>
      <c r="G7" s="20"/>
      <c r="H7" s="11"/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/>
      <c r="X7" s="77"/>
    </row>
    <row r="8" spans="1:24">
      <c r="B8" s="39" t="s">
        <v>663</v>
      </c>
      <c r="C8" s="166"/>
      <c r="D8" s="24">
        <v>1500</v>
      </c>
      <c r="E8" s="18"/>
      <c r="F8" s="39"/>
      <c r="G8" s="20"/>
      <c r="H8" s="11"/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/>
      <c r="X8" s="39"/>
    </row>
    <row r="9" spans="1:24">
      <c r="B9" s="39" t="s">
        <v>870</v>
      </c>
      <c r="C9" s="166"/>
      <c r="D9" s="24">
        <v>3000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/>
      <c r="X9" s="18"/>
    </row>
    <row r="10" spans="1:24">
      <c r="B10" s="39" t="s">
        <v>880</v>
      </c>
      <c r="C10" s="166"/>
      <c r="D10" s="24">
        <v>2998.1</v>
      </c>
      <c r="E10" s="138"/>
      <c r="F10" s="39"/>
      <c r="G10" s="20"/>
      <c r="H10" s="11"/>
      <c r="I10" s="18"/>
      <c r="J10" s="18"/>
      <c r="K10" s="20"/>
      <c r="L10" s="77"/>
      <c r="N10" s="18"/>
      <c r="O10" s="18"/>
      <c r="P10" s="18"/>
      <c r="R10" s="219" t="s">
        <v>28</v>
      </c>
      <c r="S10" s="19">
        <v>1000</v>
      </c>
      <c r="T10" s="18"/>
      <c r="V10" s="219" t="s">
        <v>908</v>
      </c>
      <c r="W10" s="19"/>
      <c r="X10" s="18"/>
    </row>
    <row r="11" spans="1:24">
      <c r="B11" s="39"/>
      <c r="C11" s="166"/>
      <c r="D11" s="11"/>
      <c r="E11" s="39"/>
      <c r="F11" s="39"/>
      <c r="G11" s="20"/>
      <c r="H11" s="11"/>
      <c r="I11" s="18"/>
      <c r="J11" s="18"/>
      <c r="K11" s="20"/>
      <c r="L11" s="77"/>
      <c r="R11" s="219"/>
      <c r="S11" s="19">
        <v>1000</v>
      </c>
      <c r="V11" s="219"/>
      <c r="W11" s="19"/>
    </row>
    <row r="12" spans="1:24">
      <c r="B12" s="39" t="s">
        <v>76</v>
      </c>
      <c r="C12" s="166"/>
      <c r="D12" s="11">
        <v>1500</v>
      </c>
      <c r="E12" s="39"/>
      <c r="F12" s="39"/>
      <c r="G12" s="20"/>
      <c r="H12" s="11"/>
      <c r="I12" s="16"/>
      <c r="J12" s="18"/>
      <c r="K12" s="20"/>
      <c r="L12" s="77"/>
    </row>
    <row r="13" spans="1:24">
      <c r="B13" s="39" t="s">
        <v>43</v>
      </c>
      <c r="C13" s="166"/>
      <c r="D13" s="11">
        <v>4200</v>
      </c>
      <c r="E13" s="39"/>
      <c r="F13" s="39"/>
      <c r="G13" s="20"/>
      <c r="H13" s="11"/>
      <c r="I13" s="18"/>
      <c r="J13" s="18"/>
      <c r="K13" s="20"/>
      <c r="L13" s="77"/>
    </row>
    <row r="14" spans="1:24">
      <c r="A14" t="s">
        <v>910</v>
      </c>
      <c r="B14" s="64" t="s">
        <v>437</v>
      </c>
      <c r="C14" s="180"/>
      <c r="D14" s="58">
        <v>487.38</v>
      </c>
      <c r="E14" s="39"/>
      <c r="F14" s="39"/>
      <c r="G14" s="20"/>
      <c r="H14" s="11"/>
      <c r="I14" s="18"/>
      <c r="J14" s="18"/>
      <c r="K14" s="20"/>
      <c r="L14" s="77"/>
    </row>
    <row r="15" spans="1:24">
      <c r="B15" s="66" t="s">
        <v>588</v>
      </c>
      <c r="C15" s="181"/>
      <c r="D15" s="69">
        <v>1260</v>
      </c>
      <c r="E15" s="117"/>
      <c r="F15" s="39"/>
      <c r="G15" s="20"/>
      <c r="H15" s="11"/>
      <c r="I15" s="18"/>
      <c r="J15" s="91"/>
      <c r="K15" s="20"/>
      <c r="L15" s="77"/>
      <c r="N15" s="2"/>
    </row>
    <row r="16" spans="1:24">
      <c r="B16" s="67" t="s">
        <v>396</v>
      </c>
      <c r="C16" s="182"/>
      <c r="D16" s="61">
        <v>176</v>
      </c>
      <c r="E16" s="39"/>
      <c r="F16" s="39"/>
      <c r="G16" s="20"/>
      <c r="H16" s="11"/>
      <c r="I16" s="18"/>
      <c r="J16" s="18"/>
      <c r="K16" s="20"/>
      <c r="L16" s="77"/>
    </row>
    <row r="17" spans="2:27">
      <c r="B17" s="39"/>
      <c r="C17" s="166"/>
      <c r="D17" s="11"/>
      <c r="E17" s="39"/>
      <c r="F17" s="39"/>
      <c r="G17" s="20"/>
      <c r="H17" s="11"/>
      <c r="I17" s="18"/>
      <c r="J17" s="18"/>
      <c r="K17" s="20"/>
      <c r="L17" s="77"/>
    </row>
    <row r="18" spans="2:27">
      <c r="B18" s="39"/>
      <c r="C18" s="166"/>
      <c r="D18" s="24"/>
      <c r="E18" s="39"/>
      <c r="F18" s="39"/>
      <c r="G18" s="20"/>
      <c r="H18" s="11"/>
      <c r="K18" s="20"/>
      <c r="L18" s="77"/>
    </row>
    <row r="19" spans="2:27">
      <c r="B19" s="39"/>
      <c r="C19" s="166"/>
      <c r="D19" s="11"/>
      <c r="E19" s="96"/>
      <c r="F19" s="39"/>
      <c r="G19" s="20"/>
      <c r="H19" s="11"/>
      <c r="J19" s="2"/>
      <c r="K19" s="20"/>
      <c r="L19" s="77"/>
    </row>
    <row r="20" spans="2:27">
      <c r="B20" s="39"/>
      <c r="C20" s="166"/>
      <c r="D20" s="11"/>
      <c r="F20" s="39"/>
      <c r="G20" s="20"/>
      <c r="H20" s="11"/>
      <c r="K20" s="20"/>
      <c r="L20" s="77"/>
    </row>
    <row r="21" spans="2:27">
      <c r="B21" s="39"/>
      <c r="C21" s="166"/>
      <c r="D21" s="11"/>
      <c r="F21" s="39"/>
      <c r="G21" s="20"/>
      <c r="H21" s="11"/>
      <c r="L21" s="77"/>
    </row>
    <row r="22" spans="2:27">
      <c r="B22" s="39"/>
      <c r="C22" s="166"/>
      <c r="D22" s="11"/>
      <c r="F22" s="39"/>
      <c r="G22" s="20"/>
      <c r="H22" s="11"/>
      <c r="L22" s="77"/>
    </row>
    <row r="23" spans="2:27">
      <c r="B23" s="39"/>
      <c r="C23" s="166"/>
      <c r="D23" s="11"/>
      <c r="G23" s="20"/>
      <c r="H23" s="11"/>
      <c r="L23" s="77"/>
    </row>
    <row r="24" spans="2:27">
      <c r="B24" s="39"/>
      <c r="C24" s="166"/>
      <c r="D24" s="11"/>
      <c r="G24" s="20"/>
      <c r="H24" s="11"/>
      <c r="L24" s="77"/>
    </row>
    <row r="25" spans="2:27">
      <c r="B25" s="39"/>
      <c r="C25" s="166"/>
      <c r="D25" s="11"/>
      <c r="G25" s="20"/>
      <c r="H25" s="11"/>
      <c r="L25" s="77"/>
    </row>
    <row r="26" spans="2:27">
      <c r="B26" s="39"/>
      <c r="C26" s="166"/>
      <c r="D26" s="11"/>
      <c r="G26" s="20"/>
      <c r="H26" s="11"/>
      <c r="L26" s="77"/>
      <c r="R26" t="s">
        <v>80</v>
      </c>
      <c r="V26" t="s">
        <v>80</v>
      </c>
    </row>
    <row r="27" spans="2:27">
      <c r="B27" s="39"/>
      <c r="C27" s="166"/>
      <c r="D27" s="11"/>
      <c r="G27" s="20"/>
      <c r="H27" s="11"/>
      <c r="L27" s="77"/>
    </row>
    <row r="28" spans="2:27">
      <c r="B28" s="39"/>
      <c r="C28" s="166"/>
      <c r="D28" s="11"/>
      <c r="G28" s="20"/>
      <c r="H28" s="11"/>
      <c r="L28" s="77"/>
    </row>
    <row r="29" spans="2:27" ht="15.75" thickBot="1">
      <c r="B29" s="39"/>
      <c r="C29" s="20"/>
      <c r="D29" s="11"/>
      <c r="G29" s="20"/>
      <c r="H29" s="11"/>
      <c r="L29" s="77"/>
    </row>
    <row r="30" spans="2:27">
      <c r="B30" s="39"/>
      <c r="C30" s="20"/>
      <c r="D30" s="11"/>
      <c r="G30" s="20"/>
      <c r="H30" s="19"/>
      <c r="Y30" t="s">
        <v>899</v>
      </c>
      <c r="AA30" s="179">
        <v>1500</v>
      </c>
    </row>
    <row r="31" spans="2:27">
      <c r="B31" t="s">
        <v>2</v>
      </c>
      <c r="C31" s="2">
        <f>SUM(C2:C29)</f>
        <v>17424.800000000003</v>
      </c>
      <c r="D31" s="2">
        <f>SUM(D3:D30)</f>
        <v>16621.48</v>
      </c>
      <c r="F31" t="s">
        <v>2</v>
      </c>
      <c r="G31" s="2">
        <f>SUM(G2:G30)</f>
        <v>10180.279999999999</v>
      </c>
      <c r="H31" s="2">
        <f>SUM(H3:H30)</f>
        <v>4283.5999999999995</v>
      </c>
      <c r="J31" t="s">
        <v>2</v>
      </c>
      <c r="K31" s="2">
        <f>SUM(K1:K10)</f>
        <v>45897.409999999996</v>
      </c>
      <c r="L31" s="2">
        <f>SUM(L2:L10)</f>
        <v>0</v>
      </c>
      <c r="N31" t="s">
        <v>2</v>
      </c>
      <c r="O31" s="2">
        <f>SUM(O1:O10)</f>
        <v>821.81</v>
      </c>
      <c r="P31" s="2">
        <f>SUM(P2:P10)</f>
        <v>0</v>
      </c>
      <c r="R31" t="s">
        <v>2</v>
      </c>
      <c r="S31" s="2">
        <f>SUM(S1:S10)</f>
        <v>8500</v>
      </c>
      <c r="T31" s="2">
        <f>SUM(T2:T10)</f>
        <v>0</v>
      </c>
      <c r="V31" t="s">
        <v>2</v>
      </c>
      <c r="W31" s="2">
        <f>SUM(W1:W10)</f>
        <v>1000</v>
      </c>
      <c r="X31" s="2">
        <f>SUM(X2:X10)</f>
        <v>0</v>
      </c>
      <c r="AA31" s="177">
        <v>1500</v>
      </c>
    </row>
    <row r="32" spans="2:27">
      <c r="D32" s="2">
        <f>C31-D31</f>
        <v>803.32000000000335</v>
      </c>
      <c r="H32" s="2">
        <f>G31-H31</f>
        <v>5896.6799999999994</v>
      </c>
      <c r="L32" s="2">
        <f>K31-L31</f>
        <v>45897.409999999996</v>
      </c>
      <c r="P32" s="2">
        <f>O31-P31</f>
        <v>821.81</v>
      </c>
      <c r="T32" s="2">
        <f>S31-T31</f>
        <v>8500</v>
      </c>
      <c r="X32" s="2">
        <f>W31-X31</f>
        <v>1000</v>
      </c>
      <c r="AA32" s="177">
        <v>1500</v>
      </c>
    </row>
    <row r="33" spans="1:27">
      <c r="A33">
        <v>1032.8900000000001</v>
      </c>
      <c r="AA33" s="177">
        <v>1500</v>
      </c>
    </row>
    <row r="34" spans="1:27">
      <c r="A34" s="2">
        <f>A33-D32</f>
        <v>229.56999999999675</v>
      </c>
      <c r="V34" s="102">
        <v>43026</v>
      </c>
      <c r="AA34" s="177">
        <v>1500</v>
      </c>
    </row>
    <row r="35" spans="1:27" ht="15.75" thickBot="1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  <c r="AA35" s="178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168">
        <v>1259.8900000000001</v>
      </c>
      <c r="J36" t="s">
        <v>0</v>
      </c>
      <c r="K36" s="3"/>
      <c r="L36" s="168">
        <v>1808.9</v>
      </c>
      <c r="M36" s="33"/>
      <c r="N36" t="s">
        <v>0</v>
      </c>
      <c r="O36" s="3"/>
      <c r="P36" s="168">
        <v>2247.38</v>
      </c>
      <c r="R36" t="s">
        <v>872</v>
      </c>
      <c r="S36" s="101">
        <v>-8800</v>
      </c>
      <c r="T36" s="118">
        <v>6</v>
      </c>
      <c r="U36" s="119">
        <f t="shared" ref="U36:U43" si="0">S36/T36</f>
        <v>-1466.6666666666667</v>
      </c>
      <c r="V36" s="118">
        <v>1</v>
      </c>
      <c r="W36" s="119">
        <f>U36*V36</f>
        <v>-1466.6666666666667</v>
      </c>
      <c r="X36" s="119">
        <f>S36-W36</f>
        <v>-7333.333333333333</v>
      </c>
      <c r="Y36" t="s">
        <v>437</v>
      </c>
    </row>
    <row r="37" spans="1:27">
      <c r="B37" s="39" t="s">
        <v>503</v>
      </c>
      <c r="C37" s="1"/>
      <c r="D37" s="1">
        <v>0</v>
      </c>
      <c r="G37" s="13"/>
      <c r="H37" s="14"/>
      <c r="J37" t="s">
        <v>169</v>
      </c>
      <c r="K37" s="171">
        <v>856.35</v>
      </c>
      <c r="L37" s="14"/>
      <c r="M37" s="29"/>
      <c r="N37" t="s">
        <v>909</v>
      </c>
      <c r="O37" s="171">
        <v>1500</v>
      </c>
      <c r="P37" s="11"/>
      <c r="Q37" s="93"/>
      <c r="S37" s="101"/>
      <c r="T37" s="118"/>
      <c r="U37" s="119"/>
      <c r="V37" s="118"/>
      <c r="W37" s="119"/>
      <c r="X37" s="119"/>
    </row>
    <row r="38" spans="1:27">
      <c r="B38" s="39"/>
      <c r="C38" s="1"/>
      <c r="D38" s="11"/>
      <c r="G38" s="12"/>
      <c r="H38" s="11"/>
      <c r="I38" s="8"/>
      <c r="J38" t="s">
        <v>349</v>
      </c>
      <c r="K38" s="19">
        <v>298.07</v>
      </c>
      <c r="L38" s="14"/>
      <c r="N38" t="s">
        <v>120</v>
      </c>
      <c r="O38" s="171">
        <v>260</v>
      </c>
      <c r="P38" s="11"/>
      <c r="R38" t="s">
        <v>874</v>
      </c>
      <c r="S38" s="101">
        <v>-3090</v>
      </c>
      <c r="T38" s="118">
        <v>12</v>
      </c>
      <c r="U38" s="119">
        <f t="shared" si="0"/>
        <v>-257.5</v>
      </c>
      <c r="V38" s="118">
        <v>1</v>
      </c>
      <c r="W38" s="119">
        <f t="shared" ref="W38:W43" si="1">U38*V38</f>
        <v>-257.5</v>
      </c>
      <c r="X38" s="119">
        <f t="shared" ref="X38:X43" si="2">S38-W38</f>
        <v>-2832.5</v>
      </c>
      <c r="Y38" t="s">
        <v>889</v>
      </c>
    </row>
    <row r="39" spans="1:27">
      <c r="B39" s="39"/>
      <c r="C39" s="1"/>
      <c r="D39" s="11"/>
      <c r="H39" s="11"/>
      <c r="J39" t="s">
        <v>163</v>
      </c>
      <c r="K39" s="19"/>
      <c r="L39" s="14">
        <v>1298.17</v>
      </c>
      <c r="N39" s="39"/>
      <c r="O39" s="19"/>
      <c r="P39" s="11"/>
      <c r="Q39" s="29"/>
      <c r="R39" t="s">
        <v>890</v>
      </c>
      <c r="S39" s="101">
        <v>-11175</v>
      </c>
      <c r="T39" s="118">
        <v>18</v>
      </c>
      <c r="U39" s="119">
        <f t="shared" si="0"/>
        <v>-620.83333333333337</v>
      </c>
      <c r="V39" s="118">
        <v>1</v>
      </c>
      <c r="W39" s="119">
        <f t="shared" si="1"/>
        <v>-620.83333333333337</v>
      </c>
      <c r="X39" s="119">
        <f t="shared" si="2"/>
        <v>-10554.166666666666</v>
      </c>
      <c r="Y39" t="s">
        <v>888</v>
      </c>
    </row>
    <row r="40" spans="1:27">
      <c r="B40" s="39"/>
      <c r="C40" s="20"/>
      <c r="D40" s="11"/>
      <c r="F40" s="176"/>
      <c r="H40" s="11"/>
      <c r="J40" t="s">
        <v>163</v>
      </c>
      <c r="K40" s="19"/>
      <c r="L40" s="11">
        <v>544.66999999999996</v>
      </c>
      <c r="N40" s="39"/>
      <c r="O40" s="19"/>
      <c r="P40" s="11"/>
      <c r="S40" s="101">
        <v>0</v>
      </c>
      <c r="T40" s="118">
        <v>1</v>
      </c>
      <c r="U40" s="119">
        <f t="shared" si="0"/>
        <v>0</v>
      </c>
      <c r="V40" s="118">
        <v>1</v>
      </c>
      <c r="W40" s="119">
        <f t="shared" si="1"/>
        <v>0</v>
      </c>
      <c r="X40" s="119">
        <f t="shared" si="2"/>
        <v>0</v>
      </c>
    </row>
    <row r="41" spans="1:27">
      <c r="B41" s="39"/>
      <c r="C41" s="20"/>
      <c r="D41" s="11"/>
      <c r="F41" s="116"/>
      <c r="H41" s="11"/>
      <c r="J41" t="s">
        <v>163</v>
      </c>
      <c r="K41" s="19"/>
      <c r="L41" s="11">
        <v>620.83000000000004</v>
      </c>
      <c r="M41" s="29"/>
      <c r="N41" s="39"/>
      <c r="O41" s="19"/>
      <c r="P41" s="11"/>
      <c r="Q41" s="29"/>
      <c r="S41" s="101">
        <v>0</v>
      </c>
      <c r="T41" s="118">
        <v>1</v>
      </c>
      <c r="U41" s="119">
        <f t="shared" si="0"/>
        <v>0</v>
      </c>
      <c r="V41" s="118">
        <v>1</v>
      </c>
      <c r="W41" s="119">
        <f t="shared" si="1"/>
        <v>0</v>
      </c>
      <c r="X41" s="119">
        <f t="shared" si="2"/>
        <v>0</v>
      </c>
    </row>
    <row r="42" spans="1:27">
      <c r="B42" s="39"/>
      <c r="C42" s="20"/>
      <c r="D42" s="11"/>
      <c r="H42" s="11"/>
      <c r="K42" s="19"/>
      <c r="L42" s="11"/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si="1"/>
        <v>0</v>
      </c>
      <c r="X42" s="119">
        <f t="shared" si="2"/>
        <v>0</v>
      </c>
    </row>
    <row r="43" spans="1:27">
      <c r="B43" s="39"/>
      <c r="C43" s="20"/>
      <c r="D43" s="11"/>
      <c r="H43" s="11"/>
      <c r="K43" s="19"/>
      <c r="L43" s="11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/>
      <c r="O44" s="19"/>
      <c r="P44" s="11"/>
      <c r="Q44" s="8"/>
      <c r="R44" t="s">
        <v>11</v>
      </c>
      <c r="S44" s="2">
        <f>SUM(S36:S43)</f>
        <v>-23065</v>
      </c>
      <c r="X44" s="2">
        <f>SUM(X36:X43)</f>
        <v>-20720</v>
      </c>
    </row>
    <row r="45" spans="1:27">
      <c r="B45" s="39"/>
      <c r="C45" s="20"/>
      <c r="D45" s="11"/>
      <c r="G45" s="1"/>
      <c r="H45" s="11"/>
      <c r="K45" s="19"/>
      <c r="L45" s="11"/>
      <c r="N45" s="39"/>
      <c r="O45" s="19"/>
      <c r="P45" s="11"/>
    </row>
    <row r="46" spans="1:27">
      <c r="B46" s="39"/>
      <c r="C46" s="20"/>
      <c r="D46" s="11"/>
      <c r="H46" s="11"/>
      <c r="K46" s="19"/>
      <c r="L46" s="11"/>
      <c r="N46" s="39"/>
      <c r="O46" s="19"/>
      <c r="P46" s="11"/>
      <c r="Q46" s="33"/>
      <c r="S46" s="2"/>
    </row>
    <row r="47" spans="1:27">
      <c r="B47" s="12"/>
      <c r="C47" s="20"/>
      <c r="D47" s="11"/>
      <c r="E47" s="29"/>
      <c r="H47" s="11"/>
      <c r="J47" t="s">
        <v>80</v>
      </c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7">
      <c r="B48" s="12"/>
      <c r="C48" s="20"/>
      <c r="D48" s="11"/>
      <c r="E48" s="29"/>
      <c r="H48" s="14"/>
      <c r="K48" s="19"/>
      <c r="L48" s="11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0</v>
      </c>
      <c r="H54" s="2">
        <f>SUM(H36:H52)</f>
        <v>1259.8900000000001</v>
      </c>
      <c r="J54" t="s">
        <v>2</v>
      </c>
      <c r="K54" s="2">
        <f>SUM(K36:K51)</f>
        <v>1154.42</v>
      </c>
      <c r="L54" s="2">
        <f>SUM(L36:L49)</f>
        <v>4272.5700000000006</v>
      </c>
      <c r="N54" t="s">
        <v>2</v>
      </c>
      <c r="O54" s="2">
        <f>SUM(O36:O53)</f>
        <v>1760</v>
      </c>
      <c r="P54" s="2">
        <f>SUM(P36:P53)</f>
        <v>2247.38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-1259.8900000000001</v>
      </c>
      <c r="L55" s="2">
        <f>K54-L54</f>
        <v>-3118.1500000000005</v>
      </c>
      <c r="M55" t="s">
        <v>879</v>
      </c>
      <c r="N55" s="2">
        <f>X37</f>
        <v>0</v>
      </c>
      <c r="P55" s="2">
        <f>O54-P54</f>
        <v>-487.38000000000011</v>
      </c>
      <c r="Q55" t="s">
        <v>877</v>
      </c>
      <c r="R55" s="2">
        <f>X36</f>
        <v>-7333.333333333333</v>
      </c>
      <c r="S55" s="1"/>
      <c r="AA55" t="s">
        <v>239</v>
      </c>
      <c r="AB55" s="1">
        <v>10261.049999999999</v>
      </c>
    </row>
    <row r="56" spans="2:28">
      <c r="L56" s="2">
        <f>L55-N55</f>
        <v>-3118.1500000000005</v>
      </c>
      <c r="P56" s="2">
        <f>P55-R55</f>
        <v>6845.9533333333329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1259.8900000000001</v>
      </c>
      <c r="L58" s="2">
        <v>3118.15</v>
      </c>
      <c r="P58" s="2">
        <v>487.38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-1435.99</v>
      </c>
      <c r="I60" s="41"/>
      <c r="J60" s="41"/>
      <c r="K60" s="41"/>
      <c r="L60" s="51">
        <v>-176</v>
      </c>
      <c r="M60" s="41"/>
      <c r="N60" s="41"/>
      <c r="O60" s="41"/>
      <c r="P60" s="51">
        <v>-1923.37</v>
      </c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-176.09999999999991</v>
      </c>
      <c r="I62" s="44"/>
      <c r="J62" s="44"/>
      <c r="K62" s="44"/>
      <c r="L62" s="45">
        <f>L60+L58</f>
        <v>2942.15</v>
      </c>
      <c r="M62" s="44"/>
      <c r="N62" s="44"/>
      <c r="O62" s="44"/>
      <c r="P62" s="45">
        <f>P60+P58</f>
        <v>-1435.9899999999998</v>
      </c>
      <c r="T62" t="s">
        <v>98</v>
      </c>
      <c r="V62" s="1">
        <f>Z62-Z63</f>
        <v>1018.6799999999998</v>
      </c>
      <c r="W62" s="2">
        <f>S63-V62</f>
        <v>3846.7400000000002</v>
      </c>
      <c r="X62" s="2">
        <f>W62/2</f>
        <v>1923.3700000000001</v>
      </c>
      <c r="Z62" s="1">
        <v>4200</v>
      </c>
      <c r="AA62" s="2">
        <f>X64+Z62</f>
        <v>6123.37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4865.42</v>
      </c>
      <c r="Z63" s="1">
        <v>3181.32</v>
      </c>
      <c r="AA63" s="2">
        <f>X65+Z63</f>
        <v>6123.3700000000008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1923.3700000000001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2942.05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12078.29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W1:X1"/>
    <mergeCell ref="C1:D1"/>
    <mergeCell ref="G1:H1"/>
    <mergeCell ref="K1:L1"/>
    <mergeCell ref="O1:P1"/>
    <mergeCell ref="S1:T1"/>
    <mergeCell ref="V2:V3"/>
    <mergeCell ref="V4:V5"/>
    <mergeCell ref="R6:R7"/>
    <mergeCell ref="V6:V7"/>
    <mergeCell ref="R8:R9"/>
    <mergeCell ref="V8:V9"/>
    <mergeCell ref="R10:R11"/>
    <mergeCell ref="V10:V11"/>
    <mergeCell ref="C35:D35"/>
    <mergeCell ref="G35:H35"/>
    <mergeCell ref="K35:L35"/>
    <mergeCell ref="O35:P35"/>
  </mergeCells>
  <conditionalFormatting sqref="P55 L55 H32 L32 D55 H55 D32 P32 T32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X32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AA59"/>
  <sheetViews>
    <sheetView topLeftCell="E1" workbookViewId="0">
      <selection activeCell="K29" sqref="K29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3</v>
      </c>
      <c r="L1" s="218"/>
    </row>
    <row r="2" spans="1:16">
      <c r="B2" t="s">
        <v>0</v>
      </c>
      <c r="C2" s="3">
        <v>1744.31</v>
      </c>
      <c r="D2" s="4"/>
      <c r="F2" t="s">
        <v>0</v>
      </c>
      <c r="G2" s="28">
        <v>10500</v>
      </c>
      <c r="H2" s="4"/>
      <c r="J2" t="s">
        <v>0</v>
      </c>
      <c r="K2" s="3">
        <f>'Balance Mzo 31'!L20</f>
        <v>83397.16</v>
      </c>
      <c r="L2" s="4"/>
    </row>
    <row r="3" spans="1:16">
      <c r="B3" t="s">
        <v>73</v>
      </c>
      <c r="C3" s="1"/>
      <c r="D3" s="24">
        <f>304.85*7</f>
        <v>2133.9500000000003</v>
      </c>
      <c r="E3" s="29">
        <v>39203</v>
      </c>
      <c r="F3" t="s">
        <v>3</v>
      </c>
      <c r="G3" s="23">
        <v>1000</v>
      </c>
      <c r="H3" s="11"/>
      <c r="J3" t="s">
        <v>8</v>
      </c>
      <c r="K3" s="23">
        <v>5000</v>
      </c>
      <c r="L3" s="7"/>
    </row>
    <row r="4" spans="1:16">
      <c r="B4" t="s">
        <v>39</v>
      </c>
      <c r="C4" s="23">
        <v>534.47</v>
      </c>
      <c r="D4" s="11"/>
      <c r="F4" t="s">
        <v>130</v>
      </c>
      <c r="G4" s="23">
        <v>240</v>
      </c>
      <c r="H4" s="11"/>
      <c r="J4" t="s">
        <v>37</v>
      </c>
      <c r="K4" s="23">
        <v>801.14</v>
      </c>
      <c r="L4" s="7"/>
    </row>
    <row r="5" spans="1:16">
      <c r="B5" t="s">
        <v>40</v>
      </c>
      <c r="C5" s="23">
        <v>15695.72</v>
      </c>
      <c r="D5" s="11"/>
      <c r="F5" t="s">
        <v>131</v>
      </c>
      <c r="G5" s="20"/>
      <c r="H5" s="24">
        <v>240</v>
      </c>
      <c r="J5" t="s">
        <v>147</v>
      </c>
      <c r="K5" s="1">
        <v>500</v>
      </c>
      <c r="L5" s="7"/>
    </row>
    <row r="6" spans="1:16">
      <c r="B6" t="s">
        <v>111</v>
      </c>
      <c r="C6" s="1"/>
      <c r="D6" s="23">
        <v>200</v>
      </c>
      <c r="F6" t="s">
        <v>145</v>
      </c>
      <c r="G6" s="20"/>
      <c r="H6" s="11">
        <v>2000</v>
      </c>
      <c r="K6" s="1"/>
      <c r="L6" s="7"/>
    </row>
    <row r="7" spans="1:16">
      <c r="B7" t="s">
        <v>3</v>
      </c>
      <c r="C7" s="1"/>
      <c r="D7" s="24">
        <v>1000</v>
      </c>
      <c r="E7" s="29"/>
      <c r="F7" t="s">
        <v>146</v>
      </c>
      <c r="G7" s="20"/>
      <c r="H7" s="11">
        <v>500</v>
      </c>
      <c r="K7" s="1"/>
      <c r="L7" s="7"/>
      <c r="P7" s="2"/>
    </row>
    <row r="8" spans="1:16">
      <c r="B8" t="s">
        <v>112</v>
      </c>
      <c r="C8" s="23">
        <v>500</v>
      </c>
      <c r="D8" s="11"/>
      <c r="G8" s="20"/>
      <c r="H8" s="11"/>
      <c r="K8" s="1"/>
      <c r="L8" s="22"/>
    </row>
    <row r="9" spans="1:16">
      <c r="B9" t="s">
        <v>113</v>
      </c>
      <c r="C9" s="1"/>
      <c r="D9" s="24">
        <v>500</v>
      </c>
      <c r="G9" s="20"/>
      <c r="H9" s="11"/>
    </row>
    <row r="10" spans="1:16">
      <c r="A10" t="s">
        <v>125</v>
      </c>
      <c r="B10" s="34" t="s">
        <v>123</v>
      </c>
      <c r="C10" s="35"/>
      <c r="D10" s="40">
        <v>240</v>
      </c>
      <c r="E10" s="29"/>
      <c r="G10" s="20"/>
      <c r="H10" s="11"/>
    </row>
    <row r="11" spans="1:16">
      <c r="B11" s="36" t="s">
        <v>124</v>
      </c>
      <c r="C11" s="25"/>
      <c r="D11" s="48">
        <v>1700</v>
      </c>
      <c r="G11" s="20"/>
      <c r="H11" s="11"/>
    </row>
    <row r="12" spans="1:16">
      <c r="B12" s="37" t="s">
        <v>16</v>
      </c>
      <c r="C12" s="38"/>
      <c r="D12" s="52">
        <v>1110.53</v>
      </c>
      <c r="F12" t="s">
        <v>80</v>
      </c>
      <c r="G12" s="20"/>
      <c r="H12" s="11"/>
    </row>
    <row r="13" spans="1:16">
      <c r="B13" s="39" t="s">
        <v>76</v>
      </c>
      <c r="C13" s="1"/>
      <c r="D13" s="24">
        <v>1000</v>
      </c>
      <c r="G13" s="20"/>
      <c r="H13" s="11"/>
    </row>
    <row r="14" spans="1:16">
      <c r="B14" s="39" t="s">
        <v>43</v>
      </c>
      <c r="C14" s="1"/>
      <c r="D14" s="24">
        <v>3900</v>
      </c>
      <c r="G14" s="20"/>
      <c r="H14" s="11"/>
    </row>
    <row r="15" spans="1:16">
      <c r="B15" s="46" t="s">
        <v>135</v>
      </c>
      <c r="C15" s="35"/>
      <c r="D15" s="40">
        <v>1866.29</v>
      </c>
      <c r="G15" s="20"/>
      <c r="H15" s="11"/>
    </row>
    <row r="16" spans="1:16">
      <c r="B16" s="47" t="s">
        <v>136</v>
      </c>
      <c r="C16" s="25"/>
      <c r="D16" s="48">
        <v>1633.71</v>
      </c>
      <c r="G16" s="20"/>
      <c r="H16" s="11"/>
    </row>
    <row r="17" spans="1:19">
      <c r="A17" t="s">
        <v>126</v>
      </c>
      <c r="B17" s="49" t="s">
        <v>137</v>
      </c>
      <c r="C17" s="38"/>
      <c r="D17" s="50">
        <v>0</v>
      </c>
      <c r="G17" s="20"/>
      <c r="H17" s="11"/>
    </row>
    <row r="18" spans="1:19">
      <c r="B18" s="39" t="s">
        <v>128</v>
      </c>
      <c r="C18" s="1"/>
      <c r="D18" s="24">
        <v>300</v>
      </c>
      <c r="G18" s="20"/>
      <c r="H18" s="11"/>
    </row>
    <row r="19" spans="1:19">
      <c r="B19" s="39" t="s">
        <v>129</v>
      </c>
      <c r="C19" s="1"/>
      <c r="D19" s="24">
        <v>284</v>
      </c>
      <c r="G19" s="20"/>
      <c r="H19" s="11"/>
    </row>
    <row r="20" spans="1:19">
      <c r="B20" s="39" t="s">
        <v>86</v>
      </c>
      <c r="C20" s="1"/>
      <c r="D20" s="24">
        <v>493.65</v>
      </c>
      <c r="G20" s="20"/>
      <c r="H20" s="11"/>
    </row>
    <row r="21" spans="1:19">
      <c r="B21" s="39" t="s">
        <v>140</v>
      </c>
      <c r="C21" s="1"/>
      <c r="D21" s="27">
        <v>500</v>
      </c>
      <c r="G21" s="20"/>
      <c r="H21" s="19"/>
    </row>
    <row r="22" spans="1:19">
      <c r="B22" s="39" t="s">
        <v>141</v>
      </c>
      <c r="C22" s="1"/>
      <c r="D22" s="27">
        <v>200</v>
      </c>
      <c r="G22" s="20"/>
      <c r="H22" s="19"/>
    </row>
    <row r="23" spans="1:19">
      <c r="B23" t="s">
        <v>2</v>
      </c>
      <c r="C23" s="2">
        <f>SUM(C2:C20)</f>
        <v>18474.5</v>
      </c>
      <c r="D23" s="2">
        <f>SUM(D3:D22)</f>
        <v>17062.129999999997</v>
      </c>
      <c r="F23" t="s">
        <v>2</v>
      </c>
      <c r="G23" s="2">
        <f>SUM(G2:G11)</f>
        <v>11740</v>
      </c>
      <c r="H23" s="2">
        <f>SUM(H3:H11)</f>
        <v>2740</v>
      </c>
      <c r="J23" t="s">
        <v>2</v>
      </c>
      <c r="K23" s="2">
        <f>SUM(K1:K10)</f>
        <v>89698.3</v>
      </c>
      <c r="L23" s="2">
        <f>SUM(L2:L10)</f>
        <v>0</v>
      </c>
    </row>
    <row r="24" spans="1:19">
      <c r="D24" s="2">
        <f>C23-D23</f>
        <v>1412.3700000000026</v>
      </c>
      <c r="H24" s="2">
        <f>G23-H23</f>
        <v>9000</v>
      </c>
      <c r="L24" s="2">
        <f>K23-L23</f>
        <v>89698.3</v>
      </c>
    </row>
    <row r="27" spans="1:19">
      <c r="C27" s="217" t="s">
        <v>12</v>
      </c>
      <c r="D27" s="217"/>
      <c r="G27" s="217" t="s">
        <v>16</v>
      </c>
      <c r="H27" s="217"/>
      <c r="K27" s="217" t="s">
        <v>77</v>
      </c>
      <c r="L27" s="217"/>
      <c r="O27" s="217" t="s">
        <v>90</v>
      </c>
      <c r="P27" s="217"/>
    </row>
    <row r="28" spans="1:19">
      <c r="B28" t="s">
        <v>0</v>
      </c>
      <c r="C28" s="3">
        <v>100</v>
      </c>
      <c r="D28" s="4"/>
      <c r="F28" t="s">
        <v>0</v>
      </c>
      <c r="G28" s="3">
        <v>-3566.29</v>
      </c>
      <c r="H28" s="4"/>
      <c r="J28" t="s">
        <v>0</v>
      </c>
      <c r="K28" s="3">
        <v>-7086.79</v>
      </c>
      <c r="L28" s="4"/>
      <c r="M28" s="33" t="s">
        <v>103</v>
      </c>
      <c r="N28" t="s">
        <v>0</v>
      </c>
      <c r="O28" s="3">
        <v>-986.72</v>
      </c>
      <c r="P28" s="4"/>
    </row>
    <row r="29" spans="1:19">
      <c r="B29" t="s">
        <v>12</v>
      </c>
      <c r="C29" s="20"/>
      <c r="D29" s="11"/>
      <c r="F29" t="s">
        <v>142</v>
      </c>
      <c r="G29" s="24">
        <v>1866.29</v>
      </c>
      <c r="H29" s="11"/>
      <c r="J29" t="s">
        <v>75</v>
      </c>
      <c r="K29" s="1">
        <v>2133.9</v>
      </c>
      <c r="L29" s="11"/>
      <c r="M29" s="29">
        <v>39203</v>
      </c>
      <c r="N29" t="s">
        <v>94</v>
      </c>
      <c r="O29" s="23">
        <v>240</v>
      </c>
      <c r="P29" s="11"/>
      <c r="Q29" t="s">
        <v>95</v>
      </c>
      <c r="S29">
        <v>49998</v>
      </c>
    </row>
    <row r="30" spans="1:19">
      <c r="C30" s="20"/>
      <c r="D30" s="11"/>
      <c r="F30" t="s">
        <v>143</v>
      </c>
      <c r="G30" s="23">
        <v>1110.53</v>
      </c>
      <c r="H30" s="11"/>
      <c r="J30" s="12" t="s">
        <v>127</v>
      </c>
      <c r="K30" s="21"/>
      <c r="L30" s="32">
        <v>199</v>
      </c>
      <c r="N30" s="12" t="s">
        <v>132</v>
      </c>
      <c r="O30" s="21"/>
      <c r="P30" s="11">
        <v>3144</v>
      </c>
    </row>
    <row r="31" spans="1:19">
      <c r="B31" s="12"/>
      <c r="C31" s="20"/>
      <c r="D31" s="11"/>
      <c r="F31" s="12"/>
      <c r="G31" s="21"/>
      <c r="H31" s="11"/>
      <c r="J31" s="12" t="s">
        <v>144</v>
      </c>
      <c r="K31" s="21">
        <v>1700</v>
      </c>
      <c r="L31" s="32"/>
      <c r="N31" t="s">
        <v>133</v>
      </c>
      <c r="O31" s="1">
        <v>3144</v>
      </c>
      <c r="P31" s="11"/>
      <c r="S31" s="2"/>
    </row>
    <row r="32" spans="1:19">
      <c r="C32" s="20"/>
      <c r="D32" s="11"/>
      <c r="G32" s="20"/>
      <c r="H32" s="11"/>
      <c r="J32" t="s">
        <v>142</v>
      </c>
      <c r="K32" s="20">
        <v>1633.71</v>
      </c>
      <c r="L32" s="11"/>
      <c r="N32" t="s">
        <v>134</v>
      </c>
      <c r="O32" s="1"/>
      <c r="P32" s="11">
        <v>524</v>
      </c>
    </row>
    <row r="33" spans="2:24">
      <c r="B33" s="12"/>
      <c r="C33" s="20"/>
      <c r="D33" s="11"/>
      <c r="G33" s="20"/>
      <c r="H33" s="11"/>
      <c r="K33" s="1"/>
      <c r="L33" s="11"/>
      <c r="M33" s="29"/>
      <c r="O33" s="1"/>
      <c r="P33" s="11"/>
      <c r="Q33" s="29"/>
    </row>
    <row r="34" spans="2:24">
      <c r="C34" s="20"/>
      <c r="D34" s="11"/>
      <c r="F34" s="31"/>
      <c r="G34" s="12"/>
      <c r="H34" s="14"/>
      <c r="K34" s="1"/>
      <c r="L34" s="11"/>
      <c r="M34" s="29"/>
      <c r="P34" s="11"/>
      <c r="Q34" s="29"/>
    </row>
    <row r="35" spans="2:24">
      <c r="B35" s="12"/>
      <c r="C35" s="20"/>
      <c r="D35" s="11"/>
      <c r="F35" s="30"/>
      <c r="H35" s="11"/>
      <c r="L35" s="11"/>
    </row>
    <row r="36" spans="2:24">
      <c r="B36" s="12"/>
      <c r="C36" s="20"/>
      <c r="D36" s="11"/>
      <c r="F36" s="31"/>
      <c r="G36" s="12"/>
      <c r="H36" s="14"/>
      <c r="L36" s="11"/>
    </row>
    <row r="37" spans="2:24">
      <c r="B37" s="12"/>
      <c r="C37" s="20"/>
      <c r="D37" s="11"/>
      <c r="F37" s="30"/>
      <c r="H37" s="11"/>
      <c r="L37" s="11"/>
    </row>
    <row r="38" spans="2:24">
      <c r="B38" s="12"/>
      <c r="C38" s="18"/>
      <c r="D38" s="11"/>
      <c r="F38" s="31"/>
      <c r="G38" s="12"/>
      <c r="H38" s="14"/>
      <c r="L38" s="11"/>
      <c r="M38" s="33"/>
    </row>
    <row r="39" spans="2:24">
      <c r="B39" s="12"/>
      <c r="D39" s="11"/>
      <c r="F39" s="30"/>
      <c r="H39" s="11"/>
      <c r="L39" s="11"/>
      <c r="M39" s="33"/>
    </row>
    <row r="40" spans="2:24">
      <c r="B40" s="12"/>
      <c r="D40" s="11"/>
      <c r="F40" s="31"/>
      <c r="H40" s="14"/>
      <c r="L40" s="11"/>
    </row>
    <row r="41" spans="2:24">
      <c r="B41" s="12"/>
      <c r="D41" s="11"/>
    </row>
    <row r="42" spans="2:24">
      <c r="B42" t="s">
        <v>2</v>
      </c>
      <c r="C42" s="2">
        <f>SUM(C28:C39)</f>
        <v>100</v>
      </c>
      <c r="D42" s="2">
        <f>SUM(D29:D41)</f>
        <v>0</v>
      </c>
      <c r="F42" t="s">
        <v>2</v>
      </c>
      <c r="G42" s="2">
        <f>SUM(G28:G39)</f>
        <v>-589.47</v>
      </c>
      <c r="H42" s="2">
        <f>SUM(H28:H40)</f>
        <v>0</v>
      </c>
      <c r="J42" t="s">
        <v>2</v>
      </c>
      <c r="K42" s="2">
        <f>SUM(K28:K39)</f>
        <v>-1619.1799999999994</v>
      </c>
      <c r="L42" s="2">
        <f>SUM(L28:L40)</f>
        <v>199</v>
      </c>
      <c r="N42" t="s">
        <v>2</v>
      </c>
      <c r="O42" s="2">
        <f>SUM(O28:O38)</f>
        <v>2397.2799999999997</v>
      </c>
      <c r="P42" s="2">
        <f>SUM(P28:P38)</f>
        <v>3668</v>
      </c>
    </row>
    <row r="43" spans="2:24">
      <c r="D43" s="2">
        <f>C42-D42</f>
        <v>100</v>
      </c>
      <c r="H43" s="2">
        <f>G42-H42</f>
        <v>-589.47</v>
      </c>
      <c r="L43" s="2">
        <f>K42-L42</f>
        <v>-1818.1799999999994</v>
      </c>
      <c r="P43" s="2">
        <f>O42-P42</f>
        <v>-1270.7200000000003</v>
      </c>
      <c r="R43" s="2">
        <f>P43-H43</f>
        <v>-681.25000000000023</v>
      </c>
    </row>
    <row r="46" spans="2:24">
      <c r="V46" t="s">
        <v>114</v>
      </c>
      <c r="W46" t="s">
        <v>115</v>
      </c>
      <c r="X46" t="s">
        <v>116</v>
      </c>
    </row>
    <row r="47" spans="2:24">
      <c r="E47" s="2"/>
    </row>
    <row r="48" spans="2:24">
      <c r="D48" s="2"/>
      <c r="E48" t="s">
        <v>96</v>
      </c>
      <c r="H48" s="1">
        <v>-1700</v>
      </c>
      <c r="L48" s="1">
        <v>-1700</v>
      </c>
      <c r="P48" s="1">
        <v>-240</v>
      </c>
      <c r="S48" s="1">
        <f>H48+L48+P48</f>
        <v>-3640</v>
      </c>
      <c r="T48" t="s">
        <v>98</v>
      </c>
      <c r="V48" s="1">
        <v>2461.0500000000002</v>
      </c>
      <c r="W48" s="2">
        <f>S48--V48</f>
        <v>-1178.9499999999998</v>
      </c>
      <c r="X48" s="2">
        <f>W48/2</f>
        <v>-589.47499999999991</v>
      </c>
    </row>
    <row r="49" spans="4:27">
      <c r="E49" t="s">
        <v>97</v>
      </c>
      <c r="H49" s="2">
        <f>G28-H48</f>
        <v>-1866.29</v>
      </c>
      <c r="L49" s="2">
        <f>K28-(L48-K29+L30)</f>
        <v>-3451.89</v>
      </c>
      <c r="P49" s="2">
        <f>O28-P48-P32</f>
        <v>-1270.72</v>
      </c>
      <c r="S49" s="1">
        <f>H49+L49+P49</f>
        <v>-6588.9000000000005</v>
      </c>
      <c r="T49" t="s">
        <v>99</v>
      </c>
      <c r="Z49" t="s">
        <v>119</v>
      </c>
      <c r="AA49" t="s">
        <v>11</v>
      </c>
    </row>
    <row r="50" spans="4:27">
      <c r="W50" t="s">
        <v>117</v>
      </c>
      <c r="X50" s="2">
        <f>V48+ABS(X48)</f>
        <v>3050.5250000000001</v>
      </c>
      <c r="Z50" s="1">
        <v>3900</v>
      </c>
      <c r="AA50" s="2">
        <f>X50+Z50</f>
        <v>6950.5249999999996</v>
      </c>
    </row>
    <row r="51" spans="4:27">
      <c r="D51" t="s">
        <v>138</v>
      </c>
      <c r="E51" s="34" t="s">
        <v>120</v>
      </c>
      <c r="F51" s="41"/>
      <c r="G51" s="41"/>
      <c r="H51" s="51">
        <f>IF(L52&gt;=1700,1700,L52)</f>
        <v>1110.5250000000001</v>
      </c>
      <c r="I51" s="41"/>
      <c r="J51" s="41"/>
      <c r="K51" s="41"/>
      <c r="L51" s="51">
        <v>1700</v>
      </c>
      <c r="M51" s="41"/>
      <c r="N51" s="41"/>
      <c r="O51" s="41"/>
      <c r="P51" s="53">
        <f>240</f>
        <v>240</v>
      </c>
      <c r="W51" t="s">
        <v>118</v>
      </c>
      <c r="X51" s="1">
        <f>ABS(X48)</f>
        <v>589.47499999999991</v>
      </c>
      <c r="Z51" s="1">
        <v>6361.05</v>
      </c>
      <c r="AA51" s="2">
        <f>X51+Z51</f>
        <v>6950.5249999999996</v>
      </c>
    </row>
    <row r="52" spans="4:27">
      <c r="E52" s="36" t="s">
        <v>121</v>
      </c>
      <c r="F52" s="22"/>
      <c r="G52" s="22"/>
      <c r="H52" s="26">
        <f>L52-H51</f>
        <v>0</v>
      </c>
      <c r="I52" s="22"/>
      <c r="J52" s="22"/>
      <c r="K52" s="22"/>
      <c r="L52" s="26">
        <f>P52-L51</f>
        <v>1110.5250000000001</v>
      </c>
      <c r="M52" s="22"/>
      <c r="N52" s="22"/>
      <c r="O52" s="22"/>
      <c r="P52" s="43">
        <f>X50-P51</f>
        <v>2810.5250000000001</v>
      </c>
    </row>
    <row r="53" spans="4:27">
      <c r="E53" s="37" t="s">
        <v>122</v>
      </c>
      <c r="F53" s="44"/>
      <c r="G53" s="44"/>
      <c r="H53" s="38">
        <f>IF(H51&gt;L52,H51+H52,H48+H51)</f>
        <v>-589.47499999999991</v>
      </c>
      <c r="I53" s="44"/>
      <c r="J53" s="44"/>
      <c r="K53" s="44"/>
      <c r="L53" s="38">
        <f>IF(L51&gt;P52,L51-L52,0)</f>
        <v>0</v>
      </c>
      <c r="M53" s="44"/>
      <c r="N53" s="44"/>
      <c r="O53" s="44"/>
      <c r="P53" s="45">
        <f>IF(P51&gt;X50,P51-P52,0)</f>
        <v>0</v>
      </c>
    </row>
    <row r="54" spans="4:27">
      <c r="D54" t="s">
        <v>139</v>
      </c>
      <c r="E54" s="22"/>
      <c r="F54" s="22"/>
      <c r="G54" s="22"/>
      <c r="H54" s="25"/>
      <c r="I54" s="22"/>
      <c r="J54" s="22"/>
      <c r="K54" s="22"/>
      <c r="L54" s="25"/>
      <c r="M54" s="22"/>
      <c r="N54" s="22"/>
      <c r="O54" s="22"/>
      <c r="P54" s="25"/>
    </row>
    <row r="55" spans="4:27">
      <c r="V55" t="s">
        <v>97</v>
      </c>
      <c r="W55" t="s">
        <v>117</v>
      </c>
      <c r="X55" s="1">
        <v>3500</v>
      </c>
    </row>
    <row r="56" spans="4:27">
      <c r="D56" t="s">
        <v>97</v>
      </c>
      <c r="E56" s="34" t="s">
        <v>120</v>
      </c>
      <c r="F56" s="41"/>
      <c r="G56" s="41"/>
      <c r="H56" s="51">
        <v>1866.29</v>
      </c>
      <c r="I56" s="41"/>
      <c r="J56" s="41"/>
      <c r="K56" s="41"/>
      <c r="L56" s="51">
        <v>1633.71</v>
      </c>
      <c r="M56" s="41"/>
      <c r="N56" s="41"/>
      <c r="O56" s="41"/>
      <c r="P56" s="42">
        <v>0</v>
      </c>
      <c r="W56" t="s">
        <v>118</v>
      </c>
      <c r="X56" s="2">
        <f>-S49-X55</f>
        <v>3088.9000000000005</v>
      </c>
    </row>
    <row r="57" spans="4:27">
      <c r="E57" s="36" t="s">
        <v>121</v>
      </c>
      <c r="F57" s="22"/>
      <c r="G57" s="22"/>
      <c r="H57" s="26">
        <f>X55-H56</f>
        <v>1633.71</v>
      </c>
      <c r="I57" s="22"/>
      <c r="J57" s="22"/>
      <c r="K57" s="22"/>
      <c r="L57" s="26">
        <v>0</v>
      </c>
      <c r="M57" s="22"/>
      <c r="N57" s="22"/>
      <c r="O57" s="22"/>
      <c r="P57" s="43">
        <v>0</v>
      </c>
    </row>
    <row r="58" spans="4:27">
      <c r="E58" s="37" t="s">
        <v>122</v>
      </c>
      <c r="F58" s="44"/>
      <c r="G58" s="44"/>
      <c r="H58" s="38">
        <f>IF(H56&lt;H49,H56-H49,0)</f>
        <v>0</v>
      </c>
      <c r="I58" s="44"/>
      <c r="J58" s="44"/>
      <c r="K58" s="44"/>
      <c r="L58" s="38">
        <f>L49+L56</f>
        <v>-1818.1799999999998</v>
      </c>
      <c r="M58" s="44"/>
      <c r="N58" s="44"/>
      <c r="O58" s="44"/>
      <c r="P58" s="45">
        <v>-1270.72</v>
      </c>
    </row>
    <row r="59" spans="4:27">
      <c r="D59" t="s">
        <v>139</v>
      </c>
      <c r="L59">
        <v>1599.33</v>
      </c>
      <c r="P59" s="19">
        <v>1270.72</v>
      </c>
    </row>
  </sheetData>
  <mergeCells count="7">
    <mergeCell ref="O27:P27"/>
    <mergeCell ref="C1:D1"/>
    <mergeCell ref="G1:H1"/>
    <mergeCell ref="K1:L1"/>
    <mergeCell ref="C27:D27"/>
    <mergeCell ref="G27:H27"/>
    <mergeCell ref="K27:L27"/>
  </mergeCells>
  <conditionalFormatting sqref="P43 D24 L43 H24 L24 D43 H43">
    <cfRule type="cellIs" dxfId="115" priority="13" operator="lessThan">
      <formula>0</formula>
    </cfRule>
    <cfRule type="cellIs" dxfId="114" priority="1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B93"/>
  <sheetViews>
    <sheetView workbookViewId="0">
      <selection activeCell="J23" sqref="J2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903</v>
      </c>
      <c r="X1" s="218"/>
    </row>
    <row r="2" spans="1:24">
      <c r="B2" s="18" t="s">
        <v>0</v>
      </c>
      <c r="C2" s="94">
        <v>2.4500000000000002</v>
      </c>
      <c r="D2" s="74"/>
      <c r="E2" s="18"/>
      <c r="F2" s="18" t="s">
        <v>0</v>
      </c>
      <c r="G2" s="75">
        <v>5896.68</v>
      </c>
      <c r="H2" s="74"/>
      <c r="I2" s="18"/>
      <c r="J2" s="18" t="s">
        <v>0</v>
      </c>
      <c r="K2" s="73">
        <v>45897.41</v>
      </c>
      <c r="L2" s="74"/>
      <c r="N2" s="18"/>
      <c r="O2" s="73">
        <v>0</v>
      </c>
      <c r="P2" s="97"/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767.82</v>
      </c>
      <c r="D3" s="11"/>
      <c r="E3" s="76"/>
      <c r="F3" s="39" t="s">
        <v>201</v>
      </c>
      <c r="G3" s="23">
        <v>3000</v>
      </c>
      <c r="H3" s="11"/>
      <c r="I3" s="18"/>
      <c r="J3" s="18" t="s">
        <v>201</v>
      </c>
      <c r="K3" s="20">
        <v>2998.44</v>
      </c>
      <c r="L3" s="77"/>
      <c r="N3" s="18" t="s">
        <v>920</v>
      </c>
      <c r="O3" s="20">
        <v>732.51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8315.25</v>
      </c>
      <c r="D4" s="11"/>
      <c r="E4" s="18"/>
      <c r="F4" s="39" t="s">
        <v>913</v>
      </c>
      <c r="G4" s="23">
        <v>732.51</v>
      </c>
      <c r="H4" s="11"/>
      <c r="I4" s="18"/>
      <c r="J4" s="18" t="s">
        <v>911</v>
      </c>
      <c r="K4" s="20">
        <v>185.31</v>
      </c>
      <c r="L4" s="77"/>
      <c r="N4" s="18" t="s">
        <v>921</v>
      </c>
      <c r="O4" s="20">
        <v>2689.19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8315.25</v>
      </c>
      <c r="D5" s="11"/>
      <c r="E5" s="18"/>
      <c r="F5" s="39" t="s">
        <v>914</v>
      </c>
      <c r="G5" s="23">
        <v>2689.19</v>
      </c>
      <c r="H5" s="11"/>
      <c r="I5" s="18"/>
      <c r="J5" s="18"/>
      <c r="K5" s="20"/>
      <c r="L5" s="77"/>
      <c r="N5" s="18" t="s">
        <v>922</v>
      </c>
      <c r="O5" s="20"/>
      <c r="P5" s="11">
        <v>200</v>
      </c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/>
      <c r="C6" s="166"/>
      <c r="D6" s="11"/>
      <c r="E6" s="18"/>
      <c r="F6" s="39" t="s">
        <v>915</v>
      </c>
      <c r="G6" s="20"/>
      <c r="H6" s="11">
        <v>200</v>
      </c>
      <c r="I6" s="76"/>
      <c r="J6" s="18"/>
      <c r="K6" s="20"/>
      <c r="L6" s="77"/>
      <c r="N6" s="18" t="s">
        <v>923</v>
      </c>
      <c r="O6" s="20"/>
      <c r="P6" s="11">
        <v>1599</v>
      </c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A7" s="1"/>
      <c r="B7" s="39" t="s">
        <v>662</v>
      </c>
      <c r="C7" s="166"/>
      <c r="D7" s="24">
        <v>1500</v>
      </c>
      <c r="E7" s="76"/>
      <c r="F7" s="39" t="s">
        <v>916</v>
      </c>
      <c r="G7" s="20"/>
      <c r="H7" s="11">
        <v>752</v>
      </c>
      <c r="I7" s="76"/>
      <c r="J7" s="18"/>
      <c r="K7" s="20"/>
      <c r="L7" s="77"/>
      <c r="N7" s="18" t="s">
        <v>277</v>
      </c>
      <c r="O7" s="20"/>
      <c r="P7" s="11">
        <v>534.85</v>
      </c>
      <c r="R7" s="219"/>
      <c r="S7" s="20">
        <v>1000</v>
      </c>
      <c r="T7" s="77"/>
      <c r="V7" s="219"/>
      <c r="W7" s="20"/>
      <c r="X7" s="77"/>
    </row>
    <row r="8" spans="1:24">
      <c r="B8" s="39" t="s">
        <v>663</v>
      </c>
      <c r="C8" s="166"/>
      <c r="D8" s="24">
        <v>1500</v>
      </c>
      <c r="E8" s="18"/>
      <c r="F8" s="39" t="s">
        <v>917</v>
      </c>
      <c r="G8" s="20"/>
      <c r="H8" s="24">
        <v>260</v>
      </c>
      <c r="I8" s="76"/>
      <c r="J8" s="18"/>
      <c r="K8" s="20"/>
      <c r="L8" s="77"/>
      <c r="N8" s="18" t="s">
        <v>924</v>
      </c>
      <c r="O8" s="20"/>
      <c r="P8" s="19">
        <v>115</v>
      </c>
      <c r="R8" s="219" t="s">
        <v>27</v>
      </c>
      <c r="S8" s="20">
        <v>1000</v>
      </c>
      <c r="T8" s="39"/>
      <c r="V8" s="219" t="s">
        <v>907</v>
      </c>
      <c r="W8" s="20"/>
      <c r="X8" s="39"/>
    </row>
    <row r="9" spans="1:24">
      <c r="B9" s="39" t="s">
        <v>870</v>
      </c>
      <c r="C9" s="166"/>
      <c r="D9" s="24">
        <v>3000</v>
      </c>
      <c r="E9" s="174"/>
      <c r="F9" s="39" t="s">
        <v>918</v>
      </c>
      <c r="G9" s="20"/>
      <c r="H9" s="11">
        <v>649.85</v>
      </c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/>
      <c r="X9" s="18"/>
    </row>
    <row r="10" spans="1:24">
      <c r="B10" s="39" t="s">
        <v>880</v>
      </c>
      <c r="C10" s="166"/>
      <c r="D10" s="24">
        <v>2998.44</v>
      </c>
      <c r="E10" s="138"/>
      <c r="F10" s="39" t="s">
        <v>923</v>
      </c>
      <c r="G10" s="20"/>
      <c r="H10" s="24">
        <v>1599</v>
      </c>
      <c r="I10" s="18"/>
      <c r="J10" s="18"/>
      <c r="K10" s="20"/>
      <c r="L10" s="77"/>
      <c r="N10" s="18"/>
      <c r="O10" s="18"/>
      <c r="P10" s="18"/>
      <c r="R10" s="219" t="s">
        <v>28</v>
      </c>
      <c r="S10" s="19">
        <v>1000</v>
      </c>
      <c r="T10" s="18"/>
      <c r="V10" s="219" t="s">
        <v>908</v>
      </c>
      <c r="W10" s="19"/>
      <c r="X10" s="18"/>
    </row>
    <row r="11" spans="1:24">
      <c r="B11" s="39"/>
      <c r="C11" s="166"/>
      <c r="D11" s="11"/>
      <c r="E11" s="39"/>
      <c r="F11" s="39" t="s">
        <v>1</v>
      </c>
      <c r="G11" s="23">
        <v>3181.32</v>
      </c>
      <c r="H11" s="11"/>
      <c r="I11" s="18"/>
      <c r="J11" s="18"/>
      <c r="K11" s="20"/>
      <c r="L11" s="77"/>
      <c r="R11" s="219"/>
      <c r="S11" s="19">
        <v>1000</v>
      </c>
      <c r="V11" s="219"/>
      <c r="W11" s="19"/>
    </row>
    <row r="12" spans="1:24">
      <c r="B12" s="39" t="s">
        <v>76</v>
      </c>
      <c r="C12" s="166"/>
      <c r="D12" s="11">
        <v>1400</v>
      </c>
      <c r="E12" s="39"/>
      <c r="F12" s="39" t="s">
        <v>9</v>
      </c>
      <c r="G12" s="20"/>
      <c r="H12" s="11">
        <v>3181.32</v>
      </c>
      <c r="I12" s="16"/>
      <c r="J12" s="18"/>
      <c r="K12" s="20"/>
      <c r="L12" s="77"/>
    </row>
    <row r="13" spans="1:24">
      <c r="B13" s="39" t="s">
        <v>1</v>
      </c>
      <c r="C13" s="166"/>
      <c r="D13" s="24">
        <v>3181.32</v>
      </c>
      <c r="E13" s="39"/>
      <c r="F13" s="39"/>
      <c r="G13" s="20"/>
      <c r="H13" s="11"/>
      <c r="I13" s="18"/>
      <c r="J13" s="18"/>
      <c r="K13" s="20"/>
      <c r="L13" s="77"/>
    </row>
    <row r="14" spans="1:24">
      <c r="A14" t="s">
        <v>910</v>
      </c>
      <c r="B14" s="64" t="s">
        <v>437</v>
      </c>
      <c r="C14" s="180"/>
      <c r="D14" s="58"/>
      <c r="E14" s="39"/>
      <c r="F14" s="39"/>
      <c r="G14" s="20"/>
      <c r="H14" s="11"/>
      <c r="I14" s="18"/>
      <c r="J14" s="18"/>
      <c r="K14" s="20"/>
      <c r="L14" s="77"/>
    </row>
    <row r="15" spans="1:24">
      <c r="B15" s="66" t="s">
        <v>588</v>
      </c>
      <c r="C15" s="181"/>
      <c r="D15" s="69"/>
      <c r="E15" s="117"/>
      <c r="F15" s="39"/>
      <c r="G15" s="20"/>
      <c r="H15" s="11"/>
      <c r="I15" s="18"/>
      <c r="J15" s="91"/>
      <c r="K15" s="20"/>
      <c r="L15" s="77"/>
      <c r="N15" s="2"/>
    </row>
    <row r="16" spans="1:24">
      <c r="B16" s="67" t="s">
        <v>396</v>
      </c>
      <c r="C16" s="182"/>
      <c r="D16" s="61">
        <v>2940.74</v>
      </c>
      <c r="E16" s="39"/>
      <c r="F16" s="39"/>
      <c r="G16" s="20"/>
      <c r="H16" s="11"/>
      <c r="I16" s="18"/>
      <c r="J16" s="18"/>
      <c r="K16" s="20"/>
      <c r="L16" s="77"/>
    </row>
    <row r="17" spans="2:27">
      <c r="B17" s="39" t="s">
        <v>929</v>
      </c>
      <c r="C17" s="156">
        <v>2985.28</v>
      </c>
      <c r="D17" s="11"/>
      <c r="E17" s="39"/>
      <c r="F17" s="39"/>
      <c r="G17" s="20"/>
      <c r="H17" s="11"/>
      <c r="I17" s="18"/>
      <c r="J17" s="18"/>
      <c r="K17" s="20"/>
      <c r="L17" s="77"/>
    </row>
    <row r="18" spans="2:27">
      <c r="B18" s="39" t="s">
        <v>930</v>
      </c>
      <c r="C18" s="166"/>
      <c r="D18" s="24">
        <v>2985.28</v>
      </c>
      <c r="E18" s="39"/>
      <c r="F18" s="39"/>
      <c r="G18" s="20"/>
      <c r="H18" s="11"/>
      <c r="K18" s="20"/>
      <c r="L18" s="77"/>
    </row>
    <row r="19" spans="2:27">
      <c r="B19" s="39"/>
      <c r="C19" s="166"/>
      <c r="D19" s="11"/>
      <c r="E19" s="96"/>
      <c r="F19" s="39"/>
      <c r="G19" s="20"/>
      <c r="H19" s="11"/>
      <c r="J19" s="2"/>
      <c r="K19" s="20"/>
      <c r="L19" s="77"/>
    </row>
    <row r="20" spans="2:27">
      <c r="B20" s="39"/>
      <c r="C20" s="166"/>
      <c r="D20" s="11"/>
      <c r="F20" s="39"/>
      <c r="G20" s="20"/>
      <c r="H20" s="11"/>
      <c r="K20" s="20"/>
      <c r="L20" s="77"/>
    </row>
    <row r="21" spans="2:27">
      <c r="B21" s="39"/>
      <c r="C21" s="166"/>
      <c r="D21" s="11"/>
      <c r="F21" s="39"/>
      <c r="G21" s="20"/>
      <c r="H21" s="11"/>
      <c r="L21" s="77"/>
    </row>
    <row r="22" spans="2:27">
      <c r="B22" s="39"/>
      <c r="C22" s="166"/>
      <c r="D22" s="11"/>
      <c r="F22" s="39"/>
      <c r="G22" s="20"/>
      <c r="H22" s="11"/>
      <c r="L22" s="77"/>
    </row>
    <row r="23" spans="2:27">
      <c r="B23" s="39"/>
      <c r="C23" s="166"/>
      <c r="D23" s="11"/>
      <c r="G23" s="20"/>
      <c r="H23" s="11"/>
      <c r="L23" s="77"/>
    </row>
    <row r="24" spans="2:27">
      <c r="B24" s="39"/>
      <c r="C24" s="166"/>
      <c r="D24" s="11"/>
      <c r="G24" s="20"/>
      <c r="H24" s="11"/>
      <c r="L24" s="77"/>
    </row>
    <row r="25" spans="2:27">
      <c r="B25" s="39"/>
      <c r="C25" s="166"/>
      <c r="D25" s="11"/>
      <c r="G25" s="20"/>
      <c r="H25" s="11"/>
      <c r="L25" s="77"/>
    </row>
    <row r="26" spans="2:27">
      <c r="B26" s="39"/>
      <c r="C26" s="166"/>
      <c r="D26" s="11"/>
      <c r="G26" s="20"/>
      <c r="H26" s="11"/>
      <c r="L26" s="77"/>
      <c r="R26" t="s">
        <v>80</v>
      </c>
      <c r="V26" t="s">
        <v>80</v>
      </c>
    </row>
    <row r="27" spans="2:27">
      <c r="B27" s="39"/>
      <c r="C27" s="166"/>
      <c r="D27" s="11"/>
      <c r="G27" s="20"/>
      <c r="H27" s="11"/>
      <c r="L27" s="77"/>
    </row>
    <row r="28" spans="2:27">
      <c r="B28" s="39"/>
      <c r="C28" s="166"/>
      <c r="D28" s="11"/>
      <c r="G28" s="20"/>
      <c r="H28" s="11"/>
      <c r="L28" s="77"/>
    </row>
    <row r="29" spans="2:27" ht="15.75" thickBot="1">
      <c r="B29" s="39"/>
      <c r="C29" s="20"/>
      <c r="D29" s="11"/>
      <c r="G29" s="20"/>
      <c r="H29" s="11"/>
      <c r="L29" s="77"/>
    </row>
    <row r="30" spans="2:27">
      <c r="B30" s="39"/>
      <c r="C30" s="20"/>
      <c r="D30" s="11"/>
      <c r="G30" s="20"/>
      <c r="H30" s="19"/>
      <c r="Y30" t="s">
        <v>899</v>
      </c>
      <c r="AA30" s="179">
        <v>1500</v>
      </c>
    </row>
    <row r="31" spans="2:27">
      <c r="B31" t="s">
        <v>2</v>
      </c>
      <c r="C31" s="2">
        <f>SUM(C2:C29)</f>
        <v>20386.05</v>
      </c>
      <c r="D31" s="2">
        <f>SUM(D3:D30)</f>
        <v>19505.78</v>
      </c>
      <c r="F31" t="s">
        <v>2</v>
      </c>
      <c r="G31" s="2">
        <f>SUM(G2:G30)</f>
        <v>15499.7</v>
      </c>
      <c r="H31" s="2">
        <f>SUM(H3:H30)</f>
        <v>6642.17</v>
      </c>
      <c r="J31" t="s">
        <v>2</v>
      </c>
      <c r="K31" s="2">
        <f>SUM(K1:K10)</f>
        <v>49081.16</v>
      </c>
      <c r="L31" s="2">
        <f>SUM(L2:L10)</f>
        <v>0</v>
      </c>
      <c r="N31" t="s">
        <v>2</v>
      </c>
      <c r="O31" s="2">
        <f>SUM(O1:O10)</f>
        <v>3421.7</v>
      </c>
      <c r="P31" s="2">
        <f>SUM(P2:P10)</f>
        <v>2448.85</v>
      </c>
      <c r="R31" t="s">
        <v>2</v>
      </c>
      <c r="S31" s="2">
        <f>SUM(S1:S14)</f>
        <v>9500</v>
      </c>
      <c r="T31" s="2">
        <f>SUM(T2:T10)</f>
        <v>0</v>
      </c>
      <c r="V31" t="s">
        <v>2</v>
      </c>
      <c r="W31" s="2">
        <f>SUM(W1:W10)</f>
        <v>1000</v>
      </c>
      <c r="X31" s="2">
        <f>SUM(X2:X10)</f>
        <v>0</v>
      </c>
      <c r="AA31" s="177">
        <v>1500</v>
      </c>
    </row>
    <row r="32" spans="2:27">
      <c r="D32" s="2">
        <f>C31-D31</f>
        <v>880.27000000000044</v>
      </c>
      <c r="H32" s="2">
        <f>G31-H31</f>
        <v>8857.5300000000007</v>
      </c>
      <c r="L32" s="2">
        <f>K31-L31</f>
        <v>49081.16</v>
      </c>
      <c r="P32" s="2">
        <f>O31-P31</f>
        <v>972.84999999999991</v>
      </c>
      <c r="T32" s="2">
        <f>S31-T31</f>
        <v>9500</v>
      </c>
      <c r="X32" s="2">
        <f>W31-X31</f>
        <v>1000</v>
      </c>
      <c r="AA32" s="177">
        <v>1500</v>
      </c>
    </row>
    <row r="33" spans="1:27">
      <c r="A33">
        <v>1032.8900000000001</v>
      </c>
      <c r="AA33" s="177">
        <v>1500</v>
      </c>
    </row>
    <row r="34" spans="1:27">
      <c r="A34" s="2">
        <f>A33-D32</f>
        <v>152.61999999999966</v>
      </c>
      <c r="V34" s="102">
        <v>43026</v>
      </c>
      <c r="AA34" s="177">
        <v>1500</v>
      </c>
    </row>
    <row r="35" spans="1:27" ht="15.75" thickBot="1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  <c r="AA35" s="178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168">
        <v>1259.8900000000001</v>
      </c>
      <c r="J36" t="s">
        <v>0</v>
      </c>
      <c r="K36" s="3"/>
      <c r="L36" s="168">
        <v>5926.02</v>
      </c>
      <c r="M36" s="33"/>
      <c r="N36" t="s">
        <v>0</v>
      </c>
      <c r="O36" s="3"/>
      <c r="P36" s="168">
        <v>2247.38</v>
      </c>
      <c r="R36" t="s">
        <v>872</v>
      </c>
      <c r="S36" s="101">
        <v>-8800</v>
      </c>
      <c r="T36" s="118">
        <v>6</v>
      </c>
      <c r="U36" s="119">
        <f t="shared" ref="U36:U43" si="0">S36/T36</f>
        <v>-1466.6666666666667</v>
      </c>
      <c r="V36" s="118">
        <v>1</v>
      </c>
      <c r="W36" s="119">
        <f>U36*V36</f>
        <v>-1466.6666666666667</v>
      </c>
      <c r="X36" s="119">
        <f>S36-W36</f>
        <v>-7333.333333333333</v>
      </c>
      <c r="Y36" t="s">
        <v>437</v>
      </c>
    </row>
    <row r="37" spans="1:27">
      <c r="B37" s="39" t="s">
        <v>503</v>
      </c>
      <c r="C37" s="1"/>
      <c r="D37" s="1">
        <v>0</v>
      </c>
      <c r="F37" t="s">
        <v>169</v>
      </c>
      <c r="G37" s="70">
        <v>1260</v>
      </c>
      <c r="H37" s="14"/>
      <c r="J37" t="s">
        <v>925</v>
      </c>
      <c r="K37" s="19">
        <v>2985.28</v>
      </c>
      <c r="L37" s="14"/>
      <c r="M37" s="29"/>
      <c r="N37" t="s">
        <v>909</v>
      </c>
      <c r="O37" s="171">
        <v>1500</v>
      </c>
      <c r="P37" s="11"/>
      <c r="Q37" s="93"/>
      <c r="S37" s="101"/>
      <c r="T37" s="118"/>
      <c r="U37" s="119"/>
      <c r="V37" s="118"/>
      <c r="W37" s="119"/>
      <c r="X37" s="119"/>
    </row>
    <row r="38" spans="1:27">
      <c r="B38" s="39"/>
      <c r="C38" s="1"/>
      <c r="D38" s="11"/>
      <c r="F38" t="s">
        <v>213</v>
      </c>
      <c r="G38" s="12"/>
      <c r="H38" s="24">
        <v>699.25</v>
      </c>
      <c r="I38" s="8"/>
      <c r="J38" t="s">
        <v>169</v>
      </c>
      <c r="K38" s="19">
        <v>2940.74</v>
      </c>
      <c r="L38" s="14"/>
      <c r="N38" t="s">
        <v>120</v>
      </c>
      <c r="O38" s="171">
        <v>260</v>
      </c>
      <c r="P38" s="11"/>
      <c r="R38" t="s">
        <v>874</v>
      </c>
      <c r="S38" s="101">
        <v>-3090</v>
      </c>
      <c r="T38" s="118">
        <v>12</v>
      </c>
      <c r="U38" s="119">
        <f t="shared" si="0"/>
        <v>-257.5</v>
      </c>
      <c r="V38" s="118">
        <v>1</v>
      </c>
      <c r="W38" s="119">
        <f t="shared" ref="W38:W43" si="1">U38*V38</f>
        <v>-257.5</v>
      </c>
      <c r="X38" s="119">
        <f t="shared" ref="X38:X43" si="2">S38-W38</f>
        <v>-2832.5</v>
      </c>
      <c r="Y38" t="s">
        <v>889</v>
      </c>
    </row>
    <row r="39" spans="1:27">
      <c r="B39" s="39"/>
      <c r="C39" s="1"/>
      <c r="D39" s="11"/>
      <c r="F39" t="s">
        <v>926</v>
      </c>
      <c r="H39" s="24">
        <v>45</v>
      </c>
      <c r="K39" s="19"/>
      <c r="L39" s="14"/>
      <c r="N39" s="39"/>
      <c r="O39" s="19"/>
      <c r="P39" s="11"/>
      <c r="Q39" s="29"/>
      <c r="R39" t="s">
        <v>890</v>
      </c>
      <c r="S39" s="101">
        <v>-11175</v>
      </c>
      <c r="T39" s="118">
        <v>18</v>
      </c>
      <c r="U39" s="119">
        <f t="shared" si="0"/>
        <v>-620.83333333333337</v>
      </c>
      <c r="V39" s="118">
        <v>1</v>
      </c>
      <c r="W39" s="119">
        <f t="shared" si="1"/>
        <v>-620.83333333333337</v>
      </c>
      <c r="X39" s="119">
        <f t="shared" si="2"/>
        <v>-10554.166666666666</v>
      </c>
      <c r="Y39" t="s">
        <v>888</v>
      </c>
    </row>
    <row r="40" spans="1:27">
      <c r="B40" s="39"/>
      <c r="C40" s="20"/>
      <c r="D40" s="11"/>
      <c r="F40" s="176" t="s">
        <v>20</v>
      </c>
      <c r="H40" s="24">
        <v>149</v>
      </c>
      <c r="K40" s="19"/>
      <c r="L40" s="11"/>
      <c r="N40" s="39"/>
      <c r="O40" s="19"/>
      <c r="P40" s="11"/>
      <c r="S40" s="101">
        <v>0</v>
      </c>
      <c r="T40" s="118">
        <v>1</v>
      </c>
      <c r="U40" s="119">
        <f t="shared" si="0"/>
        <v>0</v>
      </c>
      <c r="V40" s="118">
        <v>1</v>
      </c>
      <c r="W40" s="119">
        <f t="shared" si="1"/>
        <v>0</v>
      </c>
      <c r="X40" s="119">
        <f t="shared" si="2"/>
        <v>0</v>
      </c>
    </row>
    <row r="41" spans="1:27">
      <c r="B41" s="39"/>
      <c r="C41" s="20"/>
      <c r="D41" s="11"/>
      <c r="F41" s="116" t="s">
        <v>927</v>
      </c>
      <c r="G41" s="23">
        <v>260</v>
      </c>
      <c r="H41" s="11"/>
      <c r="K41" s="19"/>
      <c r="L41" s="11"/>
      <c r="M41" s="29"/>
      <c r="N41" s="39"/>
      <c r="O41" s="19"/>
      <c r="P41" s="11"/>
      <c r="Q41" s="29"/>
      <c r="S41" s="101">
        <v>0</v>
      </c>
      <c r="T41" s="118">
        <v>1</v>
      </c>
      <c r="U41" s="119">
        <f t="shared" si="0"/>
        <v>0</v>
      </c>
      <c r="V41" s="118">
        <v>1</v>
      </c>
      <c r="W41" s="119">
        <f t="shared" si="1"/>
        <v>0</v>
      </c>
      <c r="X41" s="119">
        <f t="shared" si="2"/>
        <v>0</v>
      </c>
    </row>
    <row r="42" spans="1:27">
      <c r="B42" s="39"/>
      <c r="C42" s="20"/>
      <c r="D42" s="11"/>
      <c r="F42" s="39" t="s">
        <v>332</v>
      </c>
      <c r="G42" s="1">
        <v>142</v>
      </c>
      <c r="H42" s="11"/>
      <c r="I42" t="s">
        <v>928</v>
      </c>
      <c r="K42" s="19"/>
      <c r="L42" s="11"/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si="1"/>
        <v>0</v>
      </c>
      <c r="X42" s="119">
        <f t="shared" si="2"/>
        <v>0</v>
      </c>
    </row>
    <row r="43" spans="1:27">
      <c r="B43" s="39"/>
      <c r="C43" s="20"/>
      <c r="D43" s="11"/>
      <c r="H43" s="11"/>
      <c r="K43" s="19"/>
      <c r="L43" s="11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/>
      <c r="O44" s="19"/>
      <c r="P44" s="11"/>
      <c r="Q44" s="8"/>
      <c r="R44" t="s">
        <v>11</v>
      </c>
      <c r="S44" s="2">
        <f>SUM(S36:S43)</f>
        <v>-23065</v>
      </c>
      <c r="X44" s="2">
        <f>SUM(X36:X43)</f>
        <v>-20720</v>
      </c>
    </row>
    <row r="45" spans="1:27">
      <c r="B45" s="39"/>
      <c r="C45" s="20"/>
      <c r="D45" s="11"/>
      <c r="G45" s="1"/>
      <c r="H45" s="11"/>
      <c r="K45" s="19"/>
      <c r="L45" s="11"/>
      <c r="N45" s="39"/>
      <c r="O45" s="19"/>
      <c r="P45" s="11"/>
    </row>
    <row r="46" spans="1:27">
      <c r="B46" s="39"/>
      <c r="C46" s="20"/>
      <c r="D46" s="11"/>
      <c r="H46" s="11"/>
      <c r="K46" s="19"/>
      <c r="L46" s="11"/>
      <c r="N46" s="39"/>
      <c r="O46" s="19"/>
      <c r="P46" s="11"/>
      <c r="Q46" s="33"/>
      <c r="S46" s="2"/>
    </row>
    <row r="47" spans="1:27">
      <c r="B47" s="12"/>
      <c r="C47" s="20"/>
      <c r="D47" s="11"/>
      <c r="E47" s="29"/>
      <c r="H47" s="11"/>
      <c r="J47" t="s">
        <v>80</v>
      </c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7">
      <c r="B48" s="12"/>
      <c r="C48" s="20"/>
      <c r="D48" s="11"/>
      <c r="E48" s="29"/>
      <c r="H48" s="14"/>
      <c r="K48" s="19"/>
      <c r="L48" s="11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1662</v>
      </c>
      <c r="H54" s="2">
        <f>SUM(H36:H52)</f>
        <v>2153.1400000000003</v>
      </c>
      <c r="J54" t="s">
        <v>2</v>
      </c>
      <c r="K54" s="2">
        <f>SUM(K36:K51)</f>
        <v>5926.02</v>
      </c>
      <c r="L54" s="2">
        <f>SUM(L36:L49)</f>
        <v>5926.02</v>
      </c>
      <c r="N54" t="s">
        <v>2</v>
      </c>
      <c r="O54" s="2">
        <f>SUM(O36:O53)</f>
        <v>1760</v>
      </c>
      <c r="P54" s="2">
        <f>SUM(P36:P53)</f>
        <v>2247.38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-491.14000000000033</v>
      </c>
      <c r="L55" s="2">
        <f>K54-L54</f>
        <v>0</v>
      </c>
      <c r="M55" t="s">
        <v>879</v>
      </c>
      <c r="N55" s="2">
        <f>X37</f>
        <v>0</v>
      </c>
      <c r="P55" s="2">
        <f>O54-P54</f>
        <v>-487.38000000000011</v>
      </c>
      <c r="Q55" t="s">
        <v>877</v>
      </c>
      <c r="R55" s="2">
        <f>X36</f>
        <v>-7333.333333333333</v>
      </c>
      <c r="S55" s="1"/>
      <c r="AA55" t="s">
        <v>239</v>
      </c>
      <c r="AB55" s="1">
        <v>10261.049999999999</v>
      </c>
    </row>
    <row r="56" spans="2:28">
      <c r="L56" s="2">
        <f>L55-N55</f>
        <v>0</v>
      </c>
      <c r="P56" s="2">
        <f>P55-R55</f>
        <v>6845.9533333333329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1259.8900000000001</v>
      </c>
      <c r="L58" s="2">
        <v>3118.15</v>
      </c>
      <c r="P58" s="2">
        <v>487.38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-1435.99</v>
      </c>
      <c r="I60" s="41"/>
      <c r="J60" s="41"/>
      <c r="K60" s="41"/>
      <c r="L60" s="51">
        <v>-176</v>
      </c>
      <c r="M60" s="41"/>
      <c r="N60" s="41"/>
      <c r="O60" s="41"/>
      <c r="P60" s="51">
        <v>-1923.37</v>
      </c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-176.09999999999991</v>
      </c>
      <c r="I62" s="44"/>
      <c r="J62" s="44"/>
      <c r="K62" s="44"/>
      <c r="L62" s="45">
        <f>L60+L58</f>
        <v>2942.15</v>
      </c>
      <c r="M62" s="44"/>
      <c r="N62" s="44"/>
      <c r="O62" s="44"/>
      <c r="P62" s="45">
        <f>P60+P58</f>
        <v>-1435.9899999999998</v>
      </c>
      <c r="T62" t="s">
        <v>98</v>
      </c>
      <c r="V62" s="1">
        <f>Z62-Z63</f>
        <v>1018.6799999999998</v>
      </c>
      <c r="W62" s="2" t="e">
        <f>S63-V62</f>
        <v>#VALUE!</v>
      </c>
      <c r="X62" s="2" t="e">
        <f>W62/2</f>
        <v>#VALUE!</v>
      </c>
      <c r="Z62" s="1">
        <v>4200</v>
      </c>
      <c r="AA62" s="2" t="e">
        <f>X64+Z62</f>
        <v>#VALUE!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 t="s">
        <v>80</v>
      </c>
      <c r="Z63" s="1">
        <v>3181.32</v>
      </c>
      <c r="AA63" s="2" t="e">
        <f>X65+Z63</f>
        <v>#VALUE!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 t="e">
        <f>ABS(X62)</f>
        <v>#VALUE!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 t="e">
        <f>V62+ABS(X62)</f>
        <v>#VALUE!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12847.04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10:R11"/>
    <mergeCell ref="V10:V11"/>
    <mergeCell ref="C35:D35"/>
    <mergeCell ref="G35:H35"/>
    <mergeCell ref="K35:L35"/>
    <mergeCell ref="O35:P35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5 L55 H32 L32 D55 H55 D32 P32 T32">
    <cfRule type="cellIs" dxfId="35" priority="3" operator="lessThan">
      <formula>0</formula>
    </cfRule>
    <cfRule type="cellIs" dxfId="34" priority="4" operator="greaterThan">
      <formula>0</formula>
    </cfRule>
  </conditionalFormatting>
  <conditionalFormatting sqref="X32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B93"/>
  <sheetViews>
    <sheetView topLeftCell="B1" workbookViewId="0">
      <selection activeCell="D23" sqref="D2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2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903</v>
      </c>
      <c r="X1" s="218"/>
    </row>
    <row r="2" spans="2:24">
      <c r="B2" s="18" t="s">
        <v>0</v>
      </c>
      <c r="C2" s="94">
        <v>1093.3</v>
      </c>
      <c r="D2" s="74"/>
      <c r="E2" s="18"/>
      <c r="F2" s="18" t="s">
        <v>0</v>
      </c>
      <c r="G2" s="75">
        <v>5896.68</v>
      </c>
      <c r="H2" s="74"/>
      <c r="I2" s="18"/>
      <c r="J2" s="18" t="s">
        <v>0</v>
      </c>
      <c r="K2" s="73">
        <v>45897.41</v>
      </c>
      <c r="L2" s="74"/>
      <c r="N2" s="18"/>
      <c r="O2" s="73">
        <v>0</v>
      </c>
      <c r="P2" s="97"/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2:24">
      <c r="B3" s="18" t="s">
        <v>39</v>
      </c>
      <c r="C3" s="23">
        <v>733.05</v>
      </c>
      <c r="D3" s="11"/>
      <c r="E3" s="76"/>
      <c r="F3" s="39" t="s">
        <v>201</v>
      </c>
      <c r="G3" s="23">
        <v>3000</v>
      </c>
      <c r="H3" s="11"/>
      <c r="I3" s="18"/>
      <c r="J3" s="18" t="s">
        <v>201</v>
      </c>
      <c r="K3" s="20">
        <v>2998.44</v>
      </c>
      <c r="L3" s="77"/>
      <c r="N3" s="18" t="s">
        <v>920</v>
      </c>
      <c r="O3" s="20">
        <v>732.51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2:24">
      <c r="B4" s="18" t="s">
        <v>40</v>
      </c>
      <c r="C4" s="23">
        <v>8332.35</v>
      </c>
      <c r="D4" s="11"/>
      <c r="E4" s="18"/>
      <c r="F4" s="39" t="s">
        <v>913</v>
      </c>
      <c r="G4" s="23">
        <v>732.51</v>
      </c>
      <c r="H4" s="11"/>
      <c r="I4" s="18"/>
      <c r="J4" s="18" t="s">
        <v>911</v>
      </c>
      <c r="K4" s="20">
        <v>185.31</v>
      </c>
      <c r="L4" s="77"/>
      <c r="N4" s="18" t="s">
        <v>921</v>
      </c>
      <c r="O4" s="20">
        <v>2689.19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2:24">
      <c r="B5" s="39" t="s">
        <v>815</v>
      </c>
      <c r="C5" s="23">
        <v>8332.35</v>
      </c>
      <c r="D5" s="11"/>
      <c r="E5" s="18"/>
      <c r="F5" s="39" t="s">
        <v>914</v>
      </c>
      <c r="G5" s="23">
        <v>2689.19</v>
      </c>
      <c r="H5" s="11"/>
      <c r="I5" s="18"/>
      <c r="J5" s="18"/>
      <c r="K5" s="20"/>
      <c r="L5" s="77"/>
      <c r="N5" s="18" t="s">
        <v>922</v>
      </c>
      <c r="O5" s="20"/>
      <c r="P5" s="11">
        <v>200</v>
      </c>
      <c r="R5" s="137" t="s">
        <v>901</v>
      </c>
      <c r="S5" s="20">
        <v>1000</v>
      </c>
      <c r="T5" s="11"/>
      <c r="V5" s="222"/>
      <c r="W5" s="20"/>
      <c r="X5" s="11"/>
    </row>
    <row r="6" spans="2:24">
      <c r="B6" s="39" t="s">
        <v>395</v>
      </c>
      <c r="C6" s="166"/>
      <c r="D6" s="24">
        <v>583</v>
      </c>
      <c r="E6" s="18"/>
      <c r="F6" s="39" t="s">
        <v>915</v>
      </c>
      <c r="G6" s="20"/>
      <c r="H6" s="11">
        <v>200</v>
      </c>
      <c r="I6" s="76"/>
      <c r="J6" s="18"/>
      <c r="K6" s="20"/>
      <c r="L6" s="77"/>
      <c r="N6" s="18" t="s">
        <v>923</v>
      </c>
      <c r="O6" s="20"/>
      <c r="P6" s="11">
        <v>1599</v>
      </c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2:24">
      <c r="B7" s="39" t="s">
        <v>946</v>
      </c>
      <c r="C7" s="166"/>
      <c r="D7" s="24">
        <v>1000</v>
      </c>
      <c r="E7" s="76"/>
      <c r="F7" s="39" t="s">
        <v>916</v>
      </c>
      <c r="G7" s="20"/>
      <c r="H7" s="11">
        <v>752</v>
      </c>
      <c r="I7" s="76"/>
      <c r="J7" s="18"/>
      <c r="K7" s="20"/>
      <c r="L7" s="77"/>
      <c r="N7" s="18" t="s">
        <v>277</v>
      </c>
      <c r="O7" s="20"/>
      <c r="P7" s="11">
        <v>534.85</v>
      </c>
      <c r="R7" s="219"/>
      <c r="S7" s="20">
        <v>1000</v>
      </c>
      <c r="T7" s="77"/>
      <c r="V7" s="219"/>
      <c r="W7" s="20">
        <v>1000</v>
      </c>
      <c r="X7" s="77"/>
    </row>
    <row r="8" spans="2:24">
      <c r="B8" s="39" t="s">
        <v>940</v>
      </c>
      <c r="C8" s="166"/>
      <c r="D8" s="24">
        <v>600</v>
      </c>
      <c r="E8" s="18"/>
      <c r="F8" s="39" t="s">
        <v>917</v>
      </c>
      <c r="G8" s="20"/>
      <c r="H8" s="24">
        <v>260</v>
      </c>
      <c r="I8" s="76"/>
      <c r="J8" s="18"/>
      <c r="K8" s="20"/>
      <c r="L8" s="77"/>
      <c r="N8" s="18" t="s">
        <v>924</v>
      </c>
      <c r="O8" s="20"/>
      <c r="P8" s="19">
        <v>115</v>
      </c>
      <c r="R8" s="219" t="s">
        <v>27</v>
      </c>
      <c r="S8" s="20">
        <v>1000</v>
      </c>
      <c r="T8" s="39"/>
      <c r="V8" s="219" t="s">
        <v>907</v>
      </c>
      <c r="W8" s="20"/>
      <c r="X8" s="39"/>
    </row>
    <row r="9" spans="2:24">
      <c r="B9" s="39" t="s">
        <v>748</v>
      </c>
      <c r="C9" s="166"/>
      <c r="D9" s="24">
        <v>1500</v>
      </c>
      <c r="E9" s="174"/>
      <c r="F9" s="39" t="s">
        <v>918</v>
      </c>
      <c r="G9" s="20"/>
      <c r="H9" s="11">
        <v>649.85</v>
      </c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/>
      <c r="X9" s="18"/>
    </row>
    <row r="10" spans="2:24">
      <c r="B10" s="39" t="s">
        <v>941</v>
      </c>
      <c r="C10" s="166"/>
      <c r="D10" s="24">
        <v>4500</v>
      </c>
      <c r="E10" s="138"/>
      <c r="F10" s="39" t="s">
        <v>923</v>
      </c>
      <c r="G10" s="20"/>
      <c r="H10" s="24">
        <v>1599</v>
      </c>
      <c r="I10" s="18"/>
      <c r="J10" s="18"/>
      <c r="K10" s="20"/>
      <c r="L10" s="77"/>
      <c r="N10" s="18" t="s">
        <v>935</v>
      </c>
      <c r="O10" s="18"/>
      <c r="P10" s="19">
        <v>763.47</v>
      </c>
      <c r="R10" s="219" t="s">
        <v>28</v>
      </c>
      <c r="S10" s="19">
        <v>1000</v>
      </c>
      <c r="T10" s="18"/>
      <c r="V10" s="219" t="s">
        <v>908</v>
      </c>
      <c r="W10" s="19"/>
      <c r="X10" s="18"/>
    </row>
    <row r="11" spans="2:24">
      <c r="B11" s="39" t="s">
        <v>201</v>
      </c>
      <c r="C11" s="166"/>
      <c r="D11" s="24">
        <v>2998.56</v>
      </c>
      <c r="E11" s="39"/>
      <c r="F11" s="39" t="s">
        <v>1</v>
      </c>
      <c r="G11" s="23">
        <v>3181.32</v>
      </c>
      <c r="H11" s="11"/>
      <c r="I11" s="18"/>
      <c r="J11" s="18"/>
      <c r="K11" s="20"/>
      <c r="L11" s="77"/>
      <c r="N11" s="18" t="s">
        <v>936</v>
      </c>
      <c r="O11">
        <v>195.67</v>
      </c>
      <c r="R11" s="219"/>
      <c r="S11" s="19">
        <v>1000</v>
      </c>
      <c r="V11" s="219"/>
      <c r="W11" s="19"/>
    </row>
    <row r="12" spans="2:24">
      <c r="B12" s="39" t="s">
        <v>942</v>
      </c>
      <c r="C12" s="166"/>
      <c r="D12" s="24">
        <v>1200</v>
      </c>
      <c r="E12" s="39"/>
      <c r="F12" s="39" t="s">
        <v>9</v>
      </c>
      <c r="G12" s="20"/>
      <c r="H12" s="11">
        <v>3181.32</v>
      </c>
      <c r="I12" s="16"/>
      <c r="J12" s="18"/>
      <c r="K12" s="20"/>
      <c r="L12" s="77"/>
      <c r="N12" s="18" t="s">
        <v>938</v>
      </c>
      <c r="O12">
        <v>341.17</v>
      </c>
    </row>
    <row r="13" spans="2:24">
      <c r="B13" s="39" t="s">
        <v>870</v>
      </c>
      <c r="C13" s="166"/>
      <c r="D13" s="24">
        <v>3000</v>
      </c>
      <c r="E13" s="39"/>
      <c r="F13" s="39"/>
      <c r="G13" s="20"/>
      <c r="H13" s="11"/>
      <c r="I13" s="18"/>
      <c r="J13" s="18"/>
      <c r="K13" s="20"/>
      <c r="L13" s="77"/>
      <c r="N13" s="18" t="s">
        <v>937</v>
      </c>
      <c r="O13">
        <v>384.12</v>
      </c>
    </row>
    <row r="14" spans="2:24">
      <c r="B14" s="39" t="s">
        <v>943</v>
      </c>
      <c r="C14" s="166"/>
      <c r="D14" s="24">
        <v>189</v>
      </c>
      <c r="E14" s="39"/>
      <c r="F14" s="39"/>
      <c r="G14" s="20"/>
      <c r="H14" s="11"/>
      <c r="I14" s="18"/>
      <c r="J14" s="18"/>
      <c r="K14" s="20"/>
      <c r="L14" s="77"/>
      <c r="N14" s="18" t="s">
        <v>939</v>
      </c>
      <c r="P14">
        <v>50</v>
      </c>
    </row>
    <row r="15" spans="2:24">
      <c r="B15" s="39" t="s">
        <v>106</v>
      </c>
      <c r="C15" s="166"/>
      <c r="D15" s="24">
        <v>100</v>
      </c>
      <c r="E15" s="117"/>
      <c r="F15" s="39"/>
      <c r="G15" s="20"/>
      <c r="H15" s="11"/>
      <c r="I15" s="18"/>
      <c r="J15" s="91"/>
      <c r="K15" s="20"/>
      <c r="L15" s="77"/>
      <c r="N15" s="2" t="s">
        <v>939</v>
      </c>
      <c r="P15">
        <v>100</v>
      </c>
    </row>
    <row r="16" spans="2:24">
      <c r="B16" s="39" t="s">
        <v>944</v>
      </c>
      <c r="C16" s="166"/>
      <c r="D16" s="24">
        <v>500</v>
      </c>
      <c r="E16" s="39"/>
      <c r="F16" s="39"/>
      <c r="G16" s="20"/>
      <c r="H16" s="11"/>
      <c r="I16" s="18"/>
      <c r="J16" s="18"/>
      <c r="K16" s="20"/>
      <c r="L16" s="77"/>
      <c r="N16" s="18" t="s">
        <v>948</v>
      </c>
      <c r="P16">
        <v>500</v>
      </c>
    </row>
    <row r="17" spans="2:27">
      <c r="B17" s="39" t="s">
        <v>945</v>
      </c>
      <c r="C17" s="156">
        <v>1437</v>
      </c>
      <c r="D17" s="11"/>
      <c r="E17" s="39"/>
      <c r="F17" s="39"/>
      <c r="G17" s="20"/>
      <c r="H17" s="11"/>
      <c r="I17" s="18"/>
      <c r="J17" s="18"/>
      <c r="K17" s="20"/>
      <c r="L17" s="77"/>
      <c r="N17" s="18" t="s">
        <v>949</v>
      </c>
      <c r="O17">
        <v>622</v>
      </c>
    </row>
    <row r="18" spans="2:27">
      <c r="B18" s="39" t="s">
        <v>947</v>
      </c>
      <c r="C18" s="166"/>
      <c r="D18" s="24">
        <v>1000</v>
      </c>
      <c r="E18" s="39"/>
      <c r="F18" s="39"/>
      <c r="G18" s="20"/>
      <c r="H18" s="11"/>
      <c r="K18" s="20"/>
      <c r="L18" s="77"/>
      <c r="N18" s="18" t="s">
        <v>950</v>
      </c>
      <c r="O18">
        <v>384</v>
      </c>
    </row>
    <row r="19" spans="2:27">
      <c r="B19" s="39"/>
      <c r="C19" s="166"/>
      <c r="D19" s="11"/>
      <c r="E19" s="96"/>
      <c r="F19" s="39"/>
      <c r="G19" s="20"/>
      <c r="H19" s="11"/>
      <c r="J19" s="2"/>
      <c r="K19" s="20"/>
      <c r="L19" s="77"/>
      <c r="N19" s="18" t="s">
        <v>951</v>
      </c>
      <c r="P19">
        <v>300</v>
      </c>
    </row>
    <row r="20" spans="2:27">
      <c r="B20" s="39" t="s">
        <v>245</v>
      </c>
      <c r="C20" s="166"/>
      <c r="D20" s="24">
        <v>1643</v>
      </c>
      <c r="F20" s="39"/>
      <c r="G20" s="20"/>
      <c r="H20" s="11"/>
      <c r="K20" s="20"/>
      <c r="L20" s="77"/>
      <c r="N20" s="18" t="s">
        <v>952</v>
      </c>
      <c r="P20">
        <v>450</v>
      </c>
    </row>
    <row r="21" spans="2:27">
      <c r="B21" s="39" t="s">
        <v>848</v>
      </c>
      <c r="C21" s="166"/>
      <c r="D21" s="24">
        <v>1001.84</v>
      </c>
      <c r="F21" s="39"/>
      <c r="G21" s="20"/>
      <c r="H21" s="11"/>
      <c r="L21" s="77"/>
    </row>
    <row r="22" spans="2:27">
      <c r="B22" s="39" t="s">
        <v>106</v>
      </c>
      <c r="C22" s="166"/>
      <c r="D22" s="11">
        <v>100</v>
      </c>
      <c r="F22" s="39"/>
      <c r="G22" s="20"/>
      <c r="H22" s="11"/>
      <c r="L22" s="77"/>
    </row>
    <row r="23" spans="2:27">
      <c r="B23" s="39"/>
      <c r="C23" s="166"/>
      <c r="D23" s="11"/>
      <c r="G23" s="20"/>
      <c r="H23" s="11"/>
      <c r="L23" s="77"/>
    </row>
    <row r="24" spans="2:27">
      <c r="B24" s="39"/>
      <c r="C24" s="166"/>
      <c r="D24" s="11"/>
      <c r="G24" s="20"/>
      <c r="H24" s="11"/>
      <c r="L24" s="77"/>
    </row>
    <row r="25" spans="2:27">
      <c r="B25" s="39"/>
      <c r="C25" s="166"/>
      <c r="D25" s="11"/>
      <c r="G25" s="20"/>
      <c r="H25" s="11"/>
      <c r="L25" s="77"/>
    </row>
    <row r="26" spans="2:27">
      <c r="B26" s="39"/>
      <c r="C26" s="166"/>
      <c r="D26" s="11"/>
      <c r="G26" s="20"/>
      <c r="H26" s="11"/>
      <c r="L26" s="77"/>
      <c r="R26" t="s">
        <v>80</v>
      </c>
      <c r="V26" t="s">
        <v>80</v>
      </c>
    </row>
    <row r="27" spans="2:27">
      <c r="B27" s="39"/>
      <c r="C27" s="166"/>
      <c r="D27" s="11"/>
      <c r="G27" s="20"/>
      <c r="H27" s="11"/>
      <c r="L27" s="77"/>
    </row>
    <row r="28" spans="2:27">
      <c r="B28" s="39"/>
      <c r="C28" s="166"/>
      <c r="D28" s="11"/>
      <c r="G28" s="20"/>
      <c r="H28" s="11"/>
      <c r="L28" s="77"/>
    </row>
    <row r="29" spans="2:27" ht="15.75" thickBot="1">
      <c r="B29" s="39"/>
      <c r="C29" s="20"/>
      <c r="D29" s="11"/>
      <c r="G29" s="20"/>
      <c r="H29" s="11"/>
      <c r="L29" s="77"/>
    </row>
    <row r="30" spans="2:27">
      <c r="B30" s="39"/>
      <c r="C30" s="20"/>
      <c r="D30" s="11"/>
      <c r="G30" s="20"/>
      <c r="H30" s="19"/>
      <c r="Y30" t="s">
        <v>899</v>
      </c>
      <c r="AA30" s="179">
        <v>1500</v>
      </c>
    </row>
    <row r="31" spans="2:27">
      <c r="B31" t="s">
        <v>2</v>
      </c>
      <c r="C31" s="2">
        <f>SUM(C2:C29)</f>
        <v>19928.050000000003</v>
      </c>
      <c r="D31" s="2">
        <f>SUM(D3:D30)</f>
        <v>19915.399999999998</v>
      </c>
      <c r="F31" t="s">
        <v>2</v>
      </c>
      <c r="G31" s="2">
        <f>SUM(G2:G30)</f>
        <v>15499.7</v>
      </c>
      <c r="H31" s="2">
        <f>SUM(H3:H30)</f>
        <v>6642.17</v>
      </c>
      <c r="J31" t="s">
        <v>2</v>
      </c>
      <c r="K31" s="2">
        <f>SUM(K1:K10)</f>
        <v>49081.16</v>
      </c>
      <c r="L31" s="2">
        <f>SUM(L2:L10)</f>
        <v>0</v>
      </c>
      <c r="N31" t="s">
        <v>2</v>
      </c>
      <c r="O31" s="2">
        <f>SUM(O1:O29)</f>
        <v>5348.66</v>
      </c>
      <c r="P31" s="2">
        <f>SUM(P2:P29)</f>
        <v>4612.32</v>
      </c>
      <c r="R31" t="s">
        <v>2</v>
      </c>
      <c r="S31" s="2">
        <f>SUM(S1:S14)</f>
        <v>9500</v>
      </c>
      <c r="T31" s="2">
        <f>SUM(T2:T10)</f>
        <v>0</v>
      </c>
      <c r="V31" t="s">
        <v>2</v>
      </c>
      <c r="W31" s="2">
        <f>SUM(W1:W10)</f>
        <v>2000</v>
      </c>
      <c r="X31" s="2">
        <f>SUM(X2:X10)</f>
        <v>0</v>
      </c>
      <c r="AA31" s="177">
        <v>1500</v>
      </c>
    </row>
    <row r="32" spans="2:27">
      <c r="D32" s="2">
        <f>C31-D31</f>
        <v>12.650000000005093</v>
      </c>
      <c r="H32" s="2">
        <f>G31-H31</f>
        <v>8857.5300000000007</v>
      </c>
      <c r="L32" s="2">
        <f>K31-L31</f>
        <v>49081.16</v>
      </c>
      <c r="P32" s="2">
        <f>O31-P31</f>
        <v>736.34000000000015</v>
      </c>
      <c r="T32" s="2">
        <f>S31-T31</f>
        <v>9500</v>
      </c>
      <c r="X32" s="2">
        <f>W31-X31</f>
        <v>2000</v>
      </c>
      <c r="AA32" s="177">
        <v>1500</v>
      </c>
    </row>
    <row r="33" spans="1:27">
      <c r="A33">
        <v>1032.8900000000001</v>
      </c>
      <c r="AA33" s="177">
        <v>1500</v>
      </c>
    </row>
    <row r="34" spans="1:27">
      <c r="A34" s="2">
        <f>A33-D32</f>
        <v>1020.239999999995</v>
      </c>
      <c r="V34" s="102">
        <v>43026</v>
      </c>
      <c r="AA34" s="177">
        <v>1500</v>
      </c>
    </row>
    <row r="35" spans="1:27" ht="15.75" thickBot="1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  <c r="AA35" s="178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168">
        <v>1212.98</v>
      </c>
      <c r="J36" t="s">
        <v>0</v>
      </c>
      <c r="K36" s="3"/>
      <c r="L36" s="168">
        <v>189</v>
      </c>
      <c r="M36" s="33"/>
      <c r="N36" t="s">
        <v>0</v>
      </c>
      <c r="O36" s="3"/>
      <c r="P36" s="168">
        <v>2247.38</v>
      </c>
      <c r="R36" t="s">
        <v>872</v>
      </c>
      <c r="S36" s="101">
        <v>-8800</v>
      </c>
      <c r="T36" s="118">
        <v>6</v>
      </c>
      <c r="U36" s="119">
        <f t="shared" ref="U36:U43" si="0">S36/T36</f>
        <v>-1466.6666666666667</v>
      </c>
      <c r="V36" s="118">
        <v>1</v>
      </c>
      <c r="W36" s="119">
        <f>U36*V36</f>
        <v>-1466.6666666666667</v>
      </c>
      <c r="X36" s="119">
        <f>S36-W36</f>
        <v>-7333.333333333333</v>
      </c>
      <c r="Y36" t="s">
        <v>437</v>
      </c>
    </row>
    <row r="37" spans="1:27">
      <c r="B37" s="39" t="s">
        <v>503</v>
      </c>
      <c r="C37" s="1"/>
      <c r="D37" s="1">
        <v>0</v>
      </c>
      <c r="F37" s="39" t="s">
        <v>53</v>
      </c>
      <c r="G37" s="1"/>
      <c r="H37" s="11">
        <v>218</v>
      </c>
      <c r="J37" t="s">
        <v>931</v>
      </c>
      <c r="K37" s="19"/>
      <c r="L37" s="14">
        <v>620.83000000000004</v>
      </c>
      <c r="M37" s="29"/>
      <c r="N37" t="s">
        <v>909</v>
      </c>
      <c r="O37" s="171">
        <v>1500</v>
      </c>
      <c r="P37" s="11"/>
      <c r="Q37" s="93"/>
      <c r="S37" s="101"/>
      <c r="T37" s="118"/>
      <c r="U37" s="119"/>
      <c r="V37" s="118"/>
      <c r="W37" s="119"/>
      <c r="X37" s="119"/>
    </row>
    <row r="38" spans="1:27">
      <c r="B38" s="39"/>
      <c r="C38" s="1"/>
      <c r="D38" s="11"/>
      <c r="F38" s="39"/>
      <c r="G38" s="1"/>
      <c r="H38" s="11"/>
      <c r="I38" s="8"/>
      <c r="J38" t="s">
        <v>932</v>
      </c>
      <c r="K38" s="19"/>
      <c r="L38" s="14">
        <v>1298.17</v>
      </c>
      <c r="N38" t="s">
        <v>120</v>
      </c>
      <c r="O38" s="171">
        <v>260</v>
      </c>
      <c r="P38" s="11"/>
      <c r="R38" t="s">
        <v>874</v>
      </c>
      <c r="S38" s="101">
        <v>-3090</v>
      </c>
      <c r="T38" s="118">
        <v>12</v>
      </c>
      <c r="U38" s="119">
        <f t="shared" si="0"/>
        <v>-257.5</v>
      </c>
      <c r="V38" s="118">
        <v>1</v>
      </c>
      <c r="W38" s="119">
        <f t="shared" ref="W38:W43" si="1">U38*V38</f>
        <v>-257.5</v>
      </c>
      <c r="X38" s="119">
        <f t="shared" ref="X38:X43" si="2">S38-W38</f>
        <v>-2832.5</v>
      </c>
      <c r="Y38" t="s">
        <v>889</v>
      </c>
    </row>
    <row r="39" spans="1:27">
      <c r="B39" s="39"/>
      <c r="C39" s="1"/>
      <c r="D39" s="11"/>
      <c r="F39" s="39"/>
      <c r="G39" s="1"/>
      <c r="H39" s="11"/>
      <c r="J39" t="s">
        <v>933</v>
      </c>
      <c r="K39" s="19"/>
      <c r="L39" s="11">
        <v>544.66999999999996</v>
      </c>
      <c r="N39" s="39"/>
      <c r="O39" s="19"/>
      <c r="P39" s="11"/>
      <c r="Q39" s="29"/>
      <c r="R39" t="s">
        <v>890</v>
      </c>
      <c r="S39" s="101">
        <v>-11175</v>
      </c>
      <c r="T39" s="118">
        <v>18</v>
      </c>
      <c r="U39" s="119">
        <f t="shared" si="0"/>
        <v>-620.83333333333337</v>
      </c>
      <c r="V39" s="118">
        <v>1</v>
      </c>
      <c r="W39" s="119">
        <f t="shared" si="1"/>
        <v>-620.83333333333337</v>
      </c>
      <c r="X39" s="119">
        <f t="shared" si="2"/>
        <v>-10554.166666666666</v>
      </c>
      <c r="Y39" t="s">
        <v>888</v>
      </c>
    </row>
    <row r="40" spans="1:27">
      <c r="B40" s="39"/>
      <c r="C40" s="20"/>
      <c r="D40" s="11"/>
      <c r="F40" s="39"/>
      <c r="G40" s="1"/>
      <c r="H40" s="11"/>
      <c r="J40" t="s">
        <v>934</v>
      </c>
      <c r="K40" s="19"/>
      <c r="L40" s="11">
        <v>224</v>
      </c>
      <c r="N40" s="39"/>
      <c r="O40" s="19"/>
      <c r="P40" s="11"/>
      <c r="S40" s="101">
        <v>0</v>
      </c>
      <c r="T40" s="118">
        <v>1</v>
      </c>
      <c r="U40" s="119">
        <f t="shared" si="0"/>
        <v>0</v>
      </c>
      <c r="V40" s="118">
        <v>1</v>
      </c>
      <c r="W40" s="119">
        <f t="shared" si="1"/>
        <v>0</v>
      </c>
      <c r="X40" s="119">
        <f t="shared" si="2"/>
        <v>0</v>
      </c>
    </row>
    <row r="41" spans="1:27">
      <c r="B41" s="39"/>
      <c r="C41" s="20"/>
      <c r="D41" s="11"/>
      <c r="F41" s="39"/>
      <c r="G41" s="1"/>
      <c r="H41" s="11"/>
      <c r="K41" s="19"/>
      <c r="L41" s="11"/>
      <c r="M41" s="29"/>
      <c r="N41" s="39"/>
      <c r="O41" s="19"/>
      <c r="P41" s="11"/>
      <c r="Q41" s="29"/>
      <c r="S41" s="101">
        <v>0</v>
      </c>
      <c r="T41" s="118">
        <v>1</v>
      </c>
      <c r="U41" s="119">
        <f t="shared" si="0"/>
        <v>0</v>
      </c>
      <c r="V41" s="118">
        <v>1</v>
      </c>
      <c r="W41" s="119">
        <f t="shared" si="1"/>
        <v>0</v>
      </c>
      <c r="X41" s="119">
        <f t="shared" si="2"/>
        <v>0</v>
      </c>
    </row>
    <row r="42" spans="1:27">
      <c r="B42" s="39"/>
      <c r="C42" s="20"/>
      <c r="D42" s="11"/>
      <c r="F42" s="39"/>
      <c r="G42" s="1"/>
      <c r="H42" s="11"/>
      <c r="K42" s="19"/>
      <c r="L42" s="11"/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si="1"/>
        <v>0</v>
      </c>
      <c r="X42" s="119">
        <f t="shared" si="2"/>
        <v>0</v>
      </c>
    </row>
    <row r="43" spans="1:27">
      <c r="B43" s="39"/>
      <c r="C43" s="20"/>
      <c r="D43" s="11"/>
      <c r="H43" s="11"/>
      <c r="K43" s="19"/>
      <c r="L43" s="11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/>
      <c r="O44" s="19"/>
      <c r="P44" s="11"/>
      <c r="Q44" s="8"/>
      <c r="R44" t="s">
        <v>11</v>
      </c>
      <c r="S44" s="2">
        <f>SUM(S36:S43)</f>
        <v>-23065</v>
      </c>
      <c r="X44" s="2">
        <f>SUM(X36:X43)</f>
        <v>-20720</v>
      </c>
    </row>
    <row r="45" spans="1:27">
      <c r="B45" s="39"/>
      <c r="C45" s="20"/>
      <c r="D45" s="11"/>
      <c r="G45" s="1"/>
      <c r="H45" s="11"/>
      <c r="K45" s="19"/>
      <c r="L45" s="11"/>
      <c r="N45" s="39"/>
      <c r="O45" s="19"/>
      <c r="P45" s="11"/>
    </row>
    <row r="46" spans="1:27">
      <c r="B46" s="39"/>
      <c r="C46" s="20"/>
      <c r="D46" s="11"/>
      <c r="H46" s="11"/>
      <c r="K46" s="19"/>
      <c r="L46" s="11"/>
      <c r="N46" s="39"/>
      <c r="O46" s="19"/>
      <c r="P46" s="11"/>
      <c r="Q46" s="33"/>
      <c r="S46" s="2"/>
    </row>
    <row r="47" spans="1:27">
      <c r="B47" s="12"/>
      <c r="C47" s="20"/>
      <c r="D47" s="11"/>
      <c r="E47" s="29"/>
      <c r="H47" s="11"/>
      <c r="J47" t="s">
        <v>80</v>
      </c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7">
      <c r="B48" s="12"/>
      <c r="C48" s="20"/>
      <c r="D48" s="11"/>
      <c r="E48" s="29"/>
      <c r="H48" s="14"/>
      <c r="K48" s="19"/>
      <c r="L48" s="11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0</v>
      </c>
      <c r="H54" s="2">
        <f>SUM(H36:H52)</f>
        <v>1430.98</v>
      </c>
      <c r="J54" t="s">
        <v>2</v>
      </c>
      <c r="K54" s="2">
        <f>SUM(K36:K51)</f>
        <v>0</v>
      </c>
      <c r="L54" s="2">
        <f>SUM(L36:L49)</f>
        <v>2876.67</v>
      </c>
      <c r="N54" t="s">
        <v>2</v>
      </c>
      <c r="O54" s="2">
        <f>SUM(O36:O53)</f>
        <v>1760</v>
      </c>
      <c r="P54" s="2">
        <f>SUM(P36:P53)</f>
        <v>2247.38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-1430.98</v>
      </c>
      <c r="L55" s="2">
        <f>K54-L54</f>
        <v>-2876.67</v>
      </c>
      <c r="M55" t="s">
        <v>879</v>
      </c>
      <c r="N55" s="2">
        <f>X37</f>
        <v>0</v>
      </c>
      <c r="P55" s="2">
        <f>O54-P54</f>
        <v>-487.38000000000011</v>
      </c>
      <c r="Q55" t="s">
        <v>877</v>
      </c>
      <c r="R55" s="2">
        <f>X36</f>
        <v>-7333.333333333333</v>
      </c>
      <c r="S55" s="1"/>
      <c r="AA55" t="s">
        <v>239</v>
      </c>
      <c r="AB55" s="1">
        <v>10261.049999999999</v>
      </c>
    </row>
    <row r="56" spans="2:28">
      <c r="L56" s="2">
        <f>L55-N55</f>
        <v>-2876.67</v>
      </c>
      <c r="P56" s="2">
        <f>P55-R55</f>
        <v>6845.9533333333329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1430.98</v>
      </c>
      <c r="L58" s="2">
        <v>2872.67</v>
      </c>
      <c r="P58" s="2">
        <v>0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0</v>
      </c>
      <c r="I60" s="41"/>
      <c r="J60" s="41"/>
      <c r="K60" s="41"/>
      <c r="L60" s="51">
        <v>-1643</v>
      </c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1430.98</v>
      </c>
      <c r="I62" s="44"/>
      <c r="J62" s="44"/>
      <c r="K62" s="44"/>
      <c r="L62" s="45">
        <f>L60+L58</f>
        <v>1229.67</v>
      </c>
      <c r="M62" s="44"/>
      <c r="N62" s="44"/>
      <c r="O62" s="44"/>
      <c r="P62" s="45"/>
      <c r="T62" t="s">
        <v>98</v>
      </c>
      <c r="V62" s="1">
        <f>Z62-Z63</f>
        <v>1018.6799999999998</v>
      </c>
      <c r="W62" s="2">
        <f>S63-V62</f>
        <v>3284.97</v>
      </c>
      <c r="X62" s="2">
        <f>W62/2</f>
        <v>1642.4849999999999</v>
      </c>
      <c r="Z62" s="1">
        <v>4200</v>
      </c>
      <c r="AA62" s="2">
        <f>X64+Z62</f>
        <v>5842.4849999999997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4303.6499999999996</v>
      </c>
      <c r="Z63" s="1">
        <v>3181.32</v>
      </c>
      <c r="AA63" s="2">
        <f>X65+Z63</f>
        <v>5842.4850000000006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1642.4849999999999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2661.165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11907.2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10:R11"/>
    <mergeCell ref="V10:V11"/>
    <mergeCell ref="C35:D35"/>
    <mergeCell ref="G35:H35"/>
    <mergeCell ref="K35:L35"/>
    <mergeCell ref="O35:P35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5 L55 H32 L32 D55 H55 D32 P32 T32">
    <cfRule type="cellIs" dxfId="31" priority="3" operator="lessThan">
      <formula>0</formula>
    </cfRule>
    <cfRule type="cellIs" dxfId="30" priority="4" operator="greaterThan">
      <formula>0</formula>
    </cfRule>
  </conditionalFormatting>
  <conditionalFormatting sqref="X32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B93"/>
  <sheetViews>
    <sheetView topLeftCell="E1" workbookViewId="0">
      <selection activeCell="O13" sqref="O1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903</v>
      </c>
      <c r="X1" s="218"/>
    </row>
    <row r="2" spans="1:24">
      <c r="B2" s="18" t="s">
        <v>0</v>
      </c>
      <c r="C2" s="94">
        <v>12.65</v>
      </c>
      <c r="D2" s="74"/>
      <c r="E2" s="18"/>
      <c r="F2" s="18" t="s">
        <v>0</v>
      </c>
      <c r="G2" s="75">
        <v>7000</v>
      </c>
      <c r="H2" s="74"/>
      <c r="I2" s="18"/>
      <c r="J2" s="18" t="s">
        <v>0</v>
      </c>
      <c r="K2" s="73">
        <v>45897.41</v>
      </c>
      <c r="L2" s="74"/>
      <c r="N2" s="18"/>
      <c r="O2" s="73">
        <v>0</v>
      </c>
      <c r="P2" s="97"/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1065.82</v>
      </c>
      <c r="D3" s="11"/>
      <c r="E3" s="76"/>
      <c r="F3" s="39" t="s">
        <v>201</v>
      </c>
      <c r="G3" s="23">
        <v>3000</v>
      </c>
      <c r="H3" s="11"/>
      <c r="I3" s="18"/>
      <c r="J3" s="18" t="s">
        <v>201</v>
      </c>
      <c r="K3" s="20">
        <v>2998.44</v>
      </c>
      <c r="L3" s="77"/>
      <c r="N3" s="18" t="s">
        <v>920</v>
      </c>
      <c r="O3" s="20">
        <v>732.51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8315.25</v>
      </c>
      <c r="D4" s="11"/>
      <c r="E4" s="18"/>
      <c r="F4" s="39" t="s">
        <v>1</v>
      </c>
      <c r="G4" s="20">
        <v>3181.32</v>
      </c>
      <c r="H4" s="11"/>
      <c r="I4" s="18"/>
      <c r="J4" s="18" t="s">
        <v>911</v>
      </c>
      <c r="K4" s="20">
        <v>185.31</v>
      </c>
      <c r="L4" s="77"/>
      <c r="N4" s="18" t="s">
        <v>921</v>
      </c>
      <c r="O4" s="20">
        <v>2689.19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8315.25</v>
      </c>
      <c r="D5" s="11"/>
      <c r="E5" s="18"/>
      <c r="F5" s="39" t="s">
        <v>9</v>
      </c>
      <c r="G5" s="20"/>
      <c r="H5" s="11"/>
      <c r="I5" s="18"/>
      <c r="J5" s="18"/>
      <c r="K5" s="20"/>
      <c r="L5" s="77"/>
      <c r="N5" s="18" t="s">
        <v>922</v>
      </c>
      <c r="O5" s="20"/>
      <c r="P5" s="11">
        <v>200</v>
      </c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 t="s">
        <v>848</v>
      </c>
      <c r="C6" s="166"/>
      <c r="D6" s="24">
        <v>1001.25</v>
      </c>
      <c r="E6" s="18"/>
      <c r="F6" s="39"/>
      <c r="G6" s="20"/>
      <c r="H6" s="11"/>
      <c r="I6" s="76"/>
      <c r="J6" s="18"/>
      <c r="K6" s="20"/>
      <c r="L6" s="77"/>
      <c r="N6" s="18" t="s">
        <v>923</v>
      </c>
      <c r="O6" s="20"/>
      <c r="P6" s="11">
        <v>1599</v>
      </c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B7" s="39" t="s">
        <v>870</v>
      </c>
      <c r="C7" s="166"/>
      <c r="D7" s="24">
        <v>3000</v>
      </c>
      <c r="E7" s="76"/>
      <c r="F7" s="39"/>
      <c r="G7" s="20"/>
      <c r="H7" s="11"/>
      <c r="I7" s="76"/>
      <c r="J7" s="18"/>
      <c r="K7" s="20"/>
      <c r="L7" s="77"/>
      <c r="N7" s="18" t="s">
        <v>277</v>
      </c>
      <c r="O7" s="20"/>
      <c r="P7" s="11">
        <v>534.85</v>
      </c>
      <c r="R7" s="219"/>
      <c r="S7" s="20">
        <v>1000</v>
      </c>
      <c r="T7" s="77"/>
      <c r="V7" s="219"/>
      <c r="W7" s="20">
        <v>1000</v>
      </c>
      <c r="X7" s="77"/>
    </row>
    <row r="8" spans="1:24">
      <c r="B8" s="39" t="s">
        <v>201</v>
      </c>
      <c r="C8" s="166"/>
      <c r="D8" s="24">
        <v>3001.39</v>
      </c>
      <c r="E8" s="18"/>
      <c r="F8" s="39"/>
      <c r="G8" s="20"/>
      <c r="H8" s="11"/>
      <c r="I8" s="76"/>
      <c r="J8" s="18"/>
      <c r="K8" s="20"/>
      <c r="L8" s="77"/>
      <c r="N8" s="18" t="s">
        <v>924</v>
      </c>
      <c r="O8" s="20"/>
      <c r="P8" s="19">
        <v>115</v>
      </c>
      <c r="R8" s="219" t="s">
        <v>27</v>
      </c>
      <c r="S8" s="20">
        <v>1000</v>
      </c>
      <c r="T8" s="39"/>
      <c r="V8" s="219" t="s">
        <v>907</v>
      </c>
      <c r="W8" s="20">
        <v>1000</v>
      </c>
      <c r="X8" s="39"/>
    </row>
    <row r="9" spans="1:24">
      <c r="B9" s="39" t="s">
        <v>1</v>
      </c>
      <c r="C9" s="166"/>
      <c r="D9" s="24">
        <v>3181.32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/>
      <c r="X9" s="18"/>
    </row>
    <row r="10" spans="1:24">
      <c r="B10" s="39" t="s">
        <v>76</v>
      </c>
      <c r="C10" s="166"/>
      <c r="D10" s="24">
        <v>1333.35</v>
      </c>
      <c r="E10" s="138"/>
      <c r="F10" s="39"/>
      <c r="G10" s="20"/>
      <c r="H10" s="11"/>
      <c r="I10" s="18"/>
      <c r="J10" s="18"/>
      <c r="K10" s="20"/>
      <c r="L10" s="77"/>
      <c r="N10" s="18" t="s">
        <v>935</v>
      </c>
      <c r="O10" s="18"/>
      <c r="P10" s="19">
        <v>763.47</v>
      </c>
      <c r="R10" s="219" t="s">
        <v>28</v>
      </c>
      <c r="S10" s="19">
        <v>1000</v>
      </c>
      <c r="T10" s="18"/>
      <c r="V10" s="219" t="s">
        <v>908</v>
      </c>
      <c r="W10" s="19"/>
      <c r="X10" s="18"/>
    </row>
    <row r="11" spans="1:24">
      <c r="A11" t="s">
        <v>245</v>
      </c>
      <c r="B11" s="39" t="s">
        <v>308</v>
      </c>
      <c r="C11" s="166"/>
      <c r="D11" s="24">
        <v>880</v>
      </c>
      <c r="E11" s="39"/>
      <c r="F11" s="39"/>
      <c r="G11" s="20"/>
      <c r="H11" s="11"/>
      <c r="I11" s="18"/>
      <c r="J11" s="18"/>
      <c r="K11" s="20"/>
      <c r="L11" s="77"/>
      <c r="N11" s="18" t="s">
        <v>936</v>
      </c>
      <c r="O11">
        <v>195.67</v>
      </c>
      <c r="R11" s="219"/>
      <c r="S11" s="19">
        <v>1000</v>
      </c>
      <c r="V11" s="219"/>
      <c r="W11" s="19"/>
    </row>
    <row r="12" spans="1:24">
      <c r="B12" s="39" t="s">
        <v>959</v>
      </c>
      <c r="C12" s="166"/>
      <c r="D12" s="24">
        <v>1471.58</v>
      </c>
      <c r="E12" s="39"/>
      <c r="F12" s="39"/>
      <c r="G12" s="20"/>
      <c r="H12" s="11"/>
      <c r="I12" s="16"/>
      <c r="J12" s="18"/>
      <c r="K12" s="20"/>
      <c r="L12" s="77"/>
      <c r="N12" s="18" t="s">
        <v>938</v>
      </c>
      <c r="O12">
        <v>341.17</v>
      </c>
    </row>
    <row r="13" spans="1:24">
      <c r="B13" s="39" t="s">
        <v>663</v>
      </c>
      <c r="C13" s="166"/>
      <c r="D13" s="24">
        <v>1500</v>
      </c>
      <c r="E13" s="39"/>
      <c r="F13" s="39"/>
      <c r="G13" s="20"/>
      <c r="H13" s="11"/>
      <c r="I13" s="18"/>
      <c r="J13" s="18"/>
      <c r="K13" s="20"/>
      <c r="L13" s="77"/>
      <c r="N13" s="18" t="s">
        <v>937</v>
      </c>
      <c r="O13">
        <v>384.12</v>
      </c>
    </row>
    <row r="14" spans="1:24">
      <c r="A14" t="s">
        <v>662</v>
      </c>
      <c r="B14" s="39" t="s">
        <v>953</v>
      </c>
      <c r="C14" s="166"/>
      <c r="D14" s="24">
        <v>855</v>
      </c>
      <c r="E14" s="39"/>
      <c r="F14" s="39"/>
      <c r="G14" s="20"/>
      <c r="H14" s="11"/>
      <c r="I14" s="18"/>
      <c r="J14" s="18"/>
      <c r="K14" s="20"/>
      <c r="L14" s="77"/>
      <c r="N14" s="18" t="s">
        <v>939</v>
      </c>
      <c r="P14">
        <v>50</v>
      </c>
    </row>
    <row r="15" spans="1:24">
      <c r="B15" s="39" t="s">
        <v>954</v>
      </c>
      <c r="C15" s="166">
        <v>145</v>
      </c>
      <c r="D15" s="11">
        <v>145</v>
      </c>
      <c r="E15" s="117"/>
      <c r="F15" s="39"/>
      <c r="G15" s="20"/>
      <c r="H15" s="11"/>
      <c r="I15" s="18"/>
      <c r="J15" s="91"/>
      <c r="K15" s="20"/>
      <c r="L15" s="77"/>
      <c r="N15" s="2" t="s">
        <v>939</v>
      </c>
      <c r="P15">
        <v>100</v>
      </c>
    </row>
    <row r="16" spans="1:24">
      <c r="B16" s="39" t="s">
        <v>960</v>
      </c>
      <c r="C16" s="166"/>
      <c r="D16" s="24">
        <v>500</v>
      </c>
      <c r="E16" s="39"/>
      <c r="F16" s="39"/>
      <c r="G16" s="20"/>
      <c r="H16" s="11"/>
      <c r="I16" s="18"/>
      <c r="J16" s="18"/>
      <c r="K16" s="20"/>
      <c r="L16" s="77"/>
      <c r="N16" s="18" t="s">
        <v>948</v>
      </c>
      <c r="P16">
        <v>500</v>
      </c>
    </row>
    <row r="17" spans="2:27">
      <c r="B17" s="39" t="s">
        <v>962</v>
      </c>
      <c r="C17" s="166"/>
      <c r="D17" s="24">
        <v>230</v>
      </c>
      <c r="E17" s="39"/>
      <c r="F17" s="39"/>
      <c r="G17" s="20"/>
      <c r="H17" s="11"/>
      <c r="I17" s="18"/>
      <c r="J17" s="18"/>
      <c r="K17" s="20"/>
      <c r="L17" s="77"/>
      <c r="N17" s="18" t="s">
        <v>949</v>
      </c>
      <c r="O17">
        <v>622.74</v>
      </c>
    </row>
    <row r="18" spans="2:27">
      <c r="B18" s="39" t="s">
        <v>963</v>
      </c>
      <c r="C18" s="166"/>
      <c r="D18" s="11">
        <v>500</v>
      </c>
      <c r="E18" s="39"/>
      <c r="F18" s="39"/>
      <c r="G18" s="20"/>
      <c r="H18" s="11"/>
      <c r="K18" s="20"/>
      <c r="L18" s="77"/>
      <c r="N18" s="18" t="s">
        <v>950</v>
      </c>
      <c r="O18">
        <v>384.12</v>
      </c>
    </row>
    <row r="19" spans="2:27">
      <c r="B19" s="39" t="s">
        <v>964</v>
      </c>
      <c r="C19" s="166">
        <v>500</v>
      </c>
      <c r="D19" s="11"/>
      <c r="E19" s="96"/>
      <c r="F19" s="39"/>
      <c r="G19" s="20"/>
      <c r="H19" s="11" t="s">
        <v>80</v>
      </c>
      <c r="J19" s="2"/>
      <c r="K19" s="20"/>
      <c r="L19" s="77"/>
      <c r="N19" s="18" t="s">
        <v>951</v>
      </c>
      <c r="P19">
        <v>300</v>
      </c>
    </row>
    <row r="20" spans="2:27">
      <c r="B20" s="39" t="s">
        <v>965</v>
      </c>
      <c r="C20" s="166">
        <v>248</v>
      </c>
      <c r="D20" s="11"/>
      <c r="F20" s="39"/>
      <c r="G20" s="20"/>
      <c r="H20" s="11"/>
      <c r="K20" s="20"/>
      <c r="L20" s="77"/>
      <c r="N20" s="18" t="s">
        <v>952</v>
      </c>
      <c r="P20">
        <v>450</v>
      </c>
    </row>
    <row r="21" spans="2:27">
      <c r="B21" s="39" t="s">
        <v>670</v>
      </c>
      <c r="C21" s="166">
        <v>104.36</v>
      </c>
      <c r="D21" s="11"/>
      <c r="F21" s="39"/>
      <c r="G21" s="20"/>
      <c r="H21" s="11"/>
      <c r="L21" s="77"/>
      <c r="N21" s="18" t="s">
        <v>966</v>
      </c>
      <c r="O21">
        <v>861.36</v>
      </c>
    </row>
    <row r="22" spans="2:27">
      <c r="B22" s="39" t="s">
        <v>106</v>
      </c>
      <c r="C22" s="166"/>
      <c r="D22" s="11">
        <v>100</v>
      </c>
      <c r="F22" s="39"/>
      <c r="G22" s="20"/>
      <c r="H22" s="11"/>
      <c r="L22" s="77"/>
      <c r="N22" s="185" t="s">
        <v>967</v>
      </c>
      <c r="O22" s="62">
        <v>1815.84</v>
      </c>
      <c r="P22" s="62">
        <v>1815</v>
      </c>
    </row>
    <row r="23" spans="2:27">
      <c r="B23" s="39" t="s">
        <v>973</v>
      </c>
      <c r="C23" s="166"/>
      <c r="D23" s="11">
        <v>250</v>
      </c>
      <c r="G23" s="20"/>
      <c r="H23" s="11"/>
      <c r="L23" s="77"/>
      <c r="N23" s="18" t="s">
        <v>968</v>
      </c>
      <c r="P23">
        <v>750</v>
      </c>
    </row>
    <row r="24" spans="2:27">
      <c r="B24" s="39"/>
      <c r="C24" s="166"/>
      <c r="D24" s="11"/>
      <c r="G24" s="20"/>
      <c r="H24" s="11"/>
      <c r="L24" s="77"/>
      <c r="N24" s="18" t="s">
        <v>969</v>
      </c>
      <c r="P24">
        <v>85</v>
      </c>
    </row>
    <row r="25" spans="2:27">
      <c r="B25" s="39"/>
      <c r="C25" s="166"/>
      <c r="D25" s="11"/>
      <c r="G25" s="20"/>
      <c r="H25" s="11"/>
      <c r="L25" s="77"/>
      <c r="N25" s="18" t="s">
        <v>970</v>
      </c>
      <c r="P25">
        <v>150</v>
      </c>
    </row>
    <row r="26" spans="2:27">
      <c r="B26" s="39"/>
      <c r="C26" s="166"/>
      <c r="D26" s="11"/>
      <c r="G26" s="20"/>
      <c r="H26" s="11"/>
      <c r="L26" s="77"/>
      <c r="N26" s="185" t="s">
        <v>972</v>
      </c>
      <c r="O26" s="62">
        <v>631.47</v>
      </c>
      <c r="P26" s="62">
        <v>631.47</v>
      </c>
      <c r="R26" t="s">
        <v>80</v>
      </c>
      <c r="V26" t="s">
        <v>80</v>
      </c>
    </row>
    <row r="27" spans="2:27">
      <c r="B27" s="39"/>
      <c r="C27" s="166"/>
      <c r="D27" s="11"/>
      <c r="G27" s="20"/>
      <c r="H27" s="11"/>
      <c r="L27" s="77"/>
      <c r="N27" s="18" t="s">
        <v>984</v>
      </c>
      <c r="P27">
        <v>394.41</v>
      </c>
    </row>
    <row r="28" spans="2:27">
      <c r="B28" s="39"/>
      <c r="C28" s="166"/>
      <c r="D28" s="11"/>
      <c r="G28" s="20"/>
      <c r="H28" s="11"/>
      <c r="L28" s="77"/>
      <c r="N28" s="18" t="s">
        <v>985</v>
      </c>
      <c r="P28">
        <v>482.11</v>
      </c>
    </row>
    <row r="29" spans="2:27" ht="15.75" thickBot="1">
      <c r="B29" s="39"/>
      <c r="C29" s="20"/>
      <c r="D29" s="11"/>
      <c r="G29" s="20"/>
      <c r="H29" s="11"/>
      <c r="L29" s="77"/>
    </row>
    <row r="30" spans="2:27">
      <c r="B30" s="39"/>
      <c r="C30" s="20"/>
      <c r="D30" s="11"/>
      <c r="G30" s="20"/>
      <c r="H30" s="19"/>
      <c r="Y30" t="s">
        <v>899</v>
      </c>
      <c r="AA30" s="179">
        <v>1500</v>
      </c>
    </row>
    <row r="31" spans="2:27">
      <c r="B31" t="s">
        <v>2</v>
      </c>
      <c r="C31" s="2">
        <f>SUM(C2:C29)</f>
        <v>18706.330000000002</v>
      </c>
      <c r="D31" s="2">
        <f>SUM(D3:D30)</f>
        <v>17948.89</v>
      </c>
      <c r="F31" t="s">
        <v>2</v>
      </c>
      <c r="G31" s="2">
        <f>SUM(G2:G30)</f>
        <v>13181.32</v>
      </c>
      <c r="H31" s="2">
        <f>SUM(H3:H30)</f>
        <v>0</v>
      </c>
      <c r="J31" t="s">
        <v>2</v>
      </c>
      <c r="K31" s="2">
        <f>SUM(K1:K10)</f>
        <v>49081.16</v>
      </c>
      <c r="L31" s="2">
        <f>SUM(L2:L10)</f>
        <v>0</v>
      </c>
      <c r="N31" t="s">
        <v>2</v>
      </c>
      <c r="O31" s="2">
        <f>SUM(O1:O29)</f>
        <v>8658.1899999999987</v>
      </c>
      <c r="P31" s="2">
        <f>SUM(P2:P29)</f>
        <v>8920.3100000000013</v>
      </c>
      <c r="R31" t="s">
        <v>2</v>
      </c>
      <c r="S31" s="2">
        <f>SUM(S1:S14)</f>
        <v>9500</v>
      </c>
      <c r="T31" s="2">
        <f>SUM(T2:T10)</f>
        <v>0</v>
      </c>
      <c r="V31" t="s">
        <v>2</v>
      </c>
      <c r="W31" s="2">
        <f>SUM(W1:W10)</f>
        <v>3000</v>
      </c>
      <c r="X31" s="2">
        <f>SUM(X2:X10)</f>
        <v>0</v>
      </c>
      <c r="AA31" s="177">
        <v>1500</v>
      </c>
    </row>
    <row r="32" spans="2:27">
      <c r="D32" s="2">
        <f>C31-D31</f>
        <v>757.44000000000233</v>
      </c>
      <c r="H32" s="2">
        <f>G31-H31</f>
        <v>13181.32</v>
      </c>
      <c r="L32" s="2">
        <f>K31-L31</f>
        <v>49081.16</v>
      </c>
      <c r="P32" s="2">
        <f>O31-P31</f>
        <v>-262.12000000000262</v>
      </c>
      <c r="T32" s="2">
        <f>S31-T31</f>
        <v>9500</v>
      </c>
      <c r="X32" s="2">
        <f>W31-X31</f>
        <v>3000</v>
      </c>
      <c r="AA32" s="177">
        <v>1500</v>
      </c>
    </row>
    <row r="33" spans="1:27">
      <c r="A33">
        <v>1032.8900000000001</v>
      </c>
      <c r="AA33" s="177">
        <v>1500</v>
      </c>
    </row>
    <row r="34" spans="1:27">
      <c r="A34" s="2">
        <f>A33-D32</f>
        <v>275.44999999999777</v>
      </c>
      <c r="V34" s="102">
        <v>43026</v>
      </c>
      <c r="AA34" s="177">
        <v>1500</v>
      </c>
    </row>
    <row r="35" spans="1:27" ht="15.75" thickBot="1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  <c r="AA35" s="178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183">
        <v>1212.98</v>
      </c>
      <c r="J36" t="s">
        <v>0</v>
      </c>
      <c r="K36" s="3"/>
      <c r="L36" s="168">
        <v>189</v>
      </c>
      <c r="M36" s="33"/>
      <c r="N36" t="s">
        <v>0</v>
      </c>
      <c r="O36" s="3"/>
      <c r="P36" s="168">
        <v>7989.91</v>
      </c>
      <c r="R36" t="s">
        <v>872</v>
      </c>
      <c r="S36" s="101">
        <v>-8800</v>
      </c>
      <c r="T36" s="118">
        <v>6</v>
      </c>
      <c r="U36" s="119">
        <f t="shared" ref="U36:U43" si="0">S36/T36</f>
        <v>-1466.6666666666667</v>
      </c>
      <c r="V36" s="118">
        <v>1</v>
      </c>
      <c r="W36" s="119">
        <f>U36*V36</f>
        <v>-1466.6666666666667</v>
      </c>
      <c r="X36" s="119">
        <f>S36-W36</f>
        <v>-7333.333333333333</v>
      </c>
      <c r="Y36" t="s">
        <v>437</v>
      </c>
    </row>
    <row r="37" spans="1:27">
      <c r="B37" s="39" t="s">
        <v>503</v>
      </c>
      <c r="C37" s="1"/>
      <c r="D37" s="1">
        <v>0</v>
      </c>
      <c r="F37" s="39" t="s">
        <v>53</v>
      </c>
      <c r="G37" s="1"/>
      <c r="H37" s="24">
        <v>218</v>
      </c>
      <c r="J37" t="s">
        <v>931</v>
      </c>
      <c r="K37" s="19"/>
      <c r="L37" s="14">
        <v>620.83000000000004</v>
      </c>
      <c r="M37" s="29"/>
      <c r="N37" t="s">
        <v>909</v>
      </c>
      <c r="O37" s="11">
        <v>1500</v>
      </c>
      <c r="P37" s="11"/>
      <c r="Q37" s="93"/>
      <c r="S37" s="101"/>
      <c r="T37" s="118"/>
      <c r="U37" s="119"/>
      <c r="V37" s="118"/>
      <c r="W37" s="119"/>
      <c r="X37" s="119"/>
    </row>
    <row r="38" spans="1:27">
      <c r="B38" s="39"/>
      <c r="C38" s="1"/>
      <c r="D38" s="11"/>
      <c r="F38" s="39" t="s">
        <v>955</v>
      </c>
      <c r="G38" s="1"/>
      <c r="H38" s="24">
        <v>35</v>
      </c>
      <c r="I38" s="8"/>
      <c r="J38" t="s">
        <v>932</v>
      </c>
      <c r="K38" s="19"/>
      <c r="L38" s="14">
        <v>1298.17</v>
      </c>
      <c r="N38" t="s">
        <v>120</v>
      </c>
      <c r="O38" s="11">
        <v>1748.01</v>
      </c>
      <c r="P38" s="11"/>
      <c r="R38" t="s">
        <v>874</v>
      </c>
      <c r="S38" s="101">
        <v>-3090</v>
      </c>
      <c r="T38" s="118">
        <v>12</v>
      </c>
      <c r="U38" s="119">
        <f t="shared" si="0"/>
        <v>-257.5</v>
      </c>
      <c r="V38" s="118">
        <v>1</v>
      </c>
      <c r="W38" s="119">
        <f t="shared" ref="W38:W43" si="1">U38*V38</f>
        <v>-257.5</v>
      </c>
      <c r="X38" s="119">
        <f t="shared" ref="X38:X43" si="2">S38-W38</f>
        <v>-2832.5</v>
      </c>
      <c r="Y38" t="s">
        <v>889</v>
      </c>
    </row>
    <row r="39" spans="1:27">
      <c r="B39" s="39"/>
      <c r="C39" s="1"/>
      <c r="D39" s="11"/>
      <c r="F39" s="39" t="s">
        <v>956</v>
      </c>
      <c r="G39" s="1"/>
      <c r="H39" s="24">
        <v>5.6</v>
      </c>
      <c r="J39" t="s">
        <v>933</v>
      </c>
      <c r="K39" s="19"/>
      <c r="L39" s="11">
        <v>544.66999999999996</v>
      </c>
      <c r="N39" s="39" t="s">
        <v>971</v>
      </c>
      <c r="O39" s="19">
        <v>260</v>
      </c>
      <c r="P39" s="11"/>
      <c r="Q39" s="29"/>
      <c r="R39" t="s">
        <v>890</v>
      </c>
      <c r="S39" s="101">
        <v>-11175</v>
      </c>
      <c r="T39" s="118">
        <v>18</v>
      </c>
      <c r="U39" s="119">
        <f t="shared" si="0"/>
        <v>-620.83333333333337</v>
      </c>
      <c r="V39" s="118">
        <v>1</v>
      </c>
      <c r="W39" s="119">
        <f t="shared" si="1"/>
        <v>-620.83333333333337</v>
      </c>
      <c r="X39" s="119">
        <f t="shared" si="2"/>
        <v>-10554.166666666666</v>
      </c>
      <c r="Y39" t="s">
        <v>888</v>
      </c>
    </row>
    <row r="40" spans="1:27">
      <c r="B40" s="39"/>
      <c r="C40" s="20"/>
      <c r="D40" s="11"/>
      <c r="F40" s="39" t="s">
        <v>169</v>
      </c>
      <c r="G40" s="23">
        <v>1471.58</v>
      </c>
      <c r="H40" s="11"/>
      <c r="J40" t="s">
        <v>934</v>
      </c>
      <c r="K40" s="19"/>
      <c r="L40" s="11">
        <v>224</v>
      </c>
      <c r="N40" s="39" t="s">
        <v>119</v>
      </c>
      <c r="O40" s="27">
        <v>3000</v>
      </c>
      <c r="P40" s="11"/>
      <c r="S40" s="101">
        <v>0</v>
      </c>
      <c r="T40" s="118">
        <v>1</v>
      </c>
      <c r="U40" s="119">
        <f t="shared" si="0"/>
        <v>0</v>
      </c>
      <c r="V40" s="118">
        <v>1</v>
      </c>
      <c r="W40" s="119">
        <f t="shared" si="1"/>
        <v>0</v>
      </c>
      <c r="X40" s="119">
        <f t="shared" si="2"/>
        <v>0</v>
      </c>
    </row>
    <row r="41" spans="1:27">
      <c r="B41" s="39"/>
      <c r="C41" s="20"/>
      <c r="D41" s="11"/>
      <c r="F41" s="39"/>
      <c r="G41" s="1"/>
      <c r="H41" s="11"/>
      <c r="J41" t="s">
        <v>169</v>
      </c>
      <c r="K41" s="19">
        <v>500</v>
      </c>
      <c r="L41" s="11"/>
      <c r="M41" s="29"/>
      <c r="N41" s="39"/>
      <c r="O41" s="19"/>
      <c r="P41" s="11"/>
      <c r="Q41" s="29"/>
      <c r="S41" s="101">
        <v>0</v>
      </c>
      <c r="T41" s="118">
        <v>1</v>
      </c>
      <c r="U41" s="119">
        <f t="shared" si="0"/>
        <v>0</v>
      </c>
      <c r="V41" s="118">
        <v>1</v>
      </c>
      <c r="W41" s="119">
        <f t="shared" si="1"/>
        <v>0</v>
      </c>
      <c r="X41" s="119">
        <f t="shared" si="2"/>
        <v>0</v>
      </c>
    </row>
    <row r="42" spans="1:27">
      <c r="B42" s="39"/>
      <c r="C42" s="20"/>
      <c r="D42" s="11"/>
      <c r="F42" s="39"/>
      <c r="G42" s="1"/>
      <c r="H42" s="11"/>
      <c r="J42" t="s">
        <v>169</v>
      </c>
      <c r="K42" s="19">
        <v>1643</v>
      </c>
      <c r="L42" s="11"/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si="1"/>
        <v>0</v>
      </c>
      <c r="X42" s="119">
        <f t="shared" si="2"/>
        <v>0</v>
      </c>
    </row>
    <row r="43" spans="1:27">
      <c r="B43" s="39"/>
      <c r="C43" s="20"/>
      <c r="D43" s="11"/>
      <c r="H43" s="11"/>
      <c r="J43" t="s">
        <v>229</v>
      </c>
      <c r="K43" s="19"/>
      <c r="L43" s="11">
        <v>23.01</v>
      </c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J44" t="s">
        <v>179</v>
      </c>
      <c r="K44" s="19"/>
      <c r="L44" s="11">
        <v>120</v>
      </c>
      <c r="N44" s="39"/>
      <c r="O44" s="19"/>
      <c r="P44" s="11"/>
      <c r="Q44" s="8"/>
      <c r="R44" t="s">
        <v>11</v>
      </c>
      <c r="S44" s="2">
        <f>SUM(S36:S43)</f>
        <v>-23065</v>
      </c>
      <c r="X44" s="2">
        <f>SUM(X36:X43)</f>
        <v>-20720</v>
      </c>
    </row>
    <row r="45" spans="1:27">
      <c r="B45" s="39"/>
      <c r="C45" s="20"/>
      <c r="D45" s="11"/>
      <c r="G45" s="1"/>
      <c r="H45" s="11"/>
      <c r="J45" t="s">
        <v>668</v>
      </c>
      <c r="K45" s="19"/>
      <c r="L45" s="11">
        <v>315</v>
      </c>
      <c r="N45" s="39"/>
      <c r="O45" s="19"/>
      <c r="P45" s="11"/>
    </row>
    <row r="46" spans="1:27">
      <c r="B46" s="39"/>
      <c r="C46" s="20"/>
      <c r="D46" s="11"/>
      <c r="H46" s="11"/>
      <c r="J46" t="s">
        <v>957</v>
      </c>
      <c r="K46" s="19"/>
      <c r="L46" s="11">
        <v>540</v>
      </c>
      <c r="N46" s="39"/>
      <c r="O46" s="19"/>
      <c r="P46" s="11"/>
      <c r="Q46" s="33"/>
      <c r="S46" s="2"/>
    </row>
    <row r="47" spans="1:27">
      <c r="B47" s="12"/>
      <c r="C47" s="20"/>
      <c r="D47" s="11"/>
      <c r="E47" s="29"/>
      <c r="H47" s="11"/>
      <c r="J47" t="s">
        <v>958</v>
      </c>
      <c r="K47" s="19">
        <v>855</v>
      </c>
      <c r="L47" s="11"/>
      <c r="N47" s="39"/>
      <c r="O47" s="19"/>
      <c r="P47" s="11"/>
      <c r="S47" s="2"/>
      <c r="Z47">
        <f>1000*(0.2699/365)*15</f>
        <v>11.091780821917807</v>
      </c>
    </row>
    <row r="48" spans="1:27">
      <c r="B48" s="12"/>
      <c r="C48" s="20"/>
      <c r="D48" s="11"/>
      <c r="E48" s="29"/>
      <c r="H48" s="14"/>
      <c r="J48" t="s">
        <v>961</v>
      </c>
      <c r="K48" s="19">
        <v>880</v>
      </c>
      <c r="L48" s="11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1471.58</v>
      </c>
      <c r="H54" s="2">
        <f>SUM(H36:H52)</f>
        <v>1471.58</v>
      </c>
      <c r="J54" t="s">
        <v>2</v>
      </c>
      <c r="K54" s="2">
        <f>SUM(K36:K51)</f>
        <v>3878</v>
      </c>
      <c r="L54" s="2">
        <f>SUM(L36:L49)</f>
        <v>3874.6800000000003</v>
      </c>
      <c r="N54" t="s">
        <v>2</v>
      </c>
      <c r="O54" s="2">
        <f>SUM(O36:O53)</f>
        <v>6508.01</v>
      </c>
      <c r="P54" s="2">
        <f>SUM(P36:P53)</f>
        <v>7989.91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0</v>
      </c>
      <c r="L55" s="2">
        <f>K54-L54</f>
        <v>3.319999999999709</v>
      </c>
      <c r="M55" t="s">
        <v>879</v>
      </c>
      <c r="N55" s="2">
        <f>X37</f>
        <v>0</v>
      </c>
      <c r="P55" s="2">
        <f>O54-P54</f>
        <v>-1481.8999999999996</v>
      </c>
      <c r="Q55" t="s">
        <v>877</v>
      </c>
      <c r="R55" s="2">
        <f>X36</f>
        <v>-7333.333333333333</v>
      </c>
      <c r="S55" s="1"/>
      <c r="AA55" t="s">
        <v>239</v>
      </c>
      <c r="AB55" s="1">
        <v>10261.049999999999</v>
      </c>
    </row>
    <row r="56" spans="2:28">
      <c r="L56" s="2">
        <f>L55-N55</f>
        <v>3.319999999999709</v>
      </c>
      <c r="P56" s="2">
        <f>P55-R55</f>
        <v>5851.4333333333334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1430.98</v>
      </c>
      <c r="L58" s="2">
        <v>2872.67</v>
      </c>
      <c r="P58" s="2">
        <v>0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0</v>
      </c>
      <c r="I60" s="41"/>
      <c r="J60" s="41"/>
      <c r="K60" s="41"/>
      <c r="L60" s="51">
        <v>-1643</v>
      </c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1430.98</v>
      </c>
      <c r="I62" s="44"/>
      <c r="J62" s="44"/>
      <c r="K62" s="44"/>
      <c r="L62" s="45">
        <f>L60+L58</f>
        <v>1229.67</v>
      </c>
      <c r="M62" s="44"/>
      <c r="N62" s="44"/>
      <c r="O62" s="44"/>
      <c r="P62" s="45"/>
      <c r="T62" t="s">
        <v>98</v>
      </c>
      <c r="V62" s="1">
        <f>Z62-Z63</f>
        <v>1018.6799999999998</v>
      </c>
      <c r="W62" s="2">
        <f>S63-V62</f>
        <v>3284.97</v>
      </c>
      <c r="X62" s="2">
        <f>W62/2</f>
        <v>1642.4849999999999</v>
      </c>
      <c r="Z62" s="1">
        <v>4200</v>
      </c>
      <c r="AA62" s="2">
        <f>X64+Z62</f>
        <v>5842.4849999999997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4303.6499999999996</v>
      </c>
      <c r="Z63" s="1">
        <v>3181.32</v>
      </c>
      <c r="AA63" s="2">
        <f>X65+Z63</f>
        <v>5842.4850000000006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1642.4849999999999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2661.165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13338.18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10:R11"/>
    <mergeCell ref="V10:V11"/>
    <mergeCell ref="C35:D35"/>
    <mergeCell ref="G35:H35"/>
    <mergeCell ref="K35:L35"/>
    <mergeCell ref="O35:P35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5 L55 H32 L32 D55 H55 D32 P32 T32">
    <cfRule type="cellIs" dxfId="27" priority="5" operator="lessThan">
      <formula>0</formula>
    </cfRule>
    <cfRule type="cellIs" dxfId="26" priority="6" operator="greaterThan">
      <formula>0</formula>
    </cfRule>
  </conditionalFormatting>
  <conditionalFormatting sqref="X32">
    <cfRule type="cellIs" dxfId="25" priority="3" operator="lessThan">
      <formula>0</formula>
    </cfRule>
    <cfRule type="cellIs" dxfId="24" priority="4" operator="greaterThan">
      <formula>0</formula>
    </cfRule>
  </conditionalFormatting>
  <conditionalFormatting sqref="P32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B93"/>
  <sheetViews>
    <sheetView topLeftCell="A22" workbookViewId="0">
      <selection activeCell="D15" sqref="D15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903</v>
      </c>
      <c r="X1" s="218"/>
    </row>
    <row r="2" spans="1:24">
      <c r="B2" s="18" t="s">
        <v>0</v>
      </c>
      <c r="C2" s="94">
        <v>135.35</v>
      </c>
      <c r="D2" s="74"/>
      <c r="E2" s="18"/>
      <c r="F2" s="18" t="s">
        <v>0</v>
      </c>
      <c r="G2" s="75">
        <v>4494.5200000000004</v>
      </c>
      <c r="H2" s="74"/>
      <c r="I2" s="18"/>
      <c r="J2" s="18" t="s">
        <v>0</v>
      </c>
      <c r="K2" s="73">
        <v>44053.19</v>
      </c>
      <c r="L2" s="74"/>
      <c r="N2" s="18"/>
      <c r="O2" s="73">
        <v>0</v>
      </c>
      <c r="P2" s="97">
        <v>262</v>
      </c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720.52</v>
      </c>
      <c r="D3" s="11"/>
      <c r="E3" s="76"/>
      <c r="F3" s="39" t="s">
        <v>201</v>
      </c>
      <c r="G3" s="23">
        <v>3000</v>
      </c>
      <c r="H3" s="11"/>
      <c r="I3" s="18"/>
      <c r="J3" s="18" t="s">
        <v>201</v>
      </c>
      <c r="K3" s="23">
        <v>3000.22</v>
      </c>
      <c r="L3" s="77"/>
      <c r="N3" s="18" t="s">
        <v>986</v>
      </c>
      <c r="O3" s="20">
        <v>1170.79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8332.35</v>
      </c>
      <c r="D4" s="11"/>
      <c r="E4" s="18"/>
      <c r="F4" s="39" t="s">
        <v>980</v>
      </c>
      <c r="G4" s="20">
        <v>850</v>
      </c>
      <c r="H4" s="11"/>
      <c r="I4" s="18"/>
      <c r="J4" s="18" t="s">
        <v>848</v>
      </c>
      <c r="K4" s="23">
        <v>1000.07</v>
      </c>
      <c r="L4" s="77"/>
      <c r="N4" s="18" t="s">
        <v>987</v>
      </c>
      <c r="O4" s="20">
        <v>1338.6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8332.35</v>
      </c>
      <c r="D5" s="11"/>
      <c r="E5" s="18"/>
      <c r="F5" s="39" t="s">
        <v>981</v>
      </c>
      <c r="G5" s="20">
        <v>1800</v>
      </c>
      <c r="H5" s="11"/>
      <c r="I5" s="18"/>
      <c r="J5" s="18"/>
      <c r="K5" s="20"/>
      <c r="L5" s="77"/>
      <c r="N5" s="18" t="s">
        <v>988</v>
      </c>
      <c r="O5" s="20">
        <v>631.47</v>
      </c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 t="s">
        <v>974</v>
      </c>
      <c r="C6" s="166"/>
      <c r="D6" s="24">
        <v>258</v>
      </c>
      <c r="E6" s="18"/>
      <c r="F6" s="39" t="s">
        <v>982</v>
      </c>
      <c r="G6" s="20"/>
      <c r="H6" s="11">
        <v>3800</v>
      </c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B7" s="39" t="s">
        <v>975</v>
      </c>
      <c r="C7" s="166"/>
      <c r="D7" s="24">
        <v>127.99</v>
      </c>
      <c r="E7" s="76"/>
      <c r="F7" s="39" t="s">
        <v>976</v>
      </c>
      <c r="G7" s="23">
        <v>300</v>
      </c>
      <c r="H7" s="11"/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>
        <v>1000</v>
      </c>
      <c r="X7" s="77"/>
    </row>
    <row r="8" spans="1:24">
      <c r="B8" s="39" t="s">
        <v>976</v>
      </c>
      <c r="C8" s="166"/>
      <c r="D8" s="24">
        <v>300</v>
      </c>
      <c r="E8" s="18"/>
      <c r="F8" s="39" t="s">
        <v>983</v>
      </c>
      <c r="G8" s="20"/>
      <c r="H8" s="11">
        <v>300</v>
      </c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>
        <v>1000</v>
      </c>
      <c r="X8" s="39"/>
    </row>
    <row r="9" spans="1:24">
      <c r="B9" s="39" t="s">
        <v>977</v>
      </c>
      <c r="C9" s="166"/>
      <c r="D9" s="11">
        <v>314.01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>
        <v>1000</v>
      </c>
      <c r="X9" s="18"/>
    </row>
    <row r="10" spans="1:24">
      <c r="A10" t="s">
        <v>819</v>
      </c>
      <c r="B10" s="39" t="s">
        <v>663</v>
      </c>
      <c r="C10" s="166"/>
      <c r="D10" s="24">
        <v>1000</v>
      </c>
      <c r="E10" s="138"/>
      <c r="F10" s="39"/>
      <c r="G10" s="20"/>
      <c r="H10" s="11"/>
      <c r="I10" s="18"/>
      <c r="J10" s="18"/>
      <c r="K10" s="20"/>
      <c r="L10" s="77"/>
      <c r="N10" s="18"/>
      <c r="O10" s="18"/>
      <c r="P10" s="19"/>
      <c r="R10" s="219" t="s">
        <v>28</v>
      </c>
      <c r="S10" s="19">
        <v>1000</v>
      </c>
      <c r="T10" s="18"/>
      <c r="V10" s="219" t="s">
        <v>908</v>
      </c>
      <c r="W10" s="19"/>
      <c r="X10" s="18"/>
    </row>
    <row r="11" spans="1:24">
      <c r="A11" s="184">
        <v>2000</v>
      </c>
      <c r="B11" s="39" t="s">
        <v>894</v>
      </c>
      <c r="C11" s="166"/>
      <c r="D11" s="24">
        <v>1000</v>
      </c>
      <c r="E11" s="39"/>
      <c r="F11" s="39"/>
      <c r="G11" s="20"/>
      <c r="H11" s="11"/>
      <c r="I11" s="18"/>
      <c r="J11" s="18"/>
      <c r="K11" s="20"/>
      <c r="L11" s="77"/>
      <c r="N11" s="18"/>
      <c r="R11" s="219"/>
      <c r="S11" s="19">
        <v>1000</v>
      </c>
      <c r="V11" s="219"/>
      <c r="W11" s="19"/>
    </row>
    <row r="12" spans="1:24">
      <c r="B12" s="39" t="s">
        <v>848</v>
      </c>
      <c r="C12" s="166"/>
      <c r="D12" s="24">
        <v>1000.07</v>
      </c>
      <c r="E12" s="39"/>
      <c r="F12" s="39"/>
      <c r="G12" s="20"/>
      <c r="H12" s="11"/>
      <c r="I12" s="16"/>
      <c r="J12" s="18"/>
      <c r="K12" s="20"/>
      <c r="L12" s="77"/>
      <c r="N12" s="18"/>
    </row>
    <row r="13" spans="1:24">
      <c r="B13" s="39" t="s">
        <v>978</v>
      </c>
      <c r="C13" s="166"/>
      <c r="D13" s="24">
        <v>3000.22</v>
      </c>
      <c r="E13" s="39"/>
      <c r="F13" s="39"/>
      <c r="G13" s="20"/>
      <c r="H13" s="11"/>
      <c r="I13" s="18"/>
      <c r="J13" s="18"/>
      <c r="K13" s="20"/>
      <c r="L13" s="77"/>
      <c r="N13" s="18"/>
    </row>
    <row r="14" spans="1:24">
      <c r="B14" s="39" t="s">
        <v>870</v>
      </c>
      <c r="C14" s="166"/>
      <c r="D14" s="24">
        <v>3000</v>
      </c>
      <c r="E14" s="39"/>
      <c r="F14" s="39"/>
      <c r="G14" s="20"/>
      <c r="H14" s="11"/>
      <c r="I14" s="18"/>
      <c r="J14" s="18"/>
      <c r="K14" s="20"/>
      <c r="L14" s="77"/>
      <c r="N14" s="18"/>
    </row>
    <row r="15" spans="1:24">
      <c r="B15" s="39" t="s">
        <v>989</v>
      </c>
      <c r="C15" s="166"/>
      <c r="D15" s="24">
        <v>341</v>
      </c>
      <c r="E15" s="117"/>
      <c r="F15" s="39"/>
      <c r="G15" s="20"/>
      <c r="H15" s="11"/>
      <c r="I15" s="18"/>
      <c r="J15" s="91"/>
      <c r="K15" s="20"/>
      <c r="L15" s="77"/>
      <c r="N15" s="2"/>
    </row>
    <row r="16" spans="1:24">
      <c r="B16" s="39" t="s">
        <v>76</v>
      </c>
      <c r="C16" s="166"/>
      <c r="D16" s="24">
        <v>1000</v>
      </c>
      <c r="E16" s="39"/>
      <c r="F16" s="39"/>
      <c r="G16" s="20"/>
      <c r="H16" s="11"/>
      <c r="I16" s="18"/>
      <c r="J16" s="18"/>
      <c r="K16" s="20"/>
      <c r="L16" s="77"/>
      <c r="N16" s="18"/>
    </row>
    <row r="17" spans="1:27">
      <c r="B17" s="39" t="s">
        <v>43</v>
      </c>
      <c r="C17" s="166"/>
      <c r="D17" s="24">
        <v>4200</v>
      </c>
      <c r="E17" s="39"/>
      <c r="F17" s="39"/>
      <c r="G17" s="20"/>
      <c r="H17" s="11"/>
      <c r="I17" s="18"/>
      <c r="J17" s="18"/>
      <c r="K17" s="20"/>
      <c r="L17" s="77"/>
      <c r="N17" s="18"/>
    </row>
    <row r="18" spans="1:27">
      <c r="A18" t="s">
        <v>260</v>
      </c>
      <c r="B18" s="39" t="s">
        <v>308</v>
      </c>
      <c r="C18" s="166"/>
      <c r="D18" s="24">
        <v>315.61</v>
      </c>
      <c r="E18" s="39"/>
      <c r="F18" s="39"/>
      <c r="G18" s="20"/>
      <c r="H18" s="11"/>
      <c r="K18" s="20"/>
      <c r="L18" s="77"/>
      <c r="N18" s="18"/>
    </row>
    <row r="19" spans="1:27">
      <c r="B19" s="39" t="s">
        <v>17</v>
      </c>
      <c r="C19" s="166"/>
      <c r="D19" s="24">
        <v>1389.39</v>
      </c>
      <c r="E19" s="96"/>
      <c r="F19" s="186"/>
      <c r="G19" s="20"/>
      <c r="H19" s="11" t="s">
        <v>80</v>
      </c>
      <c r="J19" s="2"/>
      <c r="K19" s="20"/>
      <c r="L19" s="77"/>
      <c r="N19" s="18"/>
    </row>
    <row r="20" spans="1:27">
      <c r="B20" s="39"/>
      <c r="C20" s="166"/>
      <c r="D20" s="11"/>
      <c r="F20" s="39"/>
      <c r="G20" s="20"/>
      <c r="H20" s="11"/>
      <c r="K20" s="20"/>
      <c r="L20" s="77"/>
      <c r="N20" s="18"/>
    </row>
    <row r="21" spans="1:27">
      <c r="B21" s="39"/>
      <c r="C21" s="166"/>
      <c r="D21" s="11"/>
      <c r="F21" s="39"/>
      <c r="G21" s="20"/>
      <c r="H21" s="11"/>
      <c r="L21" s="77"/>
      <c r="N21" s="18"/>
    </row>
    <row r="22" spans="1:27">
      <c r="B22" s="39"/>
      <c r="C22" s="166"/>
      <c r="D22" s="11"/>
      <c r="F22" s="39"/>
      <c r="G22" s="20"/>
      <c r="H22" s="11"/>
      <c r="L22" s="77"/>
      <c r="N22" s="185"/>
      <c r="O22" s="62"/>
      <c r="P22" s="62"/>
    </row>
    <row r="23" spans="1:27">
      <c r="B23" s="39"/>
      <c r="C23" s="166"/>
      <c r="D23" s="11"/>
      <c r="G23" s="20"/>
      <c r="H23" s="11"/>
      <c r="L23" s="77"/>
      <c r="N23" s="18"/>
    </row>
    <row r="24" spans="1:27">
      <c r="B24" s="39"/>
      <c r="C24" s="166"/>
      <c r="D24" s="11"/>
      <c r="G24" s="20"/>
      <c r="H24" s="11"/>
      <c r="L24" s="77"/>
      <c r="N24" s="18"/>
    </row>
    <row r="25" spans="1:27">
      <c r="B25" s="39"/>
      <c r="C25" s="166"/>
      <c r="D25" s="11"/>
      <c r="G25" s="20"/>
      <c r="H25" s="11"/>
      <c r="L25" s="77"/>
      <c r="N25" s="18"/>
    </row>
    <row r="26" spans="1:27">
      <c r="B26" s="39"/>
      <c r="C26" s="166"/>
      <c r="D26" s="11"/>
      <c r="G26" s="20"/>
      <c r="H26" s="11"/>
      <c r="L26" s="77"/>
      <c r="N26" s="185"/>
      <c r="O26" s="62"/>
      <c r="P26" s="62"/>
      <c r="R26" t="s">
        <v>80</v>
      </c>
      <c r="V26" t="s">
        <v>80</v>
      </c>
    </row>
    <row r="27" spans="1:27">
      <c r="B27" s="39"/>
      <c r="C27" s="166"/>
      <c r="D27" s="11"/>
      <c r="G27" s="20"/>
      <c r="H27" s="11"/>
      <c r="L27" s="77"/>
      <c r="N27" s="18"/>
    </row>
    <row r="28" spans="1:27">
      <c r="B28" s="39"/>
      <c r="C28" s="166"/>
      <c r="D28" s="11"/>
      <c r="G28" s="20"/>
      <c r="H28" s="11"/>
      <c r="L28" s="77"/>
      <c r="N28" s="18"/>
    </row>
    <row r="29" spans="1:27" ht="15.75" thickBot="1">
      <c r="B29" s="39"/>
      <c r="C29" s="20"/>
      <c r="D29" s="11"/>
      <c r="G29" s="20"/>
      <c r="H29" s="11"/>
      <c r="L29" s="77"/>
    </row>
    <row r="30" spans="1:27">
      <c r="B30" s="39"/>
      <c r="C30" s="20"/>
      <c r="D30" s="11"/>
      <c r="G30" s="20"/>
      <c r="H30" s="19"/>
      <c r="Y30" t="s">
        <v>899</v>
      </c>
      <c r="AA30" s="179">
        <v>1500</v>
      </c>
    </row>
    <row r="31" spans="1:27">
      <c r="B31" t="s">
        <v>2</v>
      </c>
      <c r="C31" s="2">
        <f>SUM(C2:C29)</f>
        <v>17520.57</v>
      </c>
      <c r="D31" s="2">
        <f>SUM(D3:D30)</f>
        <v>17246.29</v>
      </c>
      <c r="F31" t="s">
        <v>2</v>
      </c>
      <c r="G31" s="2">
        <f>SUM(G2:G30)</f>
        <v>10444.52</v>
      </c>
      <c r="H31" s="2">
        <f>SUM(H3:H30)</f>
        <v>4100</v>
      </c>
      <c r="J31" t="s">
        <v>2</v>
      </c>
      <c r="K31" s="2">
        <f>SUM(K1:K10)</f>
        <v>48053.48</v>
      </c>
      <c r="L31" s="2">
        <f>SUM(L2:L10)</f>
        <v>0</v>
      </c>
      <c r="N31" t="s">
        <v>2</v>
      </c>
      <c r="O31" s="2">
        <f>SUM(O1:O29)</f>
        <v>3140.8599999999997</v>
      </c>
      <c r="P31" s="2">
        <f>SUM(P2:P29)</f>
        <v>262</v>
      </c>
      <c r="R31" t="s">
        <v>2</v>
      </c>
      <c r="S31" s="2">
        <f>SUM(S1:S14)</f>
        <v>9500</v>
      </c>
      <c r="T31" s="2">
        <f>SUM(T2:T10)</f>
        <v>0</v>
      </c>
      <c r="V31" t="s">
        <v>2</v>
      </c>
      <c r="W31" s="2">
        <f>SUM(W1:W10)</f>
        <v>4000</v>
      </c>
      <c r="X31" s="2">
        <f>SUM(X2:X10)</f>
        <v>0</v>
      </c>
      <c r="AA31" s="177">
        <v>1500</v>
      </c>
    </row>
    <row r="32" spans="1:27">
      <c r="D32" s="2">
        <f>C31-D31</f>
        <v>274.27999999999884</v>
      </c>
      <c r="H32" s="2">
        <f>G31-H31</f>
        <v>6344.52</v>
      </c>
      <c r="L32" s="2">
        <f>K31-L31</f>
        <v>48053.48</v>
      </c>
      <c r="P32" s="2">
        <f>O31-P31</f>
        <v>2878.8599999999997</v>
      </c>
      <c r="T32" s="2">
        <f>S31-T31</f>
        <v>9500</v>
      </c>
      <c r="X32" s="2">
        <f>W31-X31</f>
        <v>4000</v>
      </c>
      <c r="AA32" s="177">
        <v>1500</v>
      </c>
    </row>
    <row r="33" spans="1:27">
      <c r="A33">
        <v>1032.8900000000001</v>
      </c>
      <c r="AA33" s="177">
        <v>1500</v>
      </c>
    </row>
    <row r="34" spans="1:27">
      <c r="A34" s="2">
        <f>A33-D32</f>
        <v>758.61000000000126</v>
      </c>
      <c r="V34" s="102">
        <v>43026</v>
      </c>
      <c r="AA34" s="177">
        <v>1500</v>
      </c>
    </row>
    <row r="35" spans="1:27" ht="15.75" thickBot="1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  <c r="AA35" s="178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183">
        <v>1389.39</v>
      </c>
      <c r="J36" t="s">
        <v>979</v>
      </c>
      <c r="K36" s="3"/>
      <c r="L36" s="168">
        <v>351.17</v>
      </c>
      <c r="M36" s="33"/>
      <c r="N36" t="s">
        <v>0</v>
      </c>
      <c r="O36" s="3"/>
      <c r="P36" s="168">
        <v>9425.31</v>
      </c>
      <c r="R36" t="s">
        <v>872</v>
      </c>
      <c r="S36" s="101">
        <v>-8800</v>
      </c>
      <c r="T36" s="118">
        <v>6</v>
      </c>
      <c r="U36" s="119">
        <f t="shared" ref="U36:U43" si="0">S36/T36</f>
        <v>-1466.6666666666667</v>
      </c>
      <c r="V36" s="118">
        <v>1</v>
      </c>
      <c r="W36" s="119">
        <f>U36*V36</f>
        <v>-1466.6666666666667</v>
      </c>
      <c r="X36" s="119">
        <f>S36-W36</f>
        <v>-7333.333333333333</v>
      </c>
      <c r="Y36" t="s">
        <v>437</v>
      </c>
    </row>
    <row r="37" spans="1:27">
      <c r="B37" s="39" t="s">
        <v>503</v>
      </c>
      <c r="C37" s="1"/>
      <c r="D37" s="1">
        <v>0</v>
      </c>
      <c r="F37" s="39"/>
      <c r="G37" s="1"/>
      <c r="H37" s="11"/>
      <c r="J37" t="s">
        <v>931</v>
      </c>
      <c r="K37" s="19"/>
      <c r="L37" s="14">
        <v>620.83000000000004</v>
      </c>
      <c r="M37" s="29"/>
      <c r="O37" s="19"/>
      <c r="P37" s="11"/>
      <c r="Q37" s="93"/>
      <c r="S37" s="101"/>
      <c r="T37" s="118"/>
      <c r="U37" s="119"/>
      <c r="V37" s="118"/>
      <c r="W37" s="119"/>
      <c r="X37" s="119"/>
    </row>
    <row r="38" spans="1:27">
      <c r="B38" s="39"/>
      <c r="C38" s="1"/>
      <c r="D38" s="11"/>
      <c r="F38" s="39"/>
      <c r="G38" s="1"/>
      <c r="H38" s="11"/>
      <c r="I38" s="8"/>
      <c r="J38" t="s">
        <v>932</v>
      </c>
      <c r="K38" s="19"/>
      <c r="L38" s="14">
        <v>1298.17</v>
      </c>
      <c r="O38" s="19"/>
      <c r="P38" s="11"/>
      <c r="R38" t="s">
        <v>874</v>
      </c>
      <c r="S38" s="101">
        <v>-3090</v>
      </c>
      <c r="T38" s="118">
        <v>12</v>
      </c>
      <c r="U38" s="119">
        <f t="shared" si="0"/>
        <v>-257.5</v>
      </c>
      <c r="V38" s="118">
        <v>1</v>
      </c>
      <c r="W38" s="119">
        <f t="shared" ref="W38:W43" si="1">U38*V38</f>
        <v>-257.5</v>
      </c>
      <c r="X38" s="119">
        <f t="shared" ref="X38:X43" si="2">S38-W38</f>
        <v>-2832.5</v>
      </c>
      <c r="Y38" t="s">
        <v>889</v>
      </c>
    </row>
    <row r="39" spans="1:27">
      <c r="B39" s="39"/>
      <c r="C39" s="1"/>
      <c r="D39" s="11"/>
      <c r="F39" s="39"/>
      <c r="G39" s="1"/>
      <c r="H39" s="11"/>
      <c r="J39" t="s">
        <v>933</v>
      </c>
      <c r="K39" s="19"/>
      <c r="L39" s="11">
        <v>544.66999999999996</v>
      </c>
      <c r="N39" s="39"/>
      <c r="O39" s="19"/>
      <c r="P39" s="11"/>
      <c r="Q39" s="29"/>
      <c r="R39" t="s">
        <v>890</v>
      </c>
      <c r="S39" s="101">
        <v>-11175</v>
      </c>
      <c r="T39" s="118">
        <v>18</v>
      </c>
      <c r="U39" s="119">
        <f t="shared" si="0"/>
        <v>-620.83333333333337</v>
      </c>
      <c r="V39" s="118">
        <v>1</v>
      </c>
      <c r="W39" s="119">
        <f t="shared" si="1"/>
        <v>-620.83333333333337</v>
      </c>
      <c r="X39" s="119">
        <f t="shared" si="2"/>
        <v>-10554.166666666666</v>
      </c>
      <c r="Y39" t="s">
        <v>888</v>
      </c>
    </row>
    <row r="40" spans="1:27">
      <c r="B40" s="39"/>
      <c r="C40" s="20"/>
      <c r="D40" s="11"/>
      <c r="F40" s="39"/>
      <c r="G40" s="1"/>
      <c r="H40" s="11"/>
      <c r="J40" t="s">
        <v>934</v>
      </c>
      <c r="K40" s="19"/>
      <c r="L40" s="11">
        <v>224</v>
      </c>
      <c r="N40" s="39"/>
      <c r="O40" s="19"/>
      <c r="P40" s="11"/>
      <c r="S40" s="101">
        <v>0</v>
      </c>
      <c r="T40" s="118">
        <v>1</v>
      </c>
      <c r="U40" s="119">
        <f t="shared" si="0"/>
        <v>0</v>
      </c>
      <c r="V40" s="118">
        <v>1</v>
      </c>
      <c r="W40" s="119">
        <f t="shared" si="1"/>
        <v>0</v>
      </c>
      <c r="X40" s="119">
        <f t="shared" si="2"/>
        <v>0</v>
      </c>
    </row>
    <row r="41" spans="1:27">
      <c r="B41" s="39"/>
      <c r="C41" s="20"/>
      <c r="D41" s="11"/>
      <c r="F41" s="39"/>
      <c r="G41" s="1"/>
      <c r="H41" s="11"/>
      <c r="K41" s="19"/>
      <c r="L41" s="11"/>
      <c r="M41" s="29"/>
      <c r="N41" s="39"/>
      <c r="O41" s="19"/>
      <c r="P41" s="11"/>
      <c r="Q41" s="29"/>
      <c r="S41" s="101">
        <v>0</v>
      </c>
      <c r="T41" s="118">
        <v>1</v>
      </c>
      <c r="U41" s="119">
        <f t="shared" si="0"/>
        <v>0</v>
      </c>
      <c r="V41" s="118">
        <v>1</v>
      </c>
      <c r="W41" s="119">
        <f t="shared" si="1"/>
        <v>0</v>
      </c>
      <c r="X41" s="119">
        <f t="shared" si="2"/>
        <v>0</v>
      </c>
    </row>
    <row r="42" spans="1:27">
      <c r="B42" s="39"/>
      <c r="C42" s="20"/>
      <c r="D42" s="11"/>
      <c r="F42" s="39"/>
      <c r="G42" s="1"/>
      <c r="H42" s="11"/>
      <c r="K42" s="19"/>
      <c r="L42" s="11"/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si="1"/>
        <v>0</v>
      </c>
      <c r="X42" s="119">
        <f t="shared" si="2"/>
        <v>0</v>
      </c>
    </row>
    <row r="43" spans="1:27">
      <c r="B43" s="39"/>
      <c r="C43" s="20"/>
      <c r="D43" s="11"/>
      <c r="H43" s="11"/>
      <c r="K43" s="19"/>
      <c r="L43" s="11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/>
      <c r="O44" s="19"/>
      <c r="P44" s="11"/>
      <c r="Q44" s="8"/>
      <c r="R44" t="s">
        <v>11</v>
      </c>
      <c r="S44" s="2">
        <f>SUM(S36:S43)</f>
        <v>-23065</v>
      </c>
      <c r="X44" s="2">
        <f>SUM(X36:X43)</f>
        <v>-20720</v>
      </c>
    </row>
    <row r="45" spans="1:27">
      <c r="B45" s="39"/>
      <c r="C45" s="20"/>
      <c r="D45" s="11"/>
      <c r="G45" s="1"/>
      <c r="H45" s="11"/>
      <c r="K45" s="19"/>
      <c r="L45" s="11"/>
      <c r="N45" s="39"/>
      <c r="O45" s="19"/>
      <c r="P45" s="11"/>
    </row>
    <row r="46" spans="1:27">
      <c r="B46" s="39"/>
      <c r="C46" s="20"/>
      <c r="D46" s="11"/>
      <c r="H46" s="11"/>
      <c r="K46" s="19"/>
      <c r="L46" s="11"/>
      <c r="N46" s="39"/>
      <c r="O46" s="19"/>
      <c r="P46" s="11"/>
      <c r="Q46" s="33"/>
      <c r="S46" s="2"/>
    </row>
    <row r="47" spans="1:27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7">
      <c r="B48" s="12"/>
      <c r="C48" s="20"/>
      <c r="D48" s="11"/>
      <c r="E48" s="29"/>
      <c r="H48" s="14"/>
      <c r="K48" s="19"/>
      <c r="L48" s="11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0</v>
      </c>
      <c r="H54" s="2">
        <f>SUM(H36:H52)</f>
        <v>1389.39</v>
      </c>
      <c r="J54" t="s">
        <v>2</v>
      </c>
      <c r="K54" s="2">
        <f>SUM(K36:K51)</f>
        <v>0</v>
      </c>
      <c r="L54" s="2">
        <f>SUM(L36:L49)</f>
        <v>3038.84</v>
      </c>
      <c r="N54" t="s">
        <v>2</v>
      </c>
      <c r="O54" s="2">
        <f>SUM(O36:O53)</f>
        <v>0</v>
      </c>
      <c r="P54" s="2">
        <f>SUM(P36:P53)</f>
        <v>9425.31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-1389.39</v>
      </c>
      <c r="L55" s="2">
        <f>K54-L54</f>
        <v>-3038.84</v>
      </c>
      <c r="M55" t="s">
        <v>879</v>
      </c>
      <c r="N55" s="2">
        <f>X37</f>
        <v>0</v>
      </c>
      <c r="P55" s="2">
        <f>O54-P54</f>
        <v>-9425.31</v>
      </c>
      <c r="Q55" t="s">
        <v>877</v>
      </c>
      <c r="R55" s="2">
        <f>X36</f>
        <v>-7333.333333333333</v>
      </c>
      <c r="S55" s="1"/>
      <c r="AA55" t="s">
        <v>239</v>
      </c>
      <c r="AB55" s="1">
        <v>10261.049999999999</v>
      </c>
    </row>
    <row r="56" spans="2:28">
      <c r="L56" s="2">
        <f>L55-N55</f>
        <v>-3038.84</v>
      </c>
      <c r="P56" s="2">
        <f>P55-R55</f>
        <v>-2091.9766666666665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1389.39</v>
      </c>
      <c r="L58" s="2">
        <v>3038.84</v>
      </c>
      <c r="P58" s="2">
        <v>0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0</v>
      </c>
      <c r="I60" s="41"/>
      <c r="J60" s="41"/>
      <c r="K60" s="41"/>
      <c r="L60" s="51">
        <v>-1643</v>
      </c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1389.39</v>
      </c>
      <c r="I62" s="44"/>
      <c r="J62" s="44"/>
      <c r="K62" s="44"/>
      <c r="L62" s="45">
        <f>L60+L58</f>
        <v>1395.8400000000001</v>
      </c>
      <c r="M62" s="44"/>
      <c r="N62" s="44"/>
      <c r="O62" s="44"/>
      <c r="P62" s="45"/>
      <c r="T62" t="s">
        <v>98</v>
      </c>
      <c r="V62" s="1">
        <f>Z62-Z63</f>
        <v>1018.6799999999998</v>
      </c>
      <c r="W62" s="2">
        <f>S63-V62</f>
        <v>3409.5500000000006</v>
      </c>
      <c r="X62" s="2">
        <f>W62/2</f>
        <v>1704.7750000000003</v>
      </c>
      <c r="Z62" s="1">
        <v>4200</v>
      </c>
      <c r="AA62" s="2">
        <f>X64+Z62</f>
        <v>5904.7750000000005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4428.2300000000005</v>
      </c>
      <c r="Z63" s="1">
        <v>3181.32</v>
      </c>
      <c r="AA63" s="2">
        <f>X65+Z63</f>
        <v>5904.7749999999996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1704.7750000000003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2723.4549999999999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11948.79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10:R11"/>
    <mergeCell ref="V10:V11"/>
    <mergeCell ref="C35:D35"/>
    <mergeCell ref="G35:H35"/>
    <mergeCell ref="K35:L35"/>
    <mergeCell ref="O35:P35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5 L55 H32 L32 D55 H55 D32 P32 T32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X32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B93"/>
  <sheetViews>
    <sheetView workbookViewId="0">
      <selection activeCell="C11" sqref="C11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903</v>
      </c>
      <c r="X1" s="218"/>
    </row>
    <row r="2" spans="1:24">
      <c r="B2" s="18" t="s">
        <v>0</v>
      </c>
      <c r="C2" s="94">
        <v>135.35</v>
      </c>
      <c r="D2" s="74"/>
      <c r="E2" s="18"/>
      <c r="F2" s="18" t="s">
        <v>0</v>
      </c>
      <c r="G2" s="75">
        <v>4494.5200000000004</v>
      </c>
      <c r="H2" s="74"/>
      <c r="I2" s="18"/>
      <c r="J2" s="18" t="s">
        <v>0</v>
      </c>
      <c r="K2" s="73">
        <v>44053.19</v>
      </c>
      <c r="L2" s="74"/>
      <c r="N2" s="18"/>
      <c r="O2" s="73">
        <v>0</v>
      </c>
      <c r="P2" s="97">
        <v>262</v>
      </c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720.52</v>
      </c>
      <c r="D3" s="11"/>
      <c r="E3" s="76"/>
      <c r="F3" s="39" t="s">
        <v>201</v>
      </c>
      <c r="G3" s="23">
        <v>3000</v>
      </c>
      <c r="H3" s="11"/>
      <c r="I3" s="18"/>
      <c r="J3" s="18" t="s">
        <v>201</v>
      </c>
      <c r="K3" s="23">
        <v>3000.22</v>
      </c>
      <c r="L3" s="77"/>
      <c r="N3" s="18" t="s">
        <v>986</v>
      </c>
      <c r="O3" s="20">
        <v>1170.79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8332.35</v>
      </c>
      <c r="D4" s="11"/>
      <c r="E4" s="18"/>
      <c r="F4" s="39" t="s">
        <v>980</v>
      </c>
      <c r="G4" s="20">
        <v>850</v>
      </c>
      <c r="H4" s="11"/>
      <c r="I4" s="18"/>
      <c r="J4" s="18" t="s">
        <v>848</v>
      </c>
      <c r="K4" s="23">
        <v>1000.07</v>
      </c>
      <c r="L4" s="77"/>
      <c r="N4" s="18" t="s">
        <v>987</v>
      </c>
      <c r="O4" s="20">
        <v>1338.6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8332.35</v>
      </c>
      <c r="D5" s="11"/>
      <c r="E5" s="18"/>
      <c r="F5" s="39" t="s">
        <v>981</v>
      </c>
      <c r="G5" s="20">
        <v>1800</v>
      </c>
      <c r="H5" s="11"/>
      <c r="I5" s="18"/>
      <c r="J5" s="18"/>
      <c r="K5" s="20"/>
      <c r="L5" s="77"/>
      <c r="N5" s="18" t="s">
        <v>988</v>
      </c>
      <c r="O5" s="20">
        <v>631.47</v>
      </c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 t="s">
        <v>974</v>
      </c>
      <c r="C6" s="166"/>
      <c r="D6" s="24">
        <v>258</v>
      </c>
      <c r="E6" s="18"/>
      <c r="F6" s="39" t="s">
        <v>982</v>
      </c>
      <c r="G6" s="20"/>
      <c r="H6" s="11">
        <v>3800</v>
      </c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B7" s="39" t="s">
        <v>975</v>
      </c>
      <c r="C7" s="166"/>
      <c r="D7" s="24">
        <v>127.99</v>
      </c>
      <c r="E7" s="76"/>
      <c r="F7" s="39" t="s">
        <v>976</v>
      </c>
      <c r="G7" s="23">
        <v>300</v>
      </c>
      <c r="H7" s="11"/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>
        <v>1000</v>
      </c>
      <c r="X7" s="77"/>
    </row>
    <row r="8" spans="1:24">
      <c r="B8" s="39" t="s">
        <v>976</v>
      </c>
      <c r="C8" s="166"/>
      <c r="D8" s="24">
        <v>300</v>
      </c>
      <c r="E8" s="18"/>
      <c r="F8" s="39" t="s">
        <v>983</v>
      </c>
      <c r="G8" s="20"/>
      <c r="H8" s="11">
        <v>300</v>
      </c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>
        <v>1000</v>
      </c>
      <c r="X8" s="39"/>
    </row>
    <row r="9" spans="1:24">
      <c r="B9" s="39" t="s">
        <v>977</v>
      </c>
      <c r="C9" s="166"/>
      <c r="D9" s="11">
        <v>314.01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>
        <v>1000</v>
      </c>
      <c r="X9" s="18"/>
    </row>
    <row r="10" spans="1:24">
      <c r="A10" t="s">
        <v>819</v>
      </c>
      <c r="B10" s="39" t="s">
        <v>663</v>
      </c>
      <c r="C10" s="166"/>
      <c r="D10" s="24">
        <v>1000</v>
      </c>
      <c r="E10" s="138"/>
      <c r="F10" s="39"/>
      <c r="G10" s="20"/>
      <c r="H10" s="11"/>
      <c r="I10" s="18"/>
      <c r="J10" s="18"/>
      <c r="K10" s="20"/>
      <c r="L10" s="77"/>
      <c r="N10" s="18"/>
      <c r="O10" s="18"/>
      <c r="P10" s="19"/>
      <c r="R10" s="219" t="s">
        <v>28</v>
      </c>
      <c r="S10" s="19">
        <v>1000</v>
      </c>
      <c r="T10" s="18"/>
      <c r="V10" s="219" t="s">
        <v>908</v>
      </c>
      <c r="W10" s="19">
        <v>1000</v>
      </c>
      <c r="X10" s="18"/>
    </row>
    <row r="11" spans="1:24">
      <c r="A11" s="184">
        <v>2000</v>
      </c>
      <c r="B11" s="39" t="s">
        <v>894</v>
      </c>
      <c r="C11" s="166"/>
      <c r="D11" s="24">
        <v>1000</v>
      </c>
      <c r="E11" s="39"/>
      <c r="F11" s="39"/>
      <c r="G11" s="20"/>
      <c r="H11" s="11"/>
      <c r="I11" s="18"/>
      <c r="J11" s="18"/>
      <c r="K11" s="20"/>
      <c r="L11" s="77"/>
      <c r="N11" s="18"/>
      <c r="R11" s="219"/>
      <c r="S11" s="19">
        <v>1000</v>
      </c>
      <c r="V11" s="219"/>
      <c r="W11" s="19">
        <v>1000</v>
      </c>
    </row>
    <row r="12" spans="1:24">
      <c r="B12" s="39" t="s">
        <v>848</v>
      </c>
      <c r="C12" s="166"/>
      <c r="D12" s="24">
        <v>1000.07</v>
      </c>
      <c r="E12" s="39"/>
      <c r="F12" s="39"/>
      <c r="G12" s="20"/>
      <c r="H12" s="11"/>
      <c r="I12" s="16"/>
      <c r="J12" s="18"/>
      <c r="K12" s="20"/>
      <c r="L12" s="77"/>
      <c r="N12" s="18"/>
    </row>
    <row r="13" spans="1:24">
      <c r="B13" s="39" t="s">
        <v>978</v>
      </c>
      <c r="C13" s="166"/>
      <c r="D13" s="24">
        <v>3000.22</v>
      </c>
      <c r="E13" s="39"/>
      <c r="F13" s="39"/>
      <c r="G13" s="20"/>
      <c r="H13" s="11"/>
      <c r="I13" s="18"/>
      <c r="J13" s="18"/>
      <c r="K13" s="20"/>
      <c r="L13" s="77"/>
      <c r="N13" s="18"/>
    </row>
    <row r="14" spans="1:24">
      <c r="B14" s="39" t="s">
        <v>870</v>
      </c>
      <c r="C14" s="166"/>
      <c r="D14" s="24">
        <v>3000</v>
      </c>
      <c r="E14" s="39"/>
      <c r="F14" s="39"/>
      <c r="G14" s="20"/>
      <c r="H14" s="11"/>
      <c r="I14" s="18"/>
      <c r="J14" s="18"/>
      <c r="K14" s="20"/>
      <c r="L14" s="77"/>
      <c r="N14" s="18"/>
    </row>
    <row r="15" spans="1:24">
      <c r="B15" s="39" t="s">
        <v>989</v>
      </c>
      <c r="C15" s="166"/>
      <c r="D15" s="24">
        <v>341</v>
      </c>
      <c r="E15" s="117"/>
      <c r="F15" s="39"/>
      <c r="G15" s="20"/>
      <c r="H15" s="11"/>
      <c r="I15" s="18"/>
      <c r="J15" s="91"/>
      <c r="K15" s="20"/>
      <c r="L15" s="77"/>
      <c r="N15" s="2"/>
    </row>
    <row r="16" spans="1:24">
      <c r="B16" s="39" t="s">
        <v>76</v>
      </c>
      <c r="C16" s="166"/>
      <c r="D16" s="24">
        <v>1000</v>
      </c>
      <c r="E16" s="39"/>
      <c r="F16" s="39"/>
      <c r="G16" s="20"/>
      <c r="H16" s="11"/>
      <c r="I16" s="18"/>
      <c r="J16" s="18"/>
      <c r="K16" s="20"/>
      <c r="L16" s="77"/>
      <c r="N16" s="18"/>
    </row>
    <row r="17" spans="1:27">
      <c r="B17" s="39" t="s">
        <v>43</v>
      </c>
      <c r="C17" s="166"/>
      <c r="D17" s="24">
        <v>4200</v>
      </c>
      <c r="E17" s="39"/>
      <c r="F17" s="39"/>
      <c r="G17" s="20"/>
      <c r="H17" s="11"/>
      <c r="I17" s="18"/>
      <c r="J17" s="18"/>
      <c r="K17" s="20"/>
      <c r="L17" s="77"/>
      <c r="N17" s="18"/>
    </row>
    <row r="18" spans="1:27">
      <c r="A18" t="s">
        <v>260</v>
      </c>
      <c r="B18" s="39" t="s">
        <v>308</v>
      </c>
      <c r="C18" s="166"/>
      <c r="D18" s="24">
        <v>315.61</v>
      </c>
      <c r="E18" s="39"/>
      <c r="F18" s="39"/>
      <c r="G18" s="20"/>
      <c r="H18" s="11"/>
      <c r="K18" s="20"/>
      <c r="L18" s="77"/>
      <c r="N18" s="18"/>
    </row>
    <row r="19" spans="1:27">
      <c r="B19" s="39" t="s">
        <v>17</v>
      </c>
      <c r="C19" s="166"/>
      <c r="D19" s="24">
        <v>1389.39</v>
      </c>
      <c r="E19" s="96"/>
      <c r="F19" s="186"/>
      <c r="G19" s="20"/>
      <c r="H19" s="11" t="s">
        <v>80</v>
      </c>
      <c r="J19" s="2"/>
      <c r="K19" s="20"/>
      <c r="L19" s="77"/>
      <c r="N19" s="18"/>
    </row>
    <row r="20" spans="1:27">
      <c r="B20" s="39"/>
      <c r="C20" s="166"/>
      <c r="D20" s="11"/>
      <c r="F20" s="39"/>
      <c r="G20" s="20"/>
      <c r="H20" s="11"/>
      <c r="K20" s="20"/>
      <c r="L20" s="77"/>
      <c r="N20" s="18"/>
    </row>
    <row r="21" spans="1:27">
      <c r="B21" s="39"/>
      <c r="C21" s="166"/>
      <c r="D21" s="11"/>
      <c r="F21" s="39"/>
      <c r="G21" s="20"/>
      <c r="H21" s="11"/>
      <c r="L21" s="77"/>
      <c r="N21" s="18"/>
    </row>
    <row r="22" spans="1:27">
      <c r="B22" s="39"/>
      <c r="C22" s="166"/>
      <c r="D22" s="11"/>
      <c r="F22" s="39"/>
      <c r="G22" s="20"/>
      <c r="H22" s="11"/>
      <c r="L22" s="77"/>
      <c r="N22" s="185"/>
      <c r="O22" s="62"/>
      <c r="P22" s="62"/>
    </row>
    <row r="23" spans="1:27">
      <c r="B23" s="39"/>
      <c r="C23" s="166"/>
      <c r="D23" s="11"/>
      <c r="G23" s="20"/>
      <c r="H23" s="11"/>
      <c r="L23" s="77"/>
      <c r="N23" s="18"/>
    </row>
    <row r="24" spans="1:27">
      <c r="B24" s="39"/>
      <c r="C24" s="166"/>
      <c r="D24" s="11"/>
      <c r="G24" s="20"/>
      <c r="H24" s="11"/>
      <c r="L24" s="77"/>
      <c r="N24" s="18"/>
    </row>
    <row r="25" spans="1:27">
      <c r="B25" s="39"/>
      <c r="C25" s="166"/>
      <c r="D25" s="11"/>
      <c r="G25" s="20"/>
      <c r="H25" s="11"/>
      <c r="L25" s="77"/>
      <c r="N25" s="18"/>
    </row>
    <row r="26" spans="1:27">
      <c r="B26" s="39"/>
      <c r="C26" s="166"/>
      <c r="D26" s="11"/>
      <c r="G26" s="20"/>
      <c r="H26" s="11"/>
      <c r="L26" s="77"/>
      <c r="N26" s="185"/>
      <c r="O26" s="62"/>
      <c r="P26" s="62"/>
      <c r="R26" t="s">
        <v>80</v>
      </c>
      <c r="V26" t="s">
        <v>80</v>
      </c>
    </row>
    <row r="27" spans="1:27">
      <c r="B27" s="39"/>
      <c r="C27" s="166"/>
      <c r="D27" s="11"/>
      <c r="G27" s="20"/>
      <c r="H27" s="11"/>
      <c r="L27" s="77"/>
      <c r="N27" s="18"/>
    </row>
    <row r="28" spans="1:27">
      <c r="B28" s="39"/>
      <c r="C28" s="166"/>
      <c r="D28" s="11"/>
      <c r="G28" s="20"/>
      <c r="H28" s="11"/>
      <c r="L28" s="77"/>
      <c r="N28" s="18"/>
    </row>
    <row r="29" spans="1:27" ht="15.75" thickBot="1">
      <c r="B29" s="39"/>
      <c r="C29" s="20"/>
      <c r="D29" s="11"/>
      <c r="G29" s="20"/>
      <c r="H29" s="11"/>
      <c r="L29" s="77"/>
    </row>
    <row r="30" spans="1:27">
      <c r="B30" s="39"/>
      <c r="C30" s="20"/>
      <c r="D30" s="11"/>
      <c r="G30" s="20"/>
      <c r="H30" s="19"/>
      <c r="Y30" t="s">
        <v>899</v>
      </c>
      <c r="AA30" s="179">
        <v>1500</v>
      </c>
    </row>
    <row r="31" spans="1:27">
      <c r="B31" t="s">
        <v>2</v>
      </c>
      <c r="C31" s="2">
        <f>SUM(C2:C29)</f>
        <v>17520.57</v>
      </c>
      <c r="D31" s="2">
        <f>SUM(D3:D30)</f>
        <v>17246.29</v>
      </c>
      <c r="F31" t="s">
        <v>2</v>
      </c>
      <c r="G31" s="2">
        <f>SUM(G2:G30)</f>
        <v>10444.52</v>
      </c>
      <c r="H31" s="2">
        <f>SUM(H3:H30)</f>
        <v>4100</v>
      </c>
      <c r="J31" t="s">
        <v>2</v>
      </c>
      <c r="K31" s="2">
        <f>SUM(K1:K10)</f>
        <v>48053.48</v>
      </c>
      <c r="L31" s="2">
        <f>SUM(L2:L10)</f>
        <v>0</v>
      </c>
      <c r="N31" t="s">
        <v>2</v>
      </c>
      <c r="O31" s="2">
        <f>SUM(O1:O29)</f>
        <v>3140.8599999999997</v>
      </c>
      <c r="P31" s="2">
        <f>SUM(P2:P29)</f>
        <v>262</v>
      </c>
      <c r="R31" t="s">
        <v>2</v>
      </c>
      <c r="S31" s="2">
        <f>SUM(S1:S14)</f>
        <v>9500</v>
      </c>
      <c r="T31" s="2">
        <f>SUM(T2:T10)</f>
        <v>0</v>
      </c>
      <c r="V31" t="s">
        <v>2</v>
      </c>
      <c r="W31" s="2">
        <f>SUM(W1:W10)</f>
        <v>5000</v>
      </c>
      <c r="X31" s="2">
        <f>SUM(X2:X10)</f>
        <v>0</v>
      </c>
      <c r="AA31" s="177">
        <v>1500</v>
      </c>
    </row>
    <row r="32" spans="1:27">
      <c r="D32" s="2">
        <f>C31-D31</f>
        <v>274.27999999999884</v>
      </c>
      <c r="H32" s="2">
        <f>G31-H31</f>
        <v>6344.52</v>
      </c>
      <c r="L32" s="2">
        <f>K31-L31</f>
        <v>48053.48</v>
      </c>
      <c r="P32" s="2">
        <f>O31-P31</f>
        <v>2878.8599999999997</v>
      </c>
      <c r="T32" s="2">
        <f>S31-T31</f>
        <v>9500</v>
      </c>
      <c r="X32" s="2">
        <f>W31-X31</f>
        <v>5000</v>
      </c>
      <c r="AA32" s="177">
        <v>1500</v>
      </c>
    </row>
    <row r="33" spans="1:27">
      <c r="A33">
        <v>1032.8900000000001</v>
      </c>
      <c r="AA33" s="177">
        <v>1500</v>
      </c>
    </row>
    <row r="34" spans="1:27">
      <c r="A34" s="2">
        <f>A33-D32</f>
        <v>758.61000000000126</v>
      </c>
      <c r="V34" s="102">
        <v>43026</v>
      </c>
      <c r="AA34" s="177">
        <v>1500</v>
      </c>
    </row>
    <row r="35" spans="1:27" ht="15.75" thickBot="1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  <c r="AA35" s="178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183">
        <v>1476.48</v>
      </c>
      <c r="J36" t="s">
        <v>979</v>
      </c>
      <c r="K36" s="3"/>
      <c r="L36" s="168">
        <v>3492.6</v>
      </c>
      <c r="M36" s="33"/>
      <c r="N36" t="s">
        <v>0</v>
      </c>
      <c r="O36" s="3"/>
      <c r="P36" s="168">
        <v>9425.31</v>
      </c>
      <c r="R36" t="s">
        <v>872</v>
      </c>
      <c r="S36" s="101">
        <v>-8800</v>
      </c>
      <c r="T36" s="118">
        <v>6</v>
      </c>
      <c r="U36" s="119">
        <f t="shared" ref="U36:U43" si="0">S36/T36</f>
        <v>-1466.6666666666667</v>
      </c>
      <c r="V36" s="118">
        <v>1</v>
      </c>
      <c r="W36" s="119">
        <f>U36*V36</f>
        <v>-1466.6666666666667</v>
      </c>
      <c r="X36" s="119">
        <f>S36-W36</f>
        <v>-7333.333333333333</v>
      </c>
      <c r="Y36" t="s">
        <v>437</v>
      </c>
    </row>
    <row r="37" spans="1:27">
      <c r="B37" s="39" t="s">
        <v>503</v>
      </c>
      <c r="C37" s="1"/>
      <c r="D37" s="1">
        <v>0</v>
      </c>
      <c r="F37" s="39" t="s">
        <v>926</v>
      </c>
      <c r="G37" s="1"/>
      <c r="H37" s="11">
        <v>60</v>
      </c>
      <c r="J37" t="s">
        <v>169</v>
      </c>
      <c r="K37">
        <v>1200</v>
      </c>
      <c r="M37" s="29"/>
      <c r="O37" s="19"/>
      <c r="P37" s="11"/>
      <c r="Q37" s="93"/>
      <c r="S37" s="101"/>
      <c r="T37" s="118"/>
      <c r="U37" s="119"/>
      <c r="V37" s="118"/>
      <c r="W37" s="119"/>
      <c r="X37" s="119"/>
    </row>
    <row r="38" spans="1:27">
      <c r="B38" s="39"/>
      <c r="C38" s="1"/>
      <c r="D38" s="11"/>
      <c r="F38" s="39"/>
      <c r="G38" s="1"/>
      <c r="H38" s="11"/>
      <c r="I38" s="8"/>
      <c r="J38" t="s">
        <v>990</v>
      </c>
      <c r="L38">
        <v>876.18</v>
      </c>
      <c r="O38" s="19"/>
      <c r="P38" s="11"/>
      <c r="R38" t="s">
        <v>874</v>
      </c>
      <c r="S38" s="101">
        <v>-3090</v>
      </c>
      <c r="T38" s="118">
        <v>12</v>
      </c>
      <c r="U38" s="119">
        <f t="shared" si="0"/>
        <v>-257.5</v>
      </c>
      <c r="V38" s="118">
        <v>1</v>
      </c>
      <c r="W38" s="119">
        <f t="shared" ref="W38:W43" si="1">U38*V38</f>
        <v>-257.5</v>
      </c>
      <c r="X38" s="119">
        <f t="shared" ref="X38:X43" si="2">S38-W38</f>
        <v>-2832.5</v>
      </c>
      <c r="Y38" t="s">
        <v>889</v>
      </c>
    </row>
    <row r="39" spans="1:27">
      <c r="B39" s="39"/>
      <c r="C39" s="1"/>
      <c r="D39" s="11"/>
      <c r="F39" s="39"/>
      <c r="G39" s="1"/>
      <c r="H39" s="11"/>
      <c r="J39" t="s">
        <v>991</v>
      </c>
      <c r="L39">
        <v>138</v>
      </c>
      <c r="N39" s="39"/>
      <c r="O39" s="19"/>
      <c r="P39" s="11"/>
      <c r="Q39" s="29"/>
      <c r="R39" t="s">
        <v>890</v>
      </c>
      <c r="S39" s="101">
        <v>-11175</v>
      </c>
      <c r="T39" s="118">
        <v>18</v>
      </c>
      <c r="U39" s="119">
        <f t="shared" si="0"/>
        <v>-620.83333333333337</v>
      </c>
      <c r="V39" s="118">
        <v>1</v>
      </c>
      <c r="W39" s="119">
        <f t="shared" si="1"/>
        <v>-620.83333333333337</v>
      </c>
      <c r="X39" s="119">
        <f t="shared" si="2"/>
        <v>-10554.166666666666</v>
      </c>
      <c r="Y39" t="s">
        <v>888</v>
      </c>
    </row>
    <row r="40" spans="1:27">
      <c r="B40" s="39"/>
      <c r="C40" s="20"/>
      <c r="D40" s="11"/>
      <c r="F40" s="39"/>
      <c r="G40" s="1"/>
      <c r="H40" s="11"/>
      <c r="K40" s="19"/>
      <c r="L40" s="11"/>
      <c r="N40" s="39"/>
      <c r="O40" s="19"/>
      <c r="P40" s="11"/>
      <c r="S40" s="101">
        <v>0</v>
      </c>
      <c r="T40" s="118">
        <v>1</v>
      </c>
      <c r="U40" s="119">
        <f t="shared" si="0"/>
        <v>0</v>
      </c>
      <c r="V40" s="118">
        <v>1</v>
      </c>
      <c r="W40" s="119">
        <f t="shared" si="1"/>
        <v>0</v>
      </c>
      <c r="X40" s="119">
        <f t="shared" si="2"/>
        <v>0</v>
      </c>
    </row>
    <row r="41" spans="1:27">
      <c r="B41" s="39"/>
      <c r="C41" s="20"/>
      <c r="D41" s="11"/>
      <c r="F41" s="39"/>
      <c r="G41" s="1"/>
      <c r="H41" s="11"/>
      <c r="J41" t="s">
        <v>931</v>
      </c>
      <c r="K41" s="19"/>
      <c r="L41" s="14">
        <v>620.83000000000004</v>
      </c>
      <c r="M41" s="29"/>
      <c r="N41" s="39"/>
      <c r="O41" s="19"/>
      <c r="P41" s="11"/>
      <c r="Q41" s="29"/>
      <c r="S41" s="101">
        <v>0</v>
      </c>
      <c r="T41" s="118">
        <v>1</v>
      </c>
      <c r="U41" s="119">
        <f t="shared" si="0"/>
        <v>0</v>
      </c>
      <c r="V41" s="118">
        <v>1</v>
      </c>
      <c r="W41" s="119">
        <f t="shared" si="1"/>
        <v>0</v>
      </c>
      <c r="X41" s="119">
        <f t="shared" si="2"/>
        <v>0</v>
      </c>
    </row>
    <row r="42" spans="1:27">
      <c r="B42" s="39"/>
      <c r="C42" s="20"/>
      <c r="D42" s="11"/>
      <c r="F42" s="39"/>
      <c r="G42" s="1"/>
      <c r="H42" s="11"/>
      <c r="J42" t="s">
        <v>932</v>
      </c>
      <c r="K42" s="19"/>
      <c r="L42" s="14">
        <v>1298.17</v>
      </c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si="1"/>
        <v>0</v>
      </c>
      <c r="X42" s="119">
        <f t="shared" si="2"/>
        <v>0</v>
      </c>
    </row>
    <row r="43" spans="1:27">
      <c r="B43" s="39"/>
      <c r="C43" s="20"/>
      <c r="D43" s="11"/>
      <c r="H43" s="11"/>
      <c r="J43" t="s">
        <v>933</v>
      </c>
      <c r="K43" s="19"/>
      <c r="L43" s="11">
        <v>544.66999999999996</v>
      </c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/>
      <c r="O44" s="19"/>
      <c r="P44" s="11"/>
      <c r="Q44" s="8"/>
      <c r="R44" t="s">
        <v>11</v>
      </c>
      <c r="S44" s="2">
        <f>SUM(S36:S43)</f>
        <v>-23065</v>
      </c>
      <c r="X44" s="2">
        <f>SUM(X36:X43)</f>
        <v>-20720</v>
      </c>
    </row>
    <row r="45" spans="1:27">
      <c r="B45" s="39"/>
      <c r="C45" s="20"/>
      <c r="D45" s="11"/>
      <c r="G45" s="1"/>
      <c r="H45" s="11"/>
      <c r="J45" t="s">
        <v>992</v>
      </c>
      <c r="K45" s="19">
        <v>2900</v>
      </c>
      <c r="L45" s="11"/>
      <c r="N45" s="39"/>
      <c r="O45" s="19"/>
      <c r="P45" s="11"/>
    </row>
    <row r="46" spans="1:27">
      <c r="B46" s="39"/>
      <c r="C46" s="20"/>
      <c r="D46" s="11"/>
      <c r="H46" s="11"/>
      <c r="K46" s="19"/>
      <c r="L46" s="11"/>
      <c r="N46" s="39"/>
      <c r="O46" s="19"/>
      <c r="P46" s="11"/>
      <c r="Q46" s="33"/>
      <c r="S46" s="2"/>
    </row>
    <row r="47" spans="1:27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7">
      <c r="B48" s="12"/>
      <c r="C48" s="20"/>
      <c r="D48" s="11"/>
      <c r="E48" s="29"/>
      <c r="H48" s="14"/>
      <c r="K48" s="19"/>
      <c r="L48" s="11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0</v>
      </c>
      <c r="H54" s="2">
        <f>SUM(H36:H52)</f>
        <v>1536.48</v>
      </c>
      <c r="J54" t="s">
        <v>2</v>
      </c>
      <c r="K54" s="2">
        <f>SUM(K36:K51)</f>
        <v>4100</v>
      </c>
      <c r="L54" s="2">
        <f>SUM(L36:L49)</f>
        <v>6970.45</v>
      </c>
      <c r="N54" t="s">
        <v>2</v>
      </c>
      <c r="O54" s="2">
        <f>SUM(O36:O53)</f>
        <v>0</v>
      </c>
      <c r="P54" s="2">
        <f>SUM(P36:P53)</f>
        <v>9425.31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-1536.48</v>
      </c>
      <c r="L55" s="2">
        <f>K54-L54</f>
        <v>-2870.45</v>
      </c>
      <c r="M55" t="s">
        <v>879</v>
      </c>
      <c r="N55" s="2">
        <f>X37</f>
        <v>0</v>
      </c>
      <c r="P55" s="2">
        <f>O54-P54</f>
        <v>-9425.31</v>
      </c>
      <c r="Q55" t="s">
        <v>877</v>
      </c>
      <c r="R55" s="2">
        <f>X36</f>
        <v>-7333.333333333333</v>
      </c>
      <c r="S55" s="1"/>
      <c r="AA55" t="s">
        <v>239</v>
      </c>
      <c r="AB55" s="1">
        <v>10261.049999999999</v>
      </c>
    </row>
    <row r="56" spans="2:28">
      <c r="L56" s="2">
        <f>L55-N55</f>
        <v>-2870.45</v>
      </c>
      <c r="P56" s="2">
        <f>P55-R55</f>
        <v>-2091.9766666666665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1536.48</v>
      </c>
      <c r="L58" s="2">
        <v>2870.45</v>
      </c>
      <c r="P58" s="2">
        <v>0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0</v>
      </c>
      <c r="I60" s="41"/>
      <c r="J60" s="41"/>
      <c r="K60" s="41"/>
      <c r="L60" s="51">
        <v>-1643</v>
      </c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1536.48</v>
      </c>
      <c r="I62" s="44"/>
      <c r="J62" s="44"/>
      <c r="K62" s="44"/>
      <c r="L62" s="45">
        <f>L60+L58</f>
        <v>1227.4499999999998</v>
      </c>
      <c r="M62" s="44"/>
      <c r="N62" s="44"/>
      <c r="O62" s="44"/>
      <c r="P62" s="45"/>
      <c r="T62" t="s">
        <v>98</v>
      </c>
      <c r="V62" s="1">
        <f>Z62-Z63</f>
        <v>1018.6799999999998</v>
      </c>
      <c r="W62" s="2">
        <f>S63-V62</f>
        <v>3388.2500000000005</v>
      </c>
      <c r="X62" s="2">
        <f>W62/2</f>
        <v>1694.1250000000002</v>
      </c>
      <c r="Z62" s="1">
        <v>4200</v>
      </c>
      <c r="AA62" s="2">
        <f>X64+Z62</f>
        <v>5894.125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4406.93</v>
      </c>
      <c r="Z63" s="1">
        <v>3181.32</v>
      </c>
      <c r="AA63" s="2">
        <f>X65+Z63</f>
        <v>5894.125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1694.1250000000002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2712.8050000000003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11801.7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8">
    <mergeCell ref="R10:R11"/>
    <mergeCell ref="V10:V11"/>
    <mergeCell ref="C35:D35"/>
    <mergeCell ref="G35:H35"/>
    <mergeCell ref="K35:L35"/>
    <mergeCell ref="O35:P35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5 L55 H32 L32 D55 H55 D32 P32 T32 X32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B93"/>
  <sheetViews>
    <sheetView topLeftCell="C1" workbookViewId="0">
      <selection activeCell="G43" sqref="G4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903</v>
      </c>
      <c r="X1" s="218"/>
    </row>
    <row r="2" spans="1:24">
      <c r="B2" s="18" t="s">
        <v>0</v>
      </c>
      <c r="C2" s="94">
        <v>0</v>
      </c>
      <c r="D2" s="74"/>
      <c r="E2" s="18"/>
      <c r="F2" s="18" t="s">
        <v>0</v>
      </c>
      <c r="G2" s="75">
        <v>3598.51</v>
      </c>
      <c r="H2" s="74"/>
      <c r="I2" s="18"/>
      <c r="J2" s="18" t="s">
        <v>0</v>
      </c>
      <c r="K2" s="73">
        <v>56000</v>
      </c>
      <c r="L2" s="74"/>
      <c r="N2" s="18"/>
      <c r="O2" s="73">
        <v>0</v>
      </c>
      <c r="P2" s="97">
        <v>262</v>
      </c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792.82</v>
      </c>
      <c r="D3" s="11"/>
      <c r="E3" s="76"/>
      <c r="F3" s="39" t="s">
        <v>993</v>
      </c>
      <c r="G3" s="20">
        <v>3000</v>
      </c>
      <c r="H3" s="11"/>
      <c r="I3" s="18"/>
      <c r="J3" s="18" t="s">
        <v>201</v>
      </c>
      <c r="K3" s="23">
        <v>3000.22</v>
      </c>
      <c r="L3" s="77"/>
      <c r="N3" s="18" t="s">
        <v>986</v>
      </c>
      <c r="O3" s="20">
        <v>1170.79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8315.25</v>
      </c>
      <c r="D4" s="11"/>
      <c r="E4" s="18"/>
      <c r="F4" s="39" t="s">
        <v>994</v>
      </c>
      <c r="G4" s="20">
        <v>3000</v>
      </c>
      <c r="H4" s="11"/>
      <c r="I4" s="18"/>
      <c r="J4" s="18" t="s">
        <v>848</v>
      </c>
      <c r="K4" s="23">
        <v>1000.07</v>
      </c>
      <c r="L4" s="77"/>
      <c r="N4" s="18" t="s">
        <v>987</v>
      </c>
      <c r="O4" s="20">
        <v>1338.6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8315.25</v>
      </c>
      <c r="D5" s="11"/>
      <c r="E5" s="18"/>
      <c r="F5" s="39" t="s">
        <v>995</v>
      </c>
      <c r="G5" s="20"/>
      <c r="H5" s="11">
        <v>3785.99</v>
      </c>
      <c r="I5" s="18"/>
      <c r="J5" s="18"/>
      <c r="K5" s="20"/>
      <c r="L5" s="77"/>
      <c r="N5" s="18" t="s">
        <v>988</v>
      </c>
      <c r="O5" s="20">
        <v>631.47</v>
      </c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 t="s">
        <v>870</v>
      </c>
      <c r="C6" s="166"/>
      <c r="D6" s="11">
        <v>3000</v>
      </c>
      <c r="E6" s="18"/>
      <c r="F6" s="39"/>
      <c r="G6" s="20"/>
      <c r="H6" s="11"/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B7" s="39" t="s">
        <v>201</v>
      </c>
      <c r="C7" s="166"/>
      <c r="D7" s="11">
        <v>3000</v>
      </c>
      <c r="E7" s="76"/>
      <c r="F7" s="39" t="s">
        <v>996</v>
      </c>
      <c r="G7" s="20"/>
      <c r="H7" s="11">
        <v>2500</v>
      </c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>
        <v>1000</v>
      </c>
      <c r="X7" s="77"/>
    </row>
    <row r="8" spans="1:24">
      <c r="B8" s="39" t="s">
        <v>998</v>
      </c>
      <c r="C8" s="166"/>
      <c r="D8" s="11">
        <v>1000</v>
      </c>
      <c r="E8" s="18"/>
      <c r="F8" s="39"/>
      <c r="G8" s="20"/>
      <c r="H8" s="11"/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>
        <v>1000</v>
      </c>
      <c r="X8" s="39"/>
    </row>
    <row r="9" spans="1:24">
      <c r="B9" s="39" t="s">
        <v>1</v>
      </c>
      <c r="C9" s="166"/>
      <c r="D9" s="11">
        <v>3181.32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>
        <v>1000</v>
      </c>
      <c r="X9" s="18"/>
    </row>
    <row r="10" spans="1:24">
      <c r="B10" s="39" t="s">
        <v>76</v>
      </c>
      <c r="C10" s="166"/>
      <c r="D10" s="11">
        <v>1400</v>
      </c>
      <c r="E10" s="138"/>
      <c r="F10" s="39" t="s">
        <v>997</v>
      </c>
      <c r="G10" s="20"/>
      <c r="H10" s="11">
        <v>3785.99</v>
      </c>
      <c r="I10" s="18"/>
      <c r="J10" s="18"/>
      <c r="K10" s="20"/>
      <c r="L10" s="77"/>
      <c r="N10" s="18"/>
      <c r="O10" s="18"/>
      <c r="P10" s="19"/>
      <c r="R10" s="219" t="s">
        <v>28</v>
      </c>
      <c r="S10" s="19">
        <v>1000</v>
      </c>
      <c r="T10" s="18"/>
      <c r="V10" s="219" t="s">
        <v>908</v>
      </c>
      <c r="W10" s="19">
        <v>1000</v>
      </c>
      <c r="X10" s="18"/>
    </row>
    <row r="11" spans="1:24">
      <c r="A11" s="184"/>
      <c r="B11" s="39" t="s">
        <v>999</v>
      </c>
      <c r="C11" s="166"/>
      <c r="D11" s="11">
        <v>1500</v>
      </c>
      <c r="E11" s="39"/>
      <c r="F11" s="39"/>
      <c r="G11" s="20"/>
      <c r="H11" s="11"/>
      <c r="I11" s="18"/>
      <c r="J11" s="18"/>
      <c r="K11" s="20"/>
      <c r="L11" s="77"/>
      <c r="N11" s="18"/>
      <c r="R11" s="219"/>
      <c r="S11" s="19">
        <v>1000</v>
      </c>
      <c r="V11" s="219"/>
      <c r="W11" s="19">
        <v>1000</v>
      </c>
    </row>
    <row r="12" spans="1:24">
      <c r="B12" s="39" t="s">
        <v>1000</v>
      </c>
      <c r="C12" s="166"/>
      <c r="D12" s="11">
        <v>1500</v>
      </c>
      <c r="E12" s="39"/>
      <c r="F12" s="39"/>
      <c r="G12" s="20"/>
      <c r="H12" s="11"/>
      <c r="I12" s="16"/>
      <c r="J12" s="18"/>
      <c r="K12" s="20"/>
      <c r="L12" s="77"/>
      <c r="N12" s="18"/>
      <c r="V12" s="219" t="s">
        <v>1001</v>
      </c>
      <c r="W12" s="19">
        <v>1000</v>
      </c>
    </row>
    <row r="13" spans="1:24">
      <c r="B13" s="39" t="s">
        <v>961</v>
      </c>
      <c r="C13" s="166"/>
      <c r="D13" s="24">
        <v>2650</v>
      </c>
      <c r="E13" s="39"/>
      <c r="F13" s="39"/>
      <c r="G13" s="20"/>
      <c r="H13" s="11"/>
      <c r="I13" s="18"/>
      <c r="J13" s="18"/>
      <c r="K13" s="20"/>
      <c r="L13" s="77"/>
      <c r="N13" s="18"/>
      <c r="V13" s="219"/>
      <c r="W13" s="19"/>
    </row>
    <row r="14" spans="1:24">
      <c r="B14" s="39"/>
      <c r="C14" s="166"/>
      <c r="D14" s="11"/>
      <c r="E14" s="39"/>
      <c r="F14" s="39"/>
      <c r="G14" s="20"/>
      <c r="H14" s="11"/>
      <c r="I14" s="18"/>
      <c r="J14" s="18"/>
      <c r="K14" s="20"/>
      <c r="L14" s="77"/>
      <c r="N14" s="18"/>
    </row>
    <row r="15" spans="1:24">
      <c r="B15" s="39"/>
      <c r="C15" s="166"/>
      <c r="D15" s="11"/>
      <c r="E15" s="117"/>
      <c r="F15" s="39"/>
      <c r="G15" s="20"/>
      <c r="H15" s="11"/>
      <c r="I15" s="18"/>
      <c r="J15" s="91"/>
      <c r="K15" s="20"/>
      <c r="L15" s="77"/>
      <c r="N15" s="2"/>
    </row>
    <row r="16" spans="1:24">
      <c r="B16" s="39"/>
      <c r="C16" s="166"/>
      <c r="D16" s="11"/>
      <c r="E16" s="39"/>
      <c r="F16" s="39"/>
      <c r="G16" s="20"/>
      <c r="H16" s="11"/>
      <c r="I16" s="18"/>
      <c r="J16" s="18"/>
      <c r="K16" s="20"/>
      <c r="L16" s="77"/>
      <c r="N16" s="18"/>
    </row>
    <row r="17" spans="2:27">
      <c r="B17" s="39"/>
      <c r="C17" s="166"/>
      <c r="D17" s="11"/>
      <c r="E17" s="39"/>
      <c r="F17" s="39"/>
      <c r="G17" s="20"/>
      <c r="H17" s="11"/>
      <c r="I17" s="18"/>
      <c r="J17" s="18"/>
      <c r="K17" s="20"/>
      <c r="L17" s="77"/>
      <c r="N17" s="18"/>
    </row>
    <row r="18" spans="2:27">
      <c r="B18" s="39"/>
      <c r="C18" s="166"/>
      <c r="D18" s="11"/>
      <c r="E18" s="39"/>
      <c r="F18" s="39"/>
      <c r="G18" s="20"/>
      <c r="H18" s="11"/>
      <c r="K18" s="20"/>
      <c r="L18" s="77"/>
      <c r="N18" s="18"/>
    </row>
    <row r="19" spans="2:27">
      <c r="B19" s="39"/>
      <c r="C19" s="166"/>
      <c r="D19" s="11"/>
      <c r="E19" s="96"/>
      <c r="F19" s="186"/>
      <c r="G19" s="20"/>
      <c r="H19" s="11" t="s">
        <v>80</v>
      </c>
      <c r="J19" s="2"/>
      <c r="K19" s="20"/>
      <c r="L19" s="77"/>
      <c r="N19" s="18"/>
    </row>
    <row r="20" spans="2:27">
      <c r="B20" s="39"/>
      <c r="C20" s="166"/>
      <c r="D20" s="11"/>
      <c r="F20" s="39"/>
      <c r="G20" s="20"/>
      <c r="H20" s="11"/>
      <c r="K20" s="20"/>
      <c r="L20" s="77"/>
      <c r="N20" s="18"/>
    </row>
    <row r="21" spans="2:27">
      <c r="B21" s="39"/>
      <c r="C21" s="166"/>
      <c r="D21" s="11"/>
      <c r="F21" s="39"/>
      <c r="G21" s="20"/>
      <c r="H21" s="11"/>
      <c r="L21" s="77"/>
      <c r="N21" s="18"/>
    </row>
    <row r="22" spans="2:27">
      <c r="B22" s="39"/>
      <c r="C22" s="166"/>
      <c r="D22" s="11"/>
      <c r="F22" s="39"/>
      <c r="G22" s="20"/>
      <c r="H22" s="11"/>
      <c r="L22" s="77"/>
      <c r="N22" s="185"/>
      <c r="O22" s="62"/>
      <c r="P22" s="62"/>
    </row>
    <row r="23" spans="2:27">
      <c r="B23" s="39"/>
      <c r="C23" s="166"/>
      <c r="D23" s="11"/>
      <c r="G23" s="20"/>
      <c r="H23" s="11"/>
      <c r="L23" s="77"/>
      <c r="N23" s="18"/>
    </row>
    <row r="24" spans="2:27">
      <c r="B24" s="39"/>
      <c r="C24" s="166"/>
      <c r="D24" s="11"/>
      <c r="G24" s="20"/>
      <c r="H24" s="11"/>
      <c r="L24" s="77"/>
      <c r="N24" s="18"/>
    </row>
    <row r="25" spans="2:27">
      <c r="B25" s="39"/>
      <c r="C25" s="166"/>
      <c r="D25" s="11"/>
      <c r="G25" s="20"/>
      <c r="H25" s="11"/>
      <c r="L25" s="77"/>
      <c r="N25" s="18"/>
    </row>
    <row r="26" spans="2:27">
      <c r="B26" s="39"/>
      <c r="C26" s="166"/>
      <c r="D26" s="11"/>
      <c r="G26" s="20"/>
      <c r="H26" s="11"/>
      <c r="L26" s="77"/>
      <c r="N26" s="185"/>
      <c r="O26" s="62"/>
      <c r="P26" s="62"/>
      <c r="R26" t="s">
        <v>80</v>
      </c>
      <c r="V26" t="s">
        <v>80</v>
      </c>
    </row>
    <row r="27" spans="2:27">
      <c r="B27" s="39"/>
      <c r="C27" s="166"/>
      <c r="D27" s="11"/>
      <c r="G27" s="20"/>
      <c r="H27" s="11"/>
      <c r="L27" s="77"/>
      <c r="N27" s="18"/>
    </row>
    <row r="28" spans="2:27">
      <c r="B28" s="39"/>
      <c r="C28" s="166"/>
      <c r="D28" s="11"/>
      <c r="G28" s="20"/>
      <c r="H28" s="11"/>
      <c r="L28" s="77"/>
      <c r="N28" s="18"/>
    </row>
    <row r="29" spans="2:27" ht="15.75" thickBot="1">
      <c r="B29" s="39"/>
      <c r="C29" s="20"/>
      <c r="D29" s="11"/>
      <c r="G29" s="20"/>
      <c r="H29" s="11"/>
      <c r="L29" s="77"/>
    </row>
    <row r="30" spans="2:27">
      <c r="B30" s="39"/>
      <c r="C30" s="20"/>
      <c r="D30" s="11"/>
      <c r="G30" s="20"/>
      <c r="H30" s="19"/>
      <c r="Y30" t="s">
        <v>899</v>
      </c>
      <c r="AA30" s="179">
        <v>1500</v>
      </c>
    </row>
    <row r="31" spans="2:27">
      <c r="B31" t="s">
        <v>2</v>
      </c>
      <c r="C31" s="2">
        <f>SUM(C2:C29)</f>
        <v>17423.32</v>
      </c>
      <c r="D31" s="2">
        <f>SUM(D3:D30)</f>
        <v>17231.32</v>
      </c>
      <c r="F31" t="s">
        <v>2</v>
      </c>
      <c r="G31" s="2">
        <f>SUM(G2:G30)</f>
        <v>9598.51</v>
      </c>
      <c r="H31" s="2">
        <f>SUM(H3:H30)</f>
        <v>10071.98</v>
      </c>
      <c r="J31" t="s">
        <v>2</v>
      </c>
      <c r="K31" s="2">
        <f>SUM(K1:K10)</f>
        <v>60000.29</v>
      </c>
      <c r="L31" s="2">
        <f>SUM(L2:L10)</f>
        <v>0</v>
      </c>
      <c r="N31" t="s">
        <v>2</v>
      </c>
      <c r="O31" s="2">
        <f>SUM(O1:O29)</f>
        <v>3140.8599999999997</v>
      </c>
      <c r="P31" s="2">
        <f>SUM(P2:P29)</f>
        <v>262</v>
      </c>
      <c r="R31" t="s">
        <v>2</v>
      </c>
      <c r="S31" s="2">
        <f>SUM(S1:S14)</f>
        <v>9500</v>
      </c>
      <c r="T31" s="2">
        <f>SUM(T2:T10)</f>
        <v>0</v>
      </c>
      <c r="V31" t="s">
        <v>2</v>
      </c>
      <c r="W31" s="2">
        <f>SUM(W1:W10)</f>
        <v>5000</v>
      </c>
      <c r="X31" s="2">
        <f>SUM(X2:X10)</f>
        <v>0</v>
      </c>
      <c r="AA31" s="177">
        <v>1500</v>
      </c>
    </row>
    <row r="32" spans="2:27">
      <c r="D32" s="2">
        <f>C31-D31</f>
        <v>192</v>
      </c>
      <c r="H32" s="2">
        <f>G31-H31</f>
        <v>-473.46999999999935</v>
      </c>
      <c r="L32" s="2">
        <f>K31-L31</f>
        <v>60000.29</v>
      </c>
      <c r="P32" s="2">
        <f>O31-P31</f>
        <v>2878.8599999999997</v>
      </c>
      <c r="T32" s="2">
        <f>S31-T31</f>
        <v>9500</v>
      </c>
      <c r="X32" s="2">
        <f>W31-X31</f>
        <v>5000</v>
      </c>
      <c r="AA32" s="177">
        <v>1500</v>
      </c>
    </row>
    <row r="33" spans="1:27">
      <c r="A33">
        <v>1032.8900000000001</v>
      </c>
      <c r="AA33" s="177">
        <v>1500</v>
      </c>
    </row>
    <row r="34" spans="1:27">
      <c r="A34" s="2">
        <f>A33-D32</f>
        <v>840.8900000000001</v>
      </c>
      <c r="V34" s="102">
        <v>43026</v>
      </c>
      <c r="AA34" s="177">
        <v>1500</v>
      </c>
    </row>
    <row r="35" spans="1:27" ht="15.75" thickBot="1">
      <c r="C35" s="217" t="s">
        <v>12</v>
      </c>
      <c r="D35" s="217"/>
      <c r="G35" s="217" t="s">
        <v>16</v>
      </c>
      <c r="H35" s="217"/>
      <c r="K35" s="217" t="s">
        <v>77</v>
      </c>
      <c r="L35" s="217"/>
      <c r="O35" s="217" t="s">
        <v>90</v>
      </c>
      <c r="P35" s="217"/>
      <c r="S35" t="s">
        <v>163</v>
      </c>
      <c r="T35" t="s">
        <v>335</v>
      </c>
      <c r="U35" t="s">
        <v>165</v>
      </c>
      <c r="V35" t="s">
        <v>336</v>
      </c>
      <c r="W35" t="s">
        <v>337</v>
      </c>
      <c r="X35" t="s">
        <v>338</v>
      </c>
      <c r="AA35" s="178">
        <v>1300</v>
      </c>
    </row>
    <row r="36" spans="1:27">
      <c r="B36" t="s">
        <v>0</v>
      </c>
      <c r="C36" s="3">
        <v>0</v>
      </c>
      <c r="D36" s="4"/>
      <c r="F36" t="s">
        <v>0</v>
      </c>
      <c r="G36" s="3"/>
      <c r="H36" s="183">
        <v>1577.08</v>
      </c>
      <c r="J36" t="s">
        <v>979</v>
      </c>
      <c r="K36" s="3"/>
      <c r="L36" s="168">
        <v>4300</v>
      </c>
      <c r="M36" s="33"/>
      <c r="N36" t="s">
        <v>0</v>
      </c>
      <c r="O36" s="3"/>
      <c r="P36" s="168">
        <v>9425.31</v>
      </c>
      <c r="R36" t="s">
        <v>872</v>
      </c>
      <c r="S36" s="101">
        <v>-8800</v>
      </c>
      <c r="T36" s="118">
        <v>6</v>
      </c>
      <c r="U36" s="119">
        <f t="shared" ref="U36:U43" si="0">S36/T36</f>
        <v>-1466.6666666666667</v>
      </c>
      <c r="V36" s="118">
        <v>1</v>
      </c>
      <c r="W36" s="119">
        <f>U36*V36</f>
        <v>-1466.6666666666667</v>
      </c>
      <c r="X36" s="119">
        <f>S36-W36</f>
        <v>-7333.333333333333</v>
      </c>
      <c r="Y36" t="s">
        <v>437</v>
      </c>
    </row>
    <row r="37" spans="1:27">
      <c r="B37" s="39" t="s">
        <v>503</v>
      </c>
      <c r="C37" s="1"/>
      <c r="D37" s="1">
        <v>0</v>
      </c>
      <c r="F37" s="39" t="s">
        <v>926</v>
      </c>
      <c r="G37" s="1"/>
      <c r="H37" s="11"/>
      <c r="J37" t="s">
        <v>169</v>
      </c>
      <c r="K37">
        <v>352.27</v>
      </c>
      <c r="M37" s="29"/>
      <c r="O37" s="19"/>
      <c r="P37" s="11"/>
      <c r="Q37" s="93"/>
      <c r="S37" s="101"/>
      <c r="T37" s="118"/>
      <c r="U37" s="119"/>
      <c r="V37" s="118"/>
      <c r="W37" s="119"/>
      <c r="X37" s="119"/>
    </row>
    <row r="38" spans="1:27">
      <c r="B38" s="39"/>
      <c r="C38" s="1"/>
      <c r="D38" s="11"/>
      <c r="F38" s="39" t="s">
        <v>169</v>
      </c>
      <c r="G38" s="23">
        <v>850</v>
      </c>
      <c r="H38" s="11"/>
      <c r="I38" s="8"/>
      <c r="J38" t="s">
        <v>169</v>
      </c>
      <c r="K38">
        <v>1800</v>
      </c>
      <c r="O38" s="19"/>
      <c r="P38" s="11"/>
      <c r="R38" t="s">
        <v>874</v>
      </c>
      <c r="S38" s="101">
        <v>-3090</v>
      </c>
      <c r="T38" s="118">
        <v>12</v>
      </c>
      <c r="U38" s="119">
        <f t="shared" si="0"/>
        <v>-257.5</v>
      </c>
      <c r="V38" s="118">
        <v>1</v>
      </c>
      <c r="W38" s="119">
        <f t="shared" ref="W38:W43" si="1">U38*V38</f>
        <v>-257.5</v>
      </c>
      <c r="X38" s="119">
        <f t="shared" ref="X38:X43" si="2">S38-W38</f>
        <v>-2832.5</v>
      </c>
      <c r="Y38" t="s">
        <v>889</v>
      </c>
    </row>
    <row r="39" spans="1:27">
      <c r="B39" s="39"/>
      <c r="C39" s="1"/>
      <c r="D39" s="11"/>
      <c r="F39" s="39" t="s">
        <v>169</v>
      </c>
      <c r="G39" s="1">
        <v>751.65</v>
      </c>
      <c r="H39" s="11"/>
      <c r="J39" t="s">
        <v>169</v>
      </c>
      <c r="K39" s="187">
        <v>2200</v>
      </c>
      <c r="N39" s="39"/>
      <c r="O39" s="19"/>
      <c r="P39" s="11"/>
      <c r="Q39" s="29"/>
      <c r="R39" t="s">
        <v>890</v>
      </c>
      <c r="S39" s="101">
        <v>-11175</v>
      </c>
      <c r="T39" s="118">
        <v>18</v>
      </c>
      <c r="U39" s="119">
        <f t="shared" si="0"/>
        <v>-620.83333333333337</v>
      </c>
      <c r="V39" s="118">
        <v>1</v>
      </c>
      <c r="W39" s="119">
        <f t="shared" si="1"/>
        <v>-620.83333333333337</v>
      </c>
      <c r="X39" s="119">
        <f t="shared" si="2"/>
        <v>-10554.166666666666</v>
      </c>
      <c r="Y39" t="s">
        <v>888</v>
      </c>
    </row>
    <row r="40" spans="1:27">
      <c r="B40" s="39"/>
      <c r="C40" s="20"/>
      <c r="D40" s="11"/>
      <c r="F40" s="39"/>
      <c r="G40" s="1"/>
      <c r="H40" s="11"/>
      <c r="K40" s="19"/>
      <c r="L40" s="11"/>
      <c r="N40" s="39"/>
      <c r="O40" s="19"/>
      <c r="P40" s="11"/>
      <c r="S40" s="101">
        <v>0</v>
      </c>
      <c r="T40" s="118">
        <v>1</v>
      </c>
      <c r="U40" s="119">
        <f t="shared" si="0"/>
        <v>0</v>
      </c>
      <c r="V40" s="118">
        <v>1</v>
      </c>
      <c r="W40" s="119">
        <f t="shared" si="1"/>
        <v>0</v>
      </c>
      <c r="X40" s="119">
        <f t="shared" si="2"/>
        <v>0</v>
      </c>
    </row>
    <row r="41" spans="1:27">
      <c r="B41" s="39"/>
      <c r="C41" s="20"/>
      <c r="D41" s="11"/>
      <c r="F41" s="39"/>
      <c r="G41" s="1"/>
      <c r="H41" s="11"/>
      <c r="K41" s="19"/>
      <c r="L41" s="14"/>
      <c r="M41" s="29"/>
      <c r="N41" s="39"/>
      <c r="O41" s="19"/>
      <c r="P41" s="11"/>
      <c r="Q41" s="29"/>
      <c r="S41" s="101">
        <v>0</v>
      </c>
      <c r="T41" s="118">
        <v>1</v>
      </c>
      <c r="U41" s="119">
        <f t="shared" si="0"/>
        <v>0</v>
      </c>
      <c r="V41" s="118">
        <v>1</v>
      </c>
      <c r="W41" s="119">
        <f t="shared" si="1"/>
        <v>0</v>
      </c>
      <c r="X41" s="119">
        <f t="shared" si="2"/>
        <v>0</v>
      </c>
    </row>
    <row r="42" spans="1:27">
      <c r="B42" s="39"/>
      <c r="C42" s="20"/>
      <c r="D42" s="11"/>
      <c r="F42" s="39"/>
      <c r="G42" s="1"/>
      <c r="H42" s="11"/>
      <c r="K42" s="19"/>
      <c r="L42" s="14"/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si="1"/>
        <v>0</v>
      </c>
      <c r="X42" s="119">
        <f t="shared" si="2"/>
        <v>0</v>
      </c>
    </row>
    <row r="43" spans="1:27">
      <c r="B43" s="39"/>
      <c r="C43" s="20"/>
      <c r="D43" s="11"/>
      <c r="H43" s="11"/>
      <c r="K43" s="19"/>
      <c r="L43" s="11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/>
      <c r="O44" s="19"/>
      <c r="P44" s="11"/>
      <c r="Q44" s="8"/>
      <c r="R44" t="s">
        <v>11</v>
      </c>
      <c r="S44" s="2">
        <f>SUM(S36:S43)</f>
        <v>-23065</v>
      </c>
      <c r="X44" s="2">
        <f>SUM(X36:X43)</f>
        <v>-20720</v>
      </c>
    </row>
    <row r="45" spans="1:27">
      <c r="B45" s="39"/>
      <c r="C45" s="20"/>
      <c r="D45" s="11"/>
      <c r="G45" s="1"/>
      <c r="H45" s="11"/>
      <c r="K45" s="19"/>
      <c r="L45" s="11"/>
      <c r="N45" s="39"/>
      <c r="O45" s="19"/>
      <c r="P45" s="11"/>
    </row>
    <row r="46" spans="1:27">
      <c r="B46" s="39"/>
      <c r="C46" s="20"/>
      <c r="D46" s="11"/>
      <c r="H46" s="11"/>
      <c r="K46" s="19"/>
      <c r="L46" s="11"/>
      <c r="N46" s="39"/>
      <c r="O46" s="19"/>
      <c r="P46" s="11"/>
      <c r="Q46" s="33"/>
      <c r="S46" s="2"/>
    </row>
    <row r="47" spans="1:27">
      <c r="B47" s="12"/>
      <c r="C47" s="20"/>
      <c r="D47" s="11"/>
      <c r="E47" s="29"/>
      <c r="H47" s="11"/>
      <c r="K47" s="19"/>
      <c r="L47" s="11"/>
      <c r="N47" s="39"/>
      <c r="O47" s="19"/>
      <c r="P47" s="11"/>
      <c r="S47" s="2"/>
      <c r="Z47">
        <f>1000*(0.2699/365)*15</f>
        <v>11.091780821917807</v>
      </c>
    </row>
    <row r="48" spans="1:27">
      <c r="B48" s="12"/>
      <c r="C48" s="20"/>
      <c r="D48" s="11"/>
      <c r="E48" s="29"/>
      <c r="H48" s="14"/>
      <c r="K48" s="19"/>
      <c r="L48" s="11"/>
      <c r="N48" s="39"/>
      <c r="O48" s="19"/>
      <c r="P48" s="11"/>
      <c r="S48" s="2"/>
    </row>
    <row r="49" spans="2:28">
      <c r="B49" s="12"/>
      <c r="C49" s="20"/>
      <c r="D49" s="11"/>
      <c r="H49" s="11"/>
      <c r="L49" s="11"/>
      <c r="N49" s="39"/>
      <c r="O49" s="19"/>
      <c r="P49" s="11"/>
      <c r="S49" s="2"/>
    </row>
    <row r="50" spans="2:28">
      <c r="B50" s="12"/>
      <c r="C50" s="20"/>
      <c r="D50" s="11"/>
      <c r="E50" s="29"/>
      <c r="H50" s="14"/>
      <c r="L50" s="11"/>
      <c r="M50" s="33"/>
      <c r="N50" s="39"/>
      <c r="O50" s="19"/>
      <c r="P50" s="11"/>
      <c r="S50" s="2"/>
    </row>
    <row r="51" spans="2:28">
      <c r="B51" s="12"/>
      <c r="C51" s="1"/>
      <c r="D51" s="11"/>
      <c r="E51" s="29"/>
      <c r="H51" s="11"/>
      <c r="L51" s="11"/>
      <c r="M51" s="33"/>
      <c r="N51" s="39"/>
      <c r="O51" s="19"/>
      <c r="P51" s="11"/>
      <c r="U51" s="29"/>
    </row>
    <row r="52" spans="2:28">
      <c r="B52" s="12"/>
      <c r="C52" s="1"/>
      <c r="D52" s="11"/>
      <c r="H52" s="14"/>
      <c r="L52" s="11"/>
      <c r="N52" s="39"/>
      <c r="O52" s="19"/>
      <c r="P52" s="11"/>
      <c r="U52" s="2"/>
      <c r="V52" s="2"/>
    </row>
    <row r="53" spans="2:28">
      <c r="B53" s="12"/>
      <c r="C53" s="1"/>
      <c r="D53" s="11"/>
      <c r="S53" s="1"/>
    </row>
    <row r="54" spans="2:28">
      <c r="B54" t="s">
        <v>2</v>
      </c>
      <c r="C54" s="2">
        <f>SUM(C36:C51)</f>
        <v>0</v>
      </c>
      <c r="D54" s="2">
        <f>SUM(D37:D53)</f>
        <v>0</v>
      </c>
      <c r="F54" t="s">
        <v>2</v>
      </c>
      <c r="G54" s="2">
        <f>SUM(G36:G53)</f>
        <v>1601.65</v>
      </c>
      <c r="H54" s="2">
        <f>SUM(H36:H52)</f>
        <v>1577.08</v>
      </c>
      <c r="J54" t="s">
        <v>2</v>
      </c>
      <c r="K54" s="2">
        <f>SUM(K36:K51)</f>
        <v>4352.2700000000004</v>
      </c>
      <c r="L54" s="2">
        <f>SUM(L36:L49)</f>
        <v>4300</v>
      </c>
      <c r="N54" t="s">
        <v>2</v>
      </c>
      <c r="O54" s="2">
        <f>SUM(O36:O53)</f>
        <v>0</v>
      </c>
      <c r="P54" s="2">
        <f>SUM(P36:P53)</f>
        <v>9425.31</v>
      </c>
      <c r="S54" s="1"/>
      <c r="T54" s="33"/>
      <c r="U54" s="2"/>
      <c r="V54" s="2"/>
    </row>
    <row r="55" spans="2:28">
      <c r="D55" s="2">
        <f>C54-D54</f>
        <v>0</v>
      </c>
      <c r="H55" s="2">
        <f>G54-H54</f>
        <v>24.570000000000164</v>
      </c>
      <c r="L55" s="2">
        <f>K54-L54</f>
        <v>52.270000000000437</v>
      </c>
      <c r="M55" t="s">
        <v>879</v>
      </c>
      <c r="N55" s="2">
        <f>X37</f>
        <v>0</v>
      </c>
      <c r="P55" s="2">
        <f>O54-P54</f>
        <v>-9425.31</v>
      </c>
      <c r="Q55" t="s">
        <v>877</v>
      </c>
      <c r="R55" s="2">
        <f>X36</f>
        <v>-7333.333333333333</v>
      </c>
      <c r="S55" s="1"/>
      <c r="AA55" t="s">
        <v>239</v>
      </c>
      <c r="AB55" s="1">
        <v>10261.049999999999</v>
      </c>
    </row>
    <row r="56" spans="2:28">
      <c r="L56" s="2">
        <f>L55-N55</f>
        <v>52.270000000000437</v>
      </c>
      <c r="P56" s="2">
        <f>P55-R55</f>
        <v>-2091.9766666666665</v>
      </c>
      <c r="S56" s="1"/>
      <c r="U56" s="165"/>
      <c r="V56" s="143"/>
      <c r="W56" s="93"/>
      <c r="AA56" t="s">
        <v>240</v>
      </c>
      <c r="AB56" s="1">
        <v>7081.32</v>
      </c>
    </row>
    <row r="57" spans="2:28">
      <c r="B57" t="s">
        <v>282</v>
      </c>
      <c r="R57" s="2"/>
      <c r="S57" s="1"/>
      <c r="AA57" t="s">
        <v>241</v>
      </c>
      <c r="AB57" s="1">
        <f>AB55-AB56</f>
        <v>3179.7299999999996</v>
      </c>
    </row>
    <row r="58" spans="2:28">
      <c r="E58" t="s">
        <v>235</v>
      </c>
      <c r="H58" s="2">
        <v>1536.48</v>
      </c>
      <c r="L58" s="2">
        <v>2870.45</v>
      </c>
      <c r="P58" s="2">
        <v>0</v>
      </c>
      <c r="S58" s="1"/>
      <c r="AA58" t="s">
        <v>242</v>
      </c>
      <c r="AB58" s="2">
        <f>AB57/2</f>
        <v>1589.8649999999998</v>
      </c>
    </row>
    <row r="60" spans="2:28">
      <c r="D60" t="s">
        <v>138</v>
      </c>
      <c r="E60" s="34" t="s">
        <v>120</v>
      </c>
      <c r="F60" s="41"/>
      <c r="G60" s="41"/>
      <c r="H60" s="51">
        <v>0</v>
      </c>
      <c r="I60" s="41"/>
      <c r="J60" s="41"/>
      <c r="K60" s="41"/>
      <c r="L60" s="51">
        <v>-1643</v>
      </c>
      <c r="M60" s="41"/>
      <c r="N60" s="41"/>
      <c r="O60" s="41"/>
      <c r="P60" s="51"/>
      <c r="V60" t="s">
        <v>114</v>
      </c>
      <c r="W60" t="s">
        <v>115</v>
      </c>
      <c r="X60" t="s">
        <v>116</v>
      </c>
    </row>
    <row r="61" spans="2:28">
      <c r="E61" s="36" t="s">
        <v>121</v>
      </c>
      <c r="F61" s="22"/>
      <c r="G61" s="22"/>
      <c r="H61" s="43">
        <v>0</v>
      </c>
      <c r="I61" s="22"/>
      <c r="J61" s="22"/>
      <c r="K61" s="22"/>
      <c r="L61" s="43">
        <v>0</v>
      </c>
      <c r="M61" s="22"/>
      <c r="N61" s="22"/>
      <c r="O61" s="22"/>
      <c r="P61" s="43"/>
      <c r="Z61" t="s">
        <v>119</v>
      </c>
      <c r="AA61" t="s">
        <v>11</v>
      </c>
    </row>
    <row r="62" spans="2:28">
      <c r="E62" s="37" t="s">
        <v>122</v>
      </c>
      <c r="F62" s="44"/>
      <c r="G62" s="44"/>
      <c r="H62" s="45">
        <f>H60+H58</f>
        <v>1536.48</v>
      </c>
      <c r="I62" s="44"/>
      <c r="J62" s="44"/>
      <c r="K62" s="44"/>
      <c r="L62" s="45">
        <f>L60+L58</f>
        <v>1227.4499999999998</v>
      </c>
      <c r="M62" s="44"/>
      <c r="N62" s="44"/>
      <c r="O62" s="44"/>
      <c r="P62" s="45"/>
      <c r="T62" t="s">
        <v>98</v>
      </c>
      <c r="V62" s="1">
        <f>Z62-Z63</f>
        <v>1018.6799999999998</v>
      </c>
      <c r="W62" s="2">
        <f>S63-V62</f>
        <v>3388.2500000000005</v>
      </c>
      <c r="X62" s="2">
        <f>W62/2</f>
        <v>1694.1250000000002</v>
      </c>
      <c r="Z62" s="1">
        <v>4200</v>
      </c>
      <c r="AA62" s="2">
        <f>X64+Z62</f>
        <v>5894.125</v>
      </c>
    </row>
    <row r="63" spans="2:28">
      <c r="E63" s="22"/>
      <c r="F63" s="22"/>
      <c r="G63" s="22"/>
      <c r="H63" s="25"/>
      <c r="I63" s="22"/>
      <c r="J63" s="22"/>
      <c r="K63" s="22"/>
      <c r="L63" s="25"/>
      <c r="M63" s="22"/>
      <c r="N63" s="22"/>
      <c r="O63" s="22"/>
      <c r="P63" s="25"/>
      <c r="S63" s="1">
        <f>ABS(H58+L58+P58)</f>
        <v>4406.93</v>
      </c>
      <c r="Z63" s="1">
        <v>3181.32</v>
      </c>
      <c r="AA63" s="2">
        <f>X65+Z63</f>
        <v>5894.125</v>
      </c>
    </row>
    <row r="64" spans="2:28">
      <c r="D64" t="s">
        <v>139</v>
      </c>
      <c r="H64" s="2"/>
      <c r="L64" s="2"/>
      <c r="P64" s="2"/>
      <c r="S64" s="1"/>
      <c r="W64" t="s">
        <v>117</v>
      </c>
      <c r="X64" s="2">
        <f>ABS(X62)</f>
        <v>1694.1250000000002</v>
      </c>
    </row>
    <row r="65" spans="5:26">
      <c r="E65" s="34" t="s">
        <v>169</v>
      </c>
      <c r="F65" s="41"/>
      <c r="G65" s="41"/>
      <c r="H65" s="51"/>
      <c r="I65" s="41"/>
      <c r="J65" s="41"/>
      <c r="K65" s="41"/>
      <c r="L65" s="51"/>
      <c r="M65" s="41"/>
      <c r="N65" s="41"/>
      <c r="O65" s="41"/>
      <c r="P65" s="53"/>
      <c r="W65" t="s">
        <v>118</v>
      </c>
      <c r="X65" s="1">
        <f>V62+ABS(X62)</f>
        <v>2712.8050000000003</v>
      </c>
      <c r="Z65" s="2"/>
    </row>
    <row r="66" spans="5:26">
      <c r="E66" s="36" t="s">
        <v>244</v>
      </c>
      <c r="F66" s="22"/>
      <c r="G66" s="22"/>
      <c r="H66" s="43"/>
      <c r="I66" s="22"/>
      <c r="J66" s="22"/>
      <c r="K66" s="22"/>
      <c r="L66" s="43"/>
      <c r="M66" s="22"/>
      <c r="N66" s="22"/>
      <c r="O66" s="22"/>
      <c r="P66" s="43"/>
      <c r="T66" s="2"/>
    </row>
    <row r="67" spans="5:26">
      <c r="E67" s="37" t="s">
        <v>122</v>
      </c>
      <c r="F67" s="44"/>
      <c r="G67" s="44"/>
      <c r="H67" s="45"/>
      <c r="I67" s="44"/>
      <c r="J67" s="44"/>
      <c r="K67" s="44"/>
      <c r="L67" s="45"/>
      <c r="M67" s="44"/>
      <c r="N67" s="44"/>
      <c r="O67" s="44"/>
      <c r="P67" s="45"/>
    </row>
    <row r="68" spans="5:26">
      <c r="L68" s="60"/>
      <c r="P68" s="27"/>
    </row>
    <row r="69" spans="5:26">
      <c r="X69" s="1"/>
    </row>
    <row r="70" spans="5:26">
      <c r="X70" s="2"/>
    </row>
    <row r="73" spans="5:26">
      <c r="F73" s="2">
        <f>13338.18+H55</f>
        <v>13362.75</v>
      </c>
    </row>
    <row r="87" spans="2:3">
      <c r="B87">
        <f>879+179</f>
        <v>1058</v>
      </c>
    </row>
    <row r="91" spans="2:3">
      <c r="C91">
        <v>5003.9399999999996</v>
      </c>
    </row>
    <row r="92" spans="2:3">
      <c r="C92">
        <v>-950</v>
      </c>
    </row>
    <row r="93" spans="2:3">
      <c r="C93">
        <v>-3349.1</v>
      </c>
    </row>
  </sheetData>
  <mergeCells count="19">
    <mergeCell ref="R10:R11"/>
    <mergeCell ref="V10:V11"/>
    <mergeCell ref="C35:D35"/>
    <mergeCell ref="G35:H35"/>
    <mergeCell ref="K35:L35"/>
    <mergeCell ref="O35:P35"/>
    <mergeCell ref="V12:V13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5 L55 H32 L32 D55 H55 D32 P32 T32 X32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B94"/>
  <sheetViews>
    <sheetView topLeftCell="E31" workbookViewId="0">
      <selection activeCell="O49" sqref="O49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903</v>
      </c>
      <c r="X1" s="218"/>
    </row>
    <row r="2" spans="1:24">
      <c r="B2" s="18" t="s">
        <v>0</v>
      </c>
      <c r="C2" s="94">
        <v>2128.1799999999998</v>
      </c>
      <c r="D2" s="74"/>
      <c r="E2" s="18"/>
      <c r="F2" s="18" t="s">
        <v>0</v>
      </c>
      <c r="G2" s="75">
        <v>5820.91</v>
      </c>
      <c r="H2" s="74"/>
      <c r="I2" s="18"/>
      <c r="J2" s="18" t="s">
        <v>0</v>
      </c>
      <c r="K2" s="73">
        <v>56000</v>
      </c>
      <c r="L2" s="74"/>
      <c r="N2" s="18"/>
      <c r="O2" s="73">
        <v>0</v>
      </c>
      <c r="P2" s="97">
        <v>262</v>
      </c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710.52</v>
      </c>
      <c r="D3" s="11"/>
      <c r="E3" s="76"/>
      <c r="F3" s="39"/>
      <c r="G3" s="20"/>
      <c r="H3" s="11"/>
      <c r="I3" s="18"/>
      <c r="J3" s="18" t="s">
        <v>201</v>
      </c>
      <c r="K3" s="23">
        <v>3000.22</v>
      </c>
      <c r="L3" s="77"/>
      <c r="N3" s="18" t="s">
        <v>986</v>
      </c>
      <c r="O3" s="20">
        <v>1170.79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8332.35</v>
      </c>
      <c r="D4" s="11"/>
      <c r="E4" s="18"/>
      <c r="F4" s="39" t="s">
        <v>994</v>
      </c>
      <c r="G4" s="23">
        <v>3000</v>
      </c>
      <c r="H4" s="11"/>
      <c r="I4" s="18"/>
      <c r="J4" s="18" t="s">
        <v>848</v>
      </c>
      <c r="K4" s="23">
        <v>1000.07</v>
      </c>
      <c r="L4" s="77"/>
      <c r="N4" s="18" t="s">
        <v>987</v>
      </c>
      <c r="O4" s="20">
        <v>1338.6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8332.35</v>
      </c>
      <c r="D5" s="11"/>
      <c r="E5" s="18"/>
      <c r="F5" s="39" t="s">
        <v>996</v>
      </c>
      <c r="G5" s="20"/>
      <c r="H5" s="24">
        <v>2500</v>
      </c>
      <c r="I5" s="18"/>
      <c r="J5" s="18"/>
      <c r="K5" s="20"/>
      <c r="L5" s="77"/>
      <c r="N5" s="18" t="s">
        <v>988</v>
      </c>
      <c r="O5" s="20">
        <v>631.47</v>
      </c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 t="s">
        <v>870</v>
      </c>
      <c r="C6" s="166"/>
      <c r="D6" s="24">
        <v>3000</v>
      </c>
      <c r="E6" s="18"/>
      <c r="F6" s="39" t="s">
        <v>997</v>
      </c>
      <c r="G6" s="20"/>
      <c r="H6" s="11">
        <v>3785.99</v>
      </c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B7" s="39" t="s">
        <v>201</v>
      </c>
      <c r="C7" s="200">
        <v>3000</v>
      </c>
      <c r="D7" s="63">
        <v>3000</v>
      </c>
      <c r="E7" s="76"/>
      <c r="F7" s="39" t="s">
        <v>772</v>
      </c>
      <c r="G7" s="23">
        <v>1600</v>
      </c>
      <c r="H7" s="11"/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>
        <v>1000</v>
      </c>
      <c r="X7" s="77"/>
    </row>
    <row r="8" spans="1:24">
      <c r="B8" s="39" t="s">
        <v>998</v>
      </c>
      <c r="C8" s="166"/>
      <c r="D8" s="24">
        <v>1001.73</v>
      </c>
      <c r="E8" s="18"/>
      <c r="F8" s="39" t="s">
        <v>1007</v>
      </c>
      <c r="G8" s="20"/>
      <c r="H8" s="24">
        <v>1600</v>
      </c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>
        <v>1000</v>
      </c>
      <c r="X8" s="39"/>
    </row>
    <row r="9" spans="1:24">
      <c r="B9" s="192" t="s">
        <v>43</v>
      </c>
      <c r="C9" s="193"/>
      <c r="D9" s="201">
        <v>4200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>
        <v>1000</v>
      </c>
      <c r="X9" s="18"/>
    </row>
    <row r="10" spans="1:24">
      <c r="B10" s="194" t="s">
        <v>76</v>
      </c>
      <c r="C10" s="181"/>
      <c r="D10" s="202">
        <v>1500</v>
      </c>
      <c r="E10" s="138"/>
      <c r="F10" s="39"/>
      <c r="G10" s="20"/>
      <c r="H10" s="11"/>
      <c r="I10" s="18"/>
      <c r="J10" s="18"/>
      <c r="K10" s="20"/>
      <c r="L10" s="77"/>
      <c r="N10" s="18"/>
      <c r="O10" s="18"/>
      <c r="P10" s="19"/>
      <c r="R10" s="219" t="s">
        <v>28</v>
      </c>
      <c r="S10" s="19">
        <v>1000</v>
      </c>
      <c r="T10" s="18"/>
      <c r="V10" s="219" t="s">
        <v>908</v>
      </c>
      <c r="W10" s="19">
        <v>1000</v>
      </c>
      <c r="X10" s="18"/>
    </row>
    <row r="11" spans="1:24">
      <c r="B11" s="195" t="s">
        <v>1008</v>
      </c>
      <c r="C11" s="196"/>
      <c r="D11" s="203">
        <v>300</v>
      </c>
      <c r="E11" s="138"/>
      <c r="F11" s="39"/>
      <c r="G11" s="20"/>
      <c r="H11" s="11"/>
      <c r="I11" s="18"/>
      <c r="J11" s="18"/>
      <c r="K11" s="20"/>
      <c r="L11" s="77"/>
      <c r="N11" s="18"/>
      <c r="O11" s="18"/>
      <c r="P11" s="19"/>
      <c r="R11" s="219"/>
      <c r="S11" s="19"/>
      <c r="T11" s="18"/>
      <c r="V11" s="219"/>
      <c r="W11" s="19"/>
      <c r="X11" s="18"/>
    </row>
    <row r="12" spans="1:24">
      <c r="A12" s="198"/>
      <c r="B12" s="39" t="s">
        <v>1010</v>
      </c>
      <c r="C12" s="199"/>
      <c r="D12" s="24">
        <v>1400</v>
      </c>
      <c r="E12" s="39"/>
      <c r="F12" s="39"/>
      <c r="G12" s="20"/>
      <c r="H12" s="11"/>
      <c r="I12" s="18"/>
      <c r="J12" s="18"/>
      <c r="K12" s="20"/>
      <c r="L12" s="77"/>
      <c r="N12" s="18"/>
      <c r="R12" s="219"/>
      <c r="S12" s="19">
        <v>1000</v>
      </c>
      <c r="V12" s="219"/>
      <c r="W12" s="19">
        <v>1000</v>
      </c>
    </row>
    <row r="13" spans="1:24">
      <c r="B13" s="39" t="s">
        <v>1000</v>
      </c>
      <c r="C13" s="197"/>
      <c r="D13" s="24">
        <v>1500</v>
      </c>
      <c r="E13" s="39"/>
      <c r="F13" s="39"/>
      <c r="G13" s="20"/>
      <c r="H13" s="11"/>
      <c r="I13" s="16"/>
      <c r="J13" s="18"/>
      <c r="K13" s="20"/>
      <c r="L13" s="77"/>
      <c r="N13" s="18"/>
      <c r="V13" s="219" t="s">
        <v>1001</v>
      </c>
      <c r="W13" s="19">
        <v>1000</v>
      </c>
    </row>
    <row r="14" spans="1:24">
      <c r="B14" s="39" t="s">
        <v>1011</v>
      </c>
      <c r="C14" s="166"/>
      <c r="D14" s="24">
        <v>1300</v>
      </c>
      <c r="E14" s="39"/>
      <c r="F14" s="39"/>
      <c r="G14" s="20"/>
      <c r="H14" s="11"/>
      <c r="I14" s="18"/>
      <c r="J14" s="18"/>
      <c r="K14" s="20"/>
      <c r="L14" s="77"/>
      <c r="N14" s="18"/>
      <c r="V14" s="219"/>
      <c r="W14" s="19">
        <v>1000</v>
      </c>
    </row>
    <row r="15" spans="1:24">
      <c r="B15" s="39" t="s">
        <v>1009</v>
      </c>
      <c r="C15" s="166"/>
      <c r="D15" s="24">
        <v>100</v>
      </c>
      <c r="E15" s="39"/>
      <c r="F15" s="39"/>
      <c r="G15" s="20"/>
      <c r="H15" s="11"/>
      <c r="I15" s="18"/>
      <c r="J15" s="18"/>
      <c r="K15" s="20"/>
      <c r="L15" s="77"/>
      <c r="N15" s="18"/>
    </row>
    <row r="16" spans="1:24">
      <c r="B16" s="39" t="s">
        <v>277</v>
      </c>
      <c r="C16" s="166"/>
      <c r="D16" s="24">
        <v>610</v>
      </c>
      <c r="E16" s="117"/>
      <c r="F16" s="39"/>
      <c r="G16" s="20"/>
      <c r="H16" s="11"/>
      <c r="I16" s="18"/>
      <c r="J16" s="91"/>
      <c r="K16" s="20"/>
      <c r="L16" s="77"/>
      <c r="N16" s="2"/>
    </row>
    <row r="17" spans="2:27">
      <c r="B17" s="39" t="s">
        <v>17</v>
      </c>
      <c r="C17" s="166"/>
      <c r="D17" s="24">
        <v>1400</v>
      </c>
      <c r="E17" s="39"/>
      <c r="F17" s="39"/>
      <c r="G17" s="20"/>
      <c r="H17" s="11"/>
      <c r="I17" s="18"/>
      <c r="J17" s="18"/>
      <c r="K17" s="20"/>
      <c r="L17" s="77"/>
      <c r="N17" s="18"/>
    </row>
    <row r="18" spans="2:27">
      <c r="B18" s="39" t="s">
        <v>230</v>
      </c>
      <c r="C18" s="166"/>
      <c r="D18" s="24">
        <v>1600</v>
      </c>
      <c r="E18" s="39"/>
      <c r="F18" s="39"/>
      <c r="G18" s="20"/>
      <c r="H18" s="11"/>
      <c r="I18" s="18"/>
      <c r="J18" s="18"/>
      <c r="K18" s="20"/>
      <c r="L18" s="77"/>
      <c r="N18" s="18"/>
    </row>
    <row r="19" spans="2:27">
      <c r="B19" s="39" t="s">
        <v>476</v>
      </c>
      <c r="C19" s="166"/>
      <c r="D19" s="24">
        <v>240.01</v>
      </c>
      <c r="E19" s="39"/>
      <c r="F19" s="39"/>
      <c r="G19" s="20"/>
      <c r="H19" s="11"/>
      <c r="K19" s="20"/>
      <c r="L19" s="77"/>
      <c r="N19" s="18"/>
    </row>
    <row r="20" spans="2:27">
      <c r="B20" s="39"/>
      <c r="C20" s="166"/>
      <c r="D20" s="11"/>
      <c r="E20" s="96"/>
      <c r="F20" s="186"/>
      <c r="G20" s="20"/>
      <c r="H20" s="11" t="s">
        <v>80</v>
      </c>
      <c r="J20" s="2"/>
      <c r="K20" s="20"/>
      <c r="L20" s="77"/>
      <c r="N20" s="18"/>
    </row>
    <row r="21" spans="2:27">
      <c r="B21" s="39"/>
      <c r="C21" s="166"/>
      <c r="D21" s="11"/>
      <c r="F21" s="39"/>
      <c r="G21" s="20"/>
      <c r="H21" s="11"/>
      <c r="K21" s="20"/>
      <c r="L21" s="77"/>
      <c r="N21" s="18"/>
    </row>
    <row r="22" spans="2:27">
      <c r="B22" s="39"/>
      <c r="C22" s="166"/>
      <c r="D22" s="11"/>
      <c r="F22" s="39"/>
      <c r="G22" s="20"/>
      <c r="H22" s="11"/>
      <c r="L22" s="77"/>
      <c r="N22" s="18"/>
    </row>
    <row r="23" spans="2:27">
      <c r="B23" s="39"/>
      <c r="C23" s="166"/>
      <c r="D23" s="11"/>
      <c r="F23" s="39"/>
      <c r="G23" s="20"/>
      <c r="H23" s="11"/>
      <c r="L23" s="77"/>
      <c r="N23" s="185"/>
      <c r="O23" s="62"/>
      <c r="P23" s="62"/>
    </row>
    <row r="24" spans="2:27">
      <c r="B24" s="39"/>
      <c r="C24" s="166"/>
      <c r="D24" s="11"/>
      <c r="G24" s="20"/>
      <c r="H24" s="11"/>
      <c r="L24" s="77"/>
      <c r="N24" s="18"/>
    </row>
    <row r="25" spans="2:27">
      <c r="B25" s="39"/>
      <c r="C25" s="166"/>
      <c r="D25" s="11"/>
      <c r="G25" s="20"/>
      <c r="H25" s="11"/>
      <c r="L25" s="77"/>
      <c r="N25" s="18"/>
    </row>
    <row r="26" spans="2:27">
      <c r="B26" s="39"/>
      <c r="C26" s="166"/>
      <c r="D26" s="11"/>
      <c r="G26" s="20"/>
      <c r="H26" s="11"/>
      <c r="L26" s="77"/>
      <c r="N26" s="18"/>
    </row>
    <row r="27" spans="2:27">
      <c r="B27" s="39"/>
      <c r="C27" s="166"/>
      <c r="D27" s="11"/>
      <c r="G27" s="20"/>
      <c r="H27" s="11"/>
      <c r="L27" s="77"/>
      <c r="N27" s="185"/>
      <c r="O27" s="62"/>
      <c r="P27" s="62"/>
      <c r="R27" t="s">
        <v>80</v>
      </c>
      <c r="V27" t="s">
        <v>80</v>
      </c>
    </row>
    <row r="28" spans="2:27">
      <c r="B28" s="39"/>
      <c r="C28" s="166"/>
      <c r="D28" s="11"/>
      <c r="G28" s="20"/>
      <c r="H28" s="11"/>
      <c r="L28" s="77"/>
      <c r="N28" s="18"/>
    </row>
    <row r="29" spans="2:27">
      <c r="B29" s="39"/>
      <c r="C29" s="166"/>
      <c r="D29" s="11"/>
      <c r="G29" s="20"/>
      <c r="H29" s="11"/>
      <c r="L29" s="77"/>
      <c r="N29" s="18"/>
    </row>
    <row r="30" spans="2:27" ht="15.75" thickBot="1">
      <c r="B30" s="39"/>
      <c r="C30" s="20"/>
      <c r="D30" s="11"/>
      <c r="G30" s="20"/>
      <c r="H30" s="11"/>
      <c r="L30" s="77"/>
    </row>
    <row r="31" spans="2:27">
      <c r="B31" s="39"/>
      <c r="C31" s="20"/>
      <c r="D31" s="11"/>
      <c r="G31" s="20"/>
      <c r="H31" s="19"/>
      <c r="Y31" t="s">
        <v>899</v>
      </c>
      <c r="AA31" s="179">
        <v>1500</v>
      </c>
    </row>
    <row r="32" spans="2:27">
      <c r="B32" t="s">
        <v>2</v>
      </c>
      <c r="C32" s="2">
        <f>SUM(C2:C30)</f>
        <v>22503.4</v>
      </c>
      <c r="D32" s="2">
        <f>SUM(D3:D31)</f>
        <v>21151.739999999998</v>
      </c>
      <c r="F32" t="s">
        <v>2</v>
      </c>
      <c r="G32" s="2">
        <f>SUM(G2:G31)</f>
        <v>10420.91</v>
      </c>
      <c r="H32" s="2">
        <f>SUM(H3:H31)</f>
        <v>7885.99</v>
      </c>
      <c r="J32" t="s">
        <v>2</v>
      </c>
      <c r="K32" s="2">
        <f>SUM(K1:K10)</f>
        <v>60000.29</v>
      </c>
      <c r="L32" s="2">
        <f>SUM(L2:L10)</f>
        <v>0</v>
      </c>
      <c r="N32" t="s">
        <v>2</v>
      </c>
      <c r="O32" s="2">
        <f>SUM(O1:O30)</f>
        <v>3140.8599999999997</v>
      </c>
      <c r="P32" s="2">
        <f>SUM(P2:P30)</f>
        <v>262</v>
      </c>
      <c r="R32" t="s">
        <v>2</v>
      </c>
      <c r="S32" s="2">
        <f>SUM(S1:S15)</f>
        <v>9500</v>
      </c>
      <c r="T32" s="2">
        <f>SUM(T2:T10)</f>
        <v>0</v>
      </c>
      <c r="V32" t="s">
        <v>2</v>
      </c>
      <c r="W32" s="2">
        <f>SUM(W1:W10)</f>
        <v>5000</v>
      </c>
      <c r="X32" s="2">
        <f>SUM(X2:X10)</f>
        <v>0</v>
      </c>
      <c r="AA32" s="177">
        <v>1500</v>
      </c>
    </row>
    <row r="33" spans="1:27">
      <c r="D33" s="2">
        <f>C32-D32</f>
        <v>1351.6600000000035</v>
      </c>
      <c r="H33" s="2">
        <f>G32-H32</f>
        <v>2534.92</v>
      </c>
      <c r="L33" s="2">
        <f>K32-L32</f>
        <v>60000.29</v>
      </c>
      <c r="P33" s="2">
        <f>O32-P32</f>
        <v>2878.8599999999997</v>
      </c>
      <c r="T33" s="2">
        <f>S32-T32</f>
        <v>9500</v>
      </c>
      <c r="X33" s="2">
        <f>W32-X32</f>
        <v>5000</v>
      </c>
      <c r="AA33" s="177">
        <v>1500</v>
      </c>
    </row>
    <row r="34" spans="1:27">
      <c r="A34">
        <v>1032.8900000000001</v>
      </c>
      <c r="AA34" s="177">
        <v>1500</v>
      </c>
    </row>
    <row r="35" spans="1:27">
      <c r="A35" s="2">
        <f>A34-D33</f>
        <v>-318.77000000000339</v>
      </c>
      <c r="V35" s="102" t="s">
        <v>1004</v>
      </c>
      <c r="AA35" s="177">
        <v>1500</v>
      </c>
    </row>
    <row r="36" spans="1:27" ht="15.75" thickBot="1">
      <c r="C36" s="217" t="s">
        <v>12</v>
      </c>
      <c r="D36" s="217"/>
      <c r="G36" s="217" t="s">
        <v>16</v>
      </c>
      <c r="H36" s="217"/>
      <c r="K36" s="217" t="s">
        <v>77</v>
      </c>
      <c r="L36" s="217"/>
      <c r="O36" s="217" t="s">
        <v>90</v>
      </c>
      <c r="P36" s="217"/>
      <c r="S36" t="s">
        <v>163</v>
      </c>
      <c r="T36" t="s">
        <v>335</v>
      </c>
      <c r="U36" t="s">
        <v>165</v>
      </c>
      <c r="V36" t="s">
        <v>336</v>
      </c>
      <c r="W36" t="s">
        <v>337</v>
      </c>
      <c r="X36" t="s">
        <v>338</v>
      </c>
      <c r="AA36" s="178">
        <v>1300</v>
      </c>
    </row>
    <row r="37" spans="1:27">
      <c r="B37" t="s">
        <v>0</v>
      </c>
      <c r="C37" s="3">
        <v>0</v>
      </c>
      <c r="D37" s="4"/>
      <c r="F37" t="s">
        <v>0</v>
      </c>
      <c r="G37" s="3"/>
      <c r="H37" s="183">
        <v>1326.05</v>
      </c>
      <c r="J37" t="s">
        <v>979</v>
      </c>
      <c r="K37" s="3">
        <v>2461.79</v>
      </c>
      <c r="L37" s="168"/>
      <c r="M37" s="33"/>
      <c r="N37" t="s">
        <v>0</v>
      </c>
      <c r="O37" s="3"/>
      <c r="P37" s="168">
        <v>7642.6</v>
      </c>
      <c r="R37" t="s">
        <v>1003</v>
      </c>
      <c r="S37" s="101">
        <v>-5869</v>
      </c>
      <c r="T37" s="118">
        <v>18</v>
      </c>
      <c r="U37" s="119">
        <f t="shared" ref="U37:U44" si="0">S37/T37</f>
        <v>-326.05555555555554</v>
      </c>
      <c r="V37" s="118">
        <v>2</v>
      </c>
      <c r="W37" s="119">
        <f>U37*V37</f>
        <v>-652.11111111111109</v>
      </c>
      <c r="X37" s="119">
        <f>S37-W37</f>
        <v>-5216.8888888888887</v>
      </c>
      <c r="Y37" t="s">
        <v>437</v>
      </c>
    </row>
    <row r="38" spans="1:27">
      <c r="B38" s="39" t="s">
        <v>503</v>
      </c>
      <c r="C38" s="1"/>
      <c r="D38" s="1">
        <v>0</v>
      </c>
      <c r="F38" s="39" t="s">
        <v>1013</v>
      </c>
      <c r="G38" s="1"/>
      <c r="H38" s="24">
        <v>71</v>
      </c>
      <c r="M38" s="29"/>
      <c r="N38" t="s">
        <v>1002</v>
      </c>
      <c r="O38" s="19"/>
      <c r="P38" s="24">
        <v>3333</v>
      </c>
      <c r="Q38" s="93"/>
      <c r="R38" t="s">
        <v>1005</v>
      </c>
      <c r="S38" s="101">
        <v>-6090</v>
      </c>
      <c r="T38" s="118">
        <v>3</v>
      </c>
      <c r="U38" s="119">
        <f t="shared" si="0"/>
        <v>-2030</v>
      </c>
      <c r="V38" s="118">
        <v>3</v>
      </c>
      <c r="W38" s="119">
        <f>U38*V38</f>
        <v>-6090</v>
      </c>
      <c r="X38" s="119">
        <f>S38-W38</f>
        <v>0</v>
      </c>
    </row>
    <row r="39" spans="1:27">
      <c r="B39" s="39"/>
      <c r="C39" s="1"/>
      <c r="D39" s="11"/>
      <c r="F39" s="39" t="s">
        <v>169</v>
      </c>
      <c r="G39" s="23">
        <v>1400</v>
      </c>
      <c r="H39" s="11"/>
      <c r="I39" s="8"/>
      <c r="J39" s="54" t="s">
        <v>163</v>
      </c>
      <c r="K39" s="65"/>
      <c r="L39" s="188">
        <v>1298.17</v>
      </c>
      <c r="N39" t="s">
        <v>1006</v>
      </c>
      <c r="O39" s="27">
        <v>1600</v>
      </c>
      <c r="P39" s="11"/>
      <c r="S39" s="101"/>
      <c r="T39" s="118"/>
      <c r="U39" s="119"/>
      <c r="V39" s="118"/>
      <c r="W39" s="119"/>
      <c r="X39" s="119"/>
    </row>
    <row r="40" spans="1:27">
      <c r="B40" s="39"/>
      <c r="C40" s="1"/>
      <c r="D40" s="11"/>
      <c r="F40" s="39"/>
      <c r="G40" s="1"/>
      <c r="H40" s="11"/>
      <c r="J40" s="189"/>
      <c r="K40" s="190"/>
      <c r="L40" s="191">
        <v>544.66999999999996</v>
      </c>
      <c r="N40" s="39" t="s">
        <v>1031</v>
      </c>
      <c r="O40" s="19"/>
      <c r="P40" s="11">
        <v>109</v>
      </c>
      <c r="Q40" s="29"/>
      <c r="S40" s="101"/>
      <c r="T40" s="118"/>
      <c r="U40" s="119"/>
      <c r="V40" s="118"/>
      <c r="W40" s="119"/>
      <c r="X40" s="119"/>
    </row>
    <row r="41" spans="1:27">
      <c r="B41" s="39"/>
      <c r="C41" s="20"/>
      <c r="D41" s="11"/>
      <c r="F41" s="39"/>
      <c r="G41" s="1"/>
      <c r="H41" s="11"/>
      <c r="J41" s="56"/>
      <c r="K41" s="106"/>
      <c r="L41" s="83">
        <v>620.83000000000004</v>
      </c>
      <c r="N41" s="39" t="s">
        <v>1032</v>
      </c>
      <c r="O41" s="19"/>
      <c r="P41" s="11">
        <v>100</v>
      </c>
      <c r="S41" s="101"/>
      <c r="T41" s="118"/>
      <c r="U41" s="119"/>
      <c r="V41" s="118"/>
      <c r="W41" s="119"/>
      <c r="X41" s="119"/>
    </row>
    <row r="42" spans="1:27">
      <c r="B42" s="39"/>
      <c r="C42" s="20"/>
      <c r="D42" s="11"/>
      <c r="F42" s="39"/>
      <c r="G42" s="1"/>
      <c r="H42" s="11"/>
      <c r="J42" t="s">
        <v>1014</v>
      </c>
      <c r="K42" s="19"/>
      <c r="L42" s="14">
        <v>80.010000000000005</v>
      </c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ref="W42:W44" si="1">U42*V42</f>
        <v>0</v>
      </c>
      <c r="X42" s="119">
        <f t="shared" ref="X42:X44" si="2">S42-W42</f>
        <v>0</v>
      </c>
    </row>
    <row r="43" spans="1:27">
      <c r="B43" s="39"/>
      <c r="C43" s="20"/>
      <c r="D43" s="11"/>
      <c r="F43" s="39"/>
      <c r="G43" s="1"/>
      <c r="H43" s="11"/>
      <c r="J43" t="s">
        <v>1015</v>
      </c>
      <c r="K43" s="19"/>
      <c r="L43" s="14">
        <v>295</v>
      </c>
      <c r="M43" s="29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J44" t="s">
        <v>1016</v>
      </c>
      <c r="K44" s="19"/>
      <c r="L44" s="11">
        <v>234</v>
      </c>
      <c r="N44" s="39"/>
      <c r="O44" s="19"/>
      <c r="P44" s="11"/>
      <c r="Q44" s="29"/>
      <c r="S44" s="101">
        <v>0</v>
      </c>
      <c r="T44" s="118">
        <v>1</v>
      </c>
      <c r="U44" s="119">
        <f t="shared" si="0"/>
        <v>0</v>
      </c>
      <c r="V44" s="118">
        <v>1</v>
      </c>
      <c r="W44" s="119">
        <f t="shared" si="1"/>
        <v>0</v>
      </c>
      <c r="X44" s="119">
        <f t="shared" si="2"/>
        <v>0</v>
      </c>
    </row>
    <row r="45" spans="1:27">
      <c r="B45" s="39"/>
      <c r="C45" s="20"/>
      <c r="D45" s="11"/>
      <c r="H45" s="11"/>
      <c r="J45" t="s">
        <v>159</v>
      </c>
      <c r="K45" s="19"/>
      <c r="L45" s="11">
        <v>464.18</v>
      </c>
      <c r="N45" s="39"/>
      <c r="O45" s="19"/>
      <c r="P45" s="11"/>
      <c r="Q45" s="8"/>
      <c r="R45" t="s">
        <v>11</v>
      </c>
      <c r="S45" s="2">
        <f>SUM(S37:S44)</f>
        <v>-11959</v>
      </c>
      <c r="X45" s="2">
        <f>SUM(X37:X44)</f>
        <v>-5216.8888888888887</v>
      </c>
    </row>
    <row r="46" spans="1:27">
      <c r="B46" s="39"/>
      <c r="C46" s="20"/>
      <c r="D46" s="11"/>
      <c r="G46" s="1"/>
      <c r="H46" s="11"/>
      <c r="J46" t="s">
        <v>1017</v>
      </c>
      <c r="K46" s="19"/>
      <c r="L46" s="11">
        <v>320</v>
      </c>
      <c r="N46" s="39"/>
      <c r="O46" s="19"/>
      <c r="P46" s="11"/>
    </row>
    <row r="47" spans="1:27">
      <c r="B47" s="39"/>
      <c r="C47" s="20"/>
      <c r="D47" s="11"/>
      <c r="H47" s="11"/>
      <c r="J47" t="s">
        <v>169</v>
      </c>
      <c r="K47" s="19">
        <v>1400</v>
      </c>
      <c r="L47" s="11"/>
      <c r="N47" s="39"/>
      <c r="O47" s="19"/>
      <c r="P47" s="11"/>
      <c r="Q47" s="33"/>
      <c r="S47" s="2"/>
    </row>
    <row r="48" spans="1:27">
      <c r="B48" s="12"/>
      <c r="C48" s="20"/>
      <c r="D48" s="11"/>
      <c r="E48" s="29"/>
      <c r="H48" s="11"/>
      <c r="J48" t="s">
        <v>1020</v>
      </c>
      <c r="K48" s="19"/>
      <c r="L48" s="11">
        <v>120</v>
      </c>
      <c r="N48" s="39"/>
      <c r="O48" s="19"/>
      <c r="P48" s="11"/>
      <c r="S48" s="2"/>
      <c r="Z48">
        <f>1000*(0.2699/365)*15</f>
        <v>11.091780821917807</v>
      </c>
    </row>
    <row r="49" spans="2:28">
      <c r="B49" s="12"/>
      <c r="C49" s="20"/>
      <c r="D49" s="11"/>
      <c r="E49" s="29"/>
      <c r="H49" s="14"/>
      <c r="J49" t="s">
        <v>1021</v>
      </c>
      <c r="K49" s="19"/>
      <c r="L49" s="11">
        <v>395.2</v>
      </c>
      <c r="N49" s="39"/>
      <c r="O49" s="19"/>
      <c r="P49" s="11"/>
      <c r="S49" s="2"/>
    </row>
    <row r="50" spans="2:28">
      <c r="B50" s="12"/>
      <c r="C50" s="20"/>
      <c r="D50" s="11"/>
      <c r="H50" s="11"/>
      <c r="J50" t="s">
        <v>165</v>
      </c>
      <c r="K50">
        <v>520</v>
      </c>
      <c r="L50" s="11"/>
      <c r="N50" s="39"/>
      <c r="O50" s="19"/>
      <c r="P50" s="11"/>
      <c r="S50" s="2"/>
    </row>
    <row r="51" spans="2:28">
      <c r="B51" s="12"/>
      <c r="C51" s="20"/>
      <c r="D51" s="11"/>
      <c r="E51" s="29"/>
      <c r="H51" s="14"/>
      <c r="J51" t="s">
        <v>552</v>
      </c>
      <c r="L51" s="11">
        <v>19.579999999999998</v>
      </c>
      <c r="M51" s="33"/>
      <c r="N51" s="39"/>
      <c r="O51" s="19"/>
      <c r="P51" s="11"/>
      <c r="S51" s="2"/>
    </row>
    <row r="52" spans="2:28">
      <c r="B52" s="12"/>
      <c r="C52" s="1"/>
      <c r="D52" s="11"/>
      <c r="E52" s="29"/>
      <c r="H52" s="11"/>
      <c r="J52" t="s">
        <v>165</v>
      </c>
      <c r="K52">
        <v>706.66</v>
      </c>
      <c r="L52" s="11"/>
      <c r="M52" s="33"/>
      <c r="N52" s="39"/>
      <c r="O52" s="19"/>
      <c r="P52" s="11"/>
      <c r="U52" s="29"/>
    </row>
    <row r="53" spans="2:28">
      <c r="B53" s="12"/>
      <c r="C53" s="1"/>
      <c r="D53" s="11"/>
      <c r="H53" s="14"/>
      <c r="L53" s="11"/>
      <c r="N53" s="39"/>
      <c r="O53" s="19"/>
      <c r="P53" s="11"/>
      <c r="U53" s="2"/>
      <c r="V53" s="2"/>
    </row>
    <row r="54" spans="2:28">
      <c r="B54" s="12"/>
      <c r="C54" s="1"/>
      <c r="D54" s="11"/>
      <c r="S54" s="1"/>
    </row>
    <row r="55" spans="2:28">
      <c r="B55" t="s">
        <v>2</v>
      </c>
      <c r="C55" s="2">
        <f>SUM(C37:C52)</f>
        <v>0</v>
      </c>
      <c r="D55" s="2">
        <f>SUM(D38:D54)</f>
        <v>0</v>
      </c>
      <c r="F55" t="s">
        <v>2</v>
      </c>
      <c r="G55" s="2">
        <f>SUM(G37:G54)</f>
        <v>1400</v>
      </c>
      <c r="H55" s="2">
        <f>SUM(H37:H53)</f>
        <v>1397.05</v>
      </c>
      <c r="J55" t="s">
        <v>2</v>
      </c>
      <c r="K55" s="2">
        <f>SUM(K37:K52)</f>
        <v>5088.45</v>
      </c>
      <c r="L55" s="2">
        <f>SUM(L37:L51)</f>
        <v>4391.6400000000003</v>
      </c>
      <c r="N55" t="s">
        <v>2</v>
      </c>
      <c r="O55" s="2">
        <f>SUM(O37:O54)</f>
        <v>1600</v>
      </c>
      <c r="P55" s="2">
        <f>SUM(P37:P54)</f>
        <v>11184.6</v>
      </c>
      <c r="S55" s="1"/>
      <c r="T55" s="33"/>
      <c r="U55" s="2"/>
      <c r="V55" s="2"/>
    </row>
    <row r="56" spans="2:28">
      <c r="D56" s="2">
        <f>C55-D55</f>
        <v>0</v>
      </c>
      <c r="H56" s="2">
        <f>G55-H55</f>
        <v>2.9500000000000455</v>
      </c>
      <c r="L56" s="2">
        <f>K55-L55</f>
        <v>696.80999999999949</v>
      </c>
      <c r="M56" t="s">
        <v>879</v>
      </c>
      <c r="N56" s="2">
        <f>X38</f>
        <v>0</v>
      </c>
      <c r="P56" s="2">
        <f>O55-P55</f>
        <v>-9584.6</v>
      </c>
      <c r="Q56" t="s">
        <v>1012</v>
      </c>
      <c r="R56" s="2">
        <f>X45</f>
        <v>-5216.8888888888887</v>
      </c>
      <c r="S56" s="1"/>
      <c r="AA56" t="s">
        <v>239</v>
      </c>
      <c r="AB56" s="1">
        <v>10261.049999999999</v>
      </c>
    </row>
    <row r="57" spans="2:28">
      <c r="L57" s="2">
        <f>L56-N56</f>
        <v>696.80999999999949</v>
      </c>
      <c r="P57" s="2">
        <f>P56-R56</f>
        <v>-4367.7111111111117</v>
      </c>
      <c r="S57" s="1"/>
      <c r="U57" s="165"/>
      <c r="V57" s="143"/>
      <c r="W57" s="93"/>
      <c r="AA57" t="s">
        <v>240</v>
      </c>
      <c r="AB57" s="1">
        <v>7081.32</v>
      </c>
    </row>
    <row r="58" spans="2:28">
      <c r="B58" t="s">
        <v>282</v>
      </c>
      <c r="R58" s="2"/>
      <c r="S58" s="1"/>
      <c r="AA58" t="s">
        <v>241</v>
      </c>
      <c r="AB58" s="1">
        <f>AB56-AB57</f>
        <v>3179.7299999999996</v>
      </c>
    </row>
    <row r="59" spans="2:28">
      <c r="E59" t="s">
        <v>235</v>
      </c>
      <c r="H59" s="2">
        <v>0</v>
      </c>
      <c r="L59" s="2">
        <v>-2461.79</v>
      </c>
      <c r="P59" s="2">
        <v>-1000</v>
      </c>
      <c r="S59" s="1"/>
      <c r="AA59" t="s">
        <v>242</v>
      </c>
      <c r="AB59" s="2">
        <f>AB58/2</f>
        <v>1589.8649999999998</v>
      </c>
    </row>
    <row r="61" spans="2:28">
      <c r="D61" t="s">
        <v>138</v>
      </c>
      <c r="E61" s="34" t="s">
        <v>120</v>
      </c>
      <c r="F61" s="41"/>
      <c r="G61" s="41"/>
      <c r="H61" s="51">
        <v>0</v>
      </c>
      <c r="I61" s="41"/>
      <c r="J61" s="41"/>
      <c r="K61" s="41"/>
      <c r="L61" s="51">
        <v>706.66</v>
      </c>
      <c r="M61" s="41"/>
      <c r="N61" s="41"/>
      <c r="O61" s="41"/>
      <c r="P61" s="51"/>
      <c r="V61" t="s">
        <v>114</v>
      </c>
      <c r="W61" t="s">
        <v>115</v>
      </c>
      <c r="X61" t="s">
        <v>116</v>
      </c>
    </row>
    <row r="62" spans="2:28">
      <c r="E62" s="36" t="s">
        <v>121</v>
      </c>
      <c r="F62" s="22"/>
      <c r="G62" s="22"/>
      <c r="H62" s="43">
        <v>0</v>
      </c>
      <c r="I62" s="22"/>
      <c r="J62" s="22"/>
      <c r="K62" s="22"/>
      <c r="L62" s="43">
        <v>706.66</v>
      </c>
      <c r="M62" s="22"/>
      <c r="N62" s="22"/>
      <c r="O62" s="22"/>
      <c r="P62" s="43"/>
      <c r="Z62" t="s">
        <v>119</v>
      </c>
      <c r="AA62" t="s">
        <v>11</v>
      </c>
    </row>
    <row r="63" spans="2:28">
      <c r="E63" s="37" t="s">
        <v>122</v>
      </c>
      <c r="F63" s="44"/>
      <c r="G63" s="44"/>
      <c r="H63" s="45">
        <f>H61+H59</f>
        <v>0</v>
      </c>
      <c r="I63" s="44"/>
      <c r="J63" s="44"/>
      <c r="K63" s="44"/>
      <c r="L63" s="45">
        <f>L61+L59</f>
        <v>-1755.13</v>
      </c>
      <c r="M63" s="44"/>
      <c r="N63" s="44"/>
      <c r="O63" s="44"/>
      <c r="P63" s="45"/>
      <c r="T63" t="s">
        <v>98</v>
      </c>
      <c r="V63" s="1">
        <f>Z63-Z64</f>
        <v>1200</v>
      </c>
      <c r="W63" s="2">
        <f>S64-V63</f>
        <v>2261.79</v>
      </c>
      <c r="X63" s="2">
        <f>W63/2</f>
        <v>1130.895</v>
      </c>
      <c r="Z63" s="1">
        <v>4200</v>
      </c>
      <c r="AA63" s="2">
        <f>X65+Z63</f>
        <v>5330.8950000000004</v>
      </c>
    </row>
    <row r="64" spans="2:28">
      <c r="E64" s="22"/>
      <c r="F64" s="22"/>
      <c r="G64" s="22"/>
      <c r="H64" s="25"/>
      <c r="I64" s="22"/>
      <c r="J64" s="22"/>
      <c r="K64" s="22"/>
      <c r="L64" s="25"/>
      <c r="M64" s="22"/>
      <c r="N64" s="22"/>
      <c r="O64" s="22"/>
      <c r="P64" s="25"/>
      <c r="S64" s="1">
        <f>ABS(H59+L59+P59)</f>
        <v>3461.79</v>
      </c>
      <c r="Z64" s="1">
        <v>3000</v>
      </c>
      <c r="AA64" s="2">
        <f>X66+Z64</f>
        <v>5330.8950000000004</v>
      </c>
    </row>
    <row r="65" spans="4:26">
      <c r="D65" t="s">
        <v>139</v>
      </c>
      <c r="H65" s="2"/>
      <c r="L65" s="2"/>
      <c r="P65" s="2"/>
      <c r="S65" s="1"/>
      <c r="W65" t="s">
        <v>117</v>
      </c>
      <c r="X65" s="2">
        <f>ABS(X63)</f>
        <v>1130.895</v>
      </c>
    </row>
    <row r="66" spans="4:26">
      <c r="E66" s="34" t="s">
        <v>169</v>
      </c>
      <c r="F66" s="41"/>
      <c r="G66" s="41"/>
      <c r="H66" s="51"/>
      <c r="I66" s="41"/>
      <c r="J66" s="41"/>
      <c r="K66" s="41"/>
      <c r="L66" s="51"/>
      <c r="M66" s="41"/>
      <c r="N66" s="41"/>
      <c r="O66" s="41"/>
      <c r="P66" s="53"/>
      <c r="W66" t="s">
        <v>118</v>
      </c>
      <c r="X66" s="1">
        <f>V63+ABS(X63)</f>
        <v>2330.895</v>
      </c>
      <c r="Z66" s="2"/>
    </row>
    <row r="67" spans="4:26">
      <c r="E67" s="36" t="s">
        <v>244</v>
      </c>
      <c r="F67" s="22"/>
      <c r="G67" s="22"/>
      <c r="H67" s="43"/>
      <c r="I67" s="22"/>
      <c r="J67" s="22"/>
      <c r="K67" s="22"/>
      <c r="L67" s="43"/>
      <c r="M67" s="22"/>
      <c r="N67" s="22"/>
      <c r="O67" s="22"/>
      <c r="P67" s="43"/>
      <c r="T67" s="2"/>
    </row>
    <row r="68" spans="4:26">
      <c r="E68" s="37" t="s">
        <v>122</v>
      </c>
      <c r="F68" s="44"/>
      <c r="G68" s="44"/>
      <c r="H68" s="45"/>
      <c r="I68" s="44"/>
      <c r="J68" s="44"/>
      <c r="K68" s="44"/>
      <c r="L68" s="45"/>
      <c r="M68" s="44"/>
      <c r="N68" s="44"/>
      <c r="O68" s="44"/>
      <c r="P68" s="45"/>
    </row>
    <row r="69" spans="4:26">
      <c r="L69" s="60"/>
      <c r="P69" s="27"/>
    </row>
    <row r="70" spans="4:26">
      <c r="X70" s="1"/>
    </row>
    <row r="71" spans="4:26">
      <c r="X71" s="2"/>
    </row>
    <row r="74" spans="4:26">
      <c r="F74" s="2">
        <f>13338.18+H56</f>
        <v>13341.130000000001</v>
      </c>
    </row>
    <row r="83" spans="2:19">
      <c r="S83">
        <f>2032.67*3</f>
        <v>6098.01</v>
      </c>
    </row>
    <row r="88" spans="2:19">
      <c r="B88">
        <f>879+179</f>
        <v>1058</v>
      </c>
    </row>
    <row r="92" spans="2:19">
      <c r="C92">
        <v>5003.9399999999996</v>
      </c>
    </row>
    <row r="93" spans="2:19">
      <c r="C93">
        <v>-950</v>
      </c>
    </row>
    <row r="94" spans="2:19">
      <c r="C94">
        <v>-3349.1</v>
      </c>
    </row>
  </sheetData>
  <mergeCells count="19">
    <mergeCell ref="W1:X1"/>
    <mergeCell ref="C1:D1"/>
    <mergeCell ref="G1:H1"/>
    <mergeCell ref="K1:L1"/>
    <mergeCell ref="O1:P1"/>
    <mergeCell ref="S1:T1"/>
    <mergeCell ref="V2:V3"/>
    <mergeCell ref="V4:V5"/>
    <mergeCell ref="R6:R7"/>
    <mergeCell ref="V6:V7"/>
    <mergeCell ref="R8:R9"/>
    <mergeCell ref="V8:V9"/>
    <mergeCell ref="R10:R12"/>
    <mergeCell ref="V10:V12"/>
    <mergeCell ref="V13:V14"/>
    <mergeCell ref="C36:D36"/>
    <mergeCell ref="G36:H36"/>
    <mergeCell ref="K36:L36"/>
    <mergeCell ref="O36:P36"/>
  </mergeCells>
  <conditionalFormatting sqref="P56 L56 H33 L33 D56 H56 D33 P33 T33 X33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B94"/>
  <sheetViews>
    <sheetView topLeftCell="P40" workbookViewId="0">
      <selection activeCell="H43" sqref="H43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903</v>
      </c>
      <c r="X1" s="218"/>
    </row>
    <row r="2" spans="1:24">
      <c r="B2" s="18" t="s">
        <v>0</v>
      </c>
      <c r="C2" s="94">
        <v>0</v>
      </c>
      <c r="D2" s="74"/>
      <c r="E2" s="18"/>
      <c r="F2" s="18" t="s">
        <v>0</v>
      </c>
      <c r="G2" s="75">
        <v>5035.3</v>
      </c>
      <c r="H2" s="74"/>
      <c r="I2" s="18"/>
      <c r="J2" s="18" t="s">
        <v>0</v>
      </c>
      <c r="K2" s="73">
        <v>57078.77</v>
      </c>
      <c r="L2" s="74"/>
      <c r="N2" s="18"/>
      <c r="O2" s="73">
        <v>0</v>
      </c>
      <c r="P2" s="97">
        <v>262</v>
      </c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758.94</v>
      </c>
      <c r="D3" s="11"/>
      <c r="E3" s="76"/>
      <c r="F3" s="39" t="s">
        <v>996</v>
      </c>
      <c r="G3" s="204">
        <v>2500</v>
      </c>
      <c r="H3" s="11">
        <v>2500</v>
      </c>
      <c r="I3" s="18"/>
      <c r="J3" s="18"/>
      <c r="K3" s="23"/>
      <c r="L3" s="77"/>
      <c r="N3" s="18" t="s">
        <v>986</v>
      </c>
      <c r="O3" s="20">
        <v>1170.79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8315.25</v>
      </c>
      <c r="D4" s="11"/>
      <c r="E4" s="18"/>
      <c r="F4" s="39" t="s">
        <v>1026</v>
      </c>
      <c r="G4" s="208">
        <v>2100</v>
      </c>
      <c r="H4" s="11"/>
      <c r="I4" s="18"/>
      <c r="J4" s="18" t="s">
        <v>1036</v>
      </c>
      <c r="K4" s="23">
        <v>7000.48</v>
      </c>
      <c r="L4" s="77"/>
      <c r="N4" s="18" t="s">
        <v>987</v>
      </c>
      <c r="O4" s="20">
        <v>1338.6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8315.25</v>
      </c>
      <c r="D5" s="11"/>
      <c r="E5" s="18"/>
      <c r="F5" s="39" t="s">
        <v>1027</v>
      </c>
      <c r="G5" s="208">
        <v>1000</v>
      </c>
      <c r="H5" s="11"/>
      <c r="I5" s="18"/>
      <c r="J5" s="18" t="s">
        <v>1037</v>
      </c>
      <c r="K5" s="20"/>
      <c r="L5" s="11">
        <v>5001.55</v>
      </c>
      <c r="N5" s="18" t="s">
        <v>988</v>
      </c>
      <c r="O5" s="20">
        <v>631.47</v>
      </c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74" t="s">
        <v>870</v>
      </c>
      <c r="C6" s="205"/>
      <c r="D6" s="172">
        <v>3000</v>
      </c>
      <c r="E6" s="18"/>
      <c r="F6" s="39" t="s">
        <v>1028</v>
      </c>
      <c r="G6" s="20"/>
      <c r="H6" s="209">
        <v>1000</v>
      </c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B7" s="77" t="s">
        <v>201</v>
      </c>
      <c r="C7" s="181"/>
      <c r="D7" s="207">
        <v>3000</v>
      </c>
      <c r="E7" s="76"/>
      <c r="F7" s="39" t="s">
        <v>1034</v>
      </c>
      <c r="G7" s="208">
        <v>140.65</v>
      </c>
      <c r="H7" s="11"/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>
        <v>1000</v>
      </c>
      <c r="X7" s="77"/>
    </row>
    <row r="8" spans="1:24">
      <c r="B8" s="109" t="s">
        <v>998</v>
      </c>
      <c r="C8" s="206"/>
      <c r="D8" s="173">
        <v>1000.48</v>
      </c>
      <c r="E8" s="18"/>
      <c r="F8" s="39" t="s">
        <v>1016</v>
      </c>
      <c r="G8" s="20"/>
      <c r="H8" s="209">
        <v>155</v>
      </c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>
        <v>1000</v>
      </c>
      <c r="X8" s="39"/>
    </row>
    <row r="9" spans="1:24">
      <c r="B9" s="39" t="s">
        <v>43</v>
      </c>
      <c r="C9" s="166"/>
      <c r="D9" s="100">
        <v>2100</v>
      </c>
      <c r="E9" s="174"/>
      <c r="F9" s="39" t="s">
        <v>1035</v>
      </c>
      <c r="G9" s="208">
        <v>545</v>
      </c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>
        <v>1000</v>
      </c>
      <c r="X9" s="18"/>
    </row>
    <row r="10" spans="1:24">
      <c r="B10" s="39" t="s">
        <v>76</v>
      </c>
      <c r="C10" s="166"/>
      <c r="D10" s="11">
        <v>1500</v>
      </c>
      <c r="E10" s="138"/>
      <c r="F10" s="39" t="s">
        <v>131</v>
      </c>
      <c r="G10" s="20"/>
      <c r="H10" s="209">
        <v>2500</v>
      </c>
      <c r="I10" s="18"/>
      <c r="J10" s="18"/>
      <c r="K10" s="20"/>
      <c r="L10" s="77"/>
      <c r="N10" s="18"/>
      <c r="O10" s="18"/>
      <c r="P10" s="19"/>
      <c r="R10" s="219" t="s">
        <v>28</v>
      </c>
      <c r="S10" s="19">
        <v>1000</v>
      </c>
      <c r="T10" s="18"/>
      <c r="V10" s="219" t="s">
        <v>908</v>
      </c>
      <c r="W10" s="19">
        <v>1000</v>
      </c>
      <c r="X10" s="18"/>
    </row>
    <row r="11" spans="1:24">
      <c r="B11" s="39" t="s">
        <v>1024</v>
      </c>
      <c r="C11" s="166"/>
      <c r="D11" s="100">
        <v>1000</v>
      </c>
      <c r="E11" s="138"/>
      <c r="F11" s="39"/>
      <c r="G11" s="20"/>
      <c r="H11" s="11"/>
      <c r="I11" s="18"/>
      <c r="J11" s="18"/>
      <c r="K11" s="20"/>
      <c r="L11" s="77"/>
      <c r="N11" s="18"/>
      <c r="O11" s="18"/>
      <c r="P11" s="19"/>
      <c r="R11" s="219"/>
      <c r="S11" s="19"/>
      <c r="T11" s="18"/>
      <c r="V11" s="219"/>
      <c r="W11" s="19"/>
      <c r="X11" s="18"/>
    </row>
    <row r="12" spans="1:24">
      <c r="A12" s="198"/>
      <c r="B12" s="39" t="s">
        <v>1022</v>
      </c>
      <c r="C12" s="166"/>
      <c r="D12" s="11">
        <v>1500</v>
      </c>
      <c r="E12" s="39"/>
      <c r="F12" s="39" t="s">
        <v>1025</v>
      </c>
      <c r="G12" s="20">
        <v>3786.99</v>
      </c>
      <c r="H12" s="11">
        <v>3786.99</v>
      </c>
      <c r="I12" s="18"/>
      <c r="J12" s="18"/>
      <c r="K12" s="20"/>
      <c r="L12" s="77"/>
      <c r="N12" s="18"/>
      <c r="R12" s="219"/>
      <c r="S12" s="19">
        <v>1000</v>
      </c>
      <c r="V12" s="219"/>
      <c r="W12" s="19">
        <v>1000</v>
      </c>
    </row>
    <row r="13" spans="1:24">
      <c r="B13" s="39" t="s">
        <v>1000</v>
      </c>
      <c r="C13" s="166"/>
      <c r="D13" s="100">
        <v>1500</v>
      </c>
      <c r="E13" s="39"/>
      <c r="F13" s="39"/>
      <c r="G13" s="20"/>
      <c r="H13" s="11"/>
      <c r="I13" s="16"/>
      <c r="J13" s="18"/>
      <c r="K13" s="20"/>
      <c r="L13" s="77"/>
      <c r="N13" s="18"/>
      <c r="V13" s="219" t="s">
        <v>1001</v>
      </c>
      <c r="W13" s="19">
        <v>1000</v>
      </c>
    </row>
    <row r="14" spans="1:24">
      <c r="B14" s="39" t="s">
        <v>1029</v>
      </c>
      <c r="C14" s="166"/>
      <c r="D14" s="100">
        <v>1330</v>
      </c>
      <c r="E14" s="39"/>
      <c r="F14" s="39"/>
      <c r="G14" s="20"/>
      <c r="H14" s="11"/>
      <c r="I14" s="18"/>
      <c r="J14" s="18"/>
      <c r="K14" s="20"/>
      <c r="L14" s="77"/>
      <c r="N14" s="18"/>
      <c r="V14" s="219"/>
      <c r="W14" s="19">
        <v>1000</v>
      </c>
    </row>
    <row r="15" spans="1:24">
      <c r="B15" s="39" t="s">
        <v>230</v>
      </c>
      <c r="C15" s="166"/>
      <c r="D15" s="100">
        <v>1000</v>
      </c>
      <c r="E15" s="39"/>
      <c r="F15" s="39"/>
      <c r="G15" s="20"/>
      <c r="H15" s="11"/>
      <c r="I15" s="18"/>
      <c r="J15" s="18"/>
      <c r="K15" s="20"/>
      <c r="L15" s="77"/>
      <c r="N15" s="18"/>
      <c r="V15" s="219" t="s">
        <v>1030</v>
      </c>
      <c r="W15" s="19">
        <v>1000</v>
      </c>
    </row>
    <row r="16" spans="1:24">
      <c r="B16" s="39" t="s">
        <v>1038</v>
      </c>
      <c r="C16" s="166"/>
      <c r="D16" s="11">
        <v>45.5</v>
      </c>
      <c r="E16" s="117"/>
      <c r="F16" s="39"/>
      <c r="G16" s="20"/>
      <c r="H16" s="11"/>
      <c r="I16" s="18"/>
      <c r="J16" s="91"/>
      <c r="K16" s="20"/>
      <c r="L16" s="77"/>
      <c r="N16" s="2"/>
      <c r="V16" s="219"/>
    </row>
    <row r="17" spans="2:27">
      <c r="B17" s="39" t="s">
        <v>1039</v>
      </c>
      <c r="C17" s="166"/>
      <c r="D17" s="11">
        <v>207.31</v>
      </c>
      <c r="E17" s="39"/>
      <c r="F17" s="39"/>
      <c r="G17" s="20"/>
      <c r="H17" s="11"/>
      <c r="I17" s="18"/>
      <c r="J17" s="18"/>
      <c r="K17" s="20"/>
      <c r="L17" s="77"/>
      <c r="N17" s="18"/>
    </row>
    <row r="18" spans="2:27">
      <c r="B18" s="39" t="s">
        <v>1040</v>
      </c>
      <c r="C18" s="166">
        <v>5001.55</v>
      </c>
      <c r="D18" s="11"/>
      <c r="E18" s="39"/>
      <c r="F18" s="39"/>
      <c r="G18" s="20"/>
      <c r="H18" s="11"/>
      <c r="I18" s="18"/>
      <c r="J18" s="18"/>
      <c r="K18" s="20"/>
      <c r="L18" s="77"/>
      <c r="N18" s="18"/>
    </row>
    <row r="19" spans="2:27">
      <c r="B19" s="39" t="s">
        <v>1041</v>
      </c>
      <c r="C19" s="166"/>
      <c r="D19" s="11">
        <v>5000</v>
      </c>
      <c r="E19" s="39"/>
      <c r="F19" s="39"/>
      <c r="G19" s="20"/>
      <c r="H19" s="11"/>
      <c r="K19" s="20"/>
      <c r="L19" s="77"/>
      <c r="N19" s="18"/>
    </row>
    <row r="20" spans="2:27">
      <c r="B20" s="39" t="s">
        <v>1042</v>
      </c>
      <c r="C20" s="166"/>
      <c r="D20" s="11">
        <v>80.010000000000005</v>
      </c>
      <c r="E20" s="96"/>
      <c r="F20" s="186"/>
      <c r="G20" s="20"/>
      <c r="H20" s="11" t="s">
        <v>80</v>
      </c>
      <c r="J20" s="2"/>
      <c r="K20" s="20"/>
      <c r="L20" s="77"/>
      <c r="N20" s="18"/>
    </row>
    <row r="21" spans="2:27">
      <c r="B21" s="39" t="s">
        <v>697</v>
      </c>
      <c r="C21" s="166">
        <v>11.94</v>
      </c>
      <c r="D21" s="11"/>
      <c r="F21" s="39"/>
      <c r="G21" s="20"/>
      <c r="H21" s="11"/>
      <c r="K21" s="20"/>
      <c r="L21" s="77"/>
      <c r="N21" s="18"/>
    </row>
    <row r="22" spans="2:27">
      <c r="B22" s="39" t="s">
        <v>1043</v>
      </c>
      <c r="C22" s="166"/>
      <c r="D22" s="11">
        <v>100</v>
      </c>
      <c r="F22" s="39"/>
      <c r="G22" s="20"/>
      <c r="H22" s="11"/>
      <c r="L22" s="77"/>
      <c r="N22" s="18"/>
    </row>
    <row r="23" spans="2:27">
      <c r="B23" s="39"/>
      <c r="C23" s="166"/>
      <c r="D23" s="11"/>
      <c r="F23" s="39"/>
      <c r="G23" s="20"/>
      <c r="H23" s="11"/>
      <c r="L23" s="77"/>
      <c r="N23" s="185"/>
      <c r="O23" s="62"/>
      <c r="P23" s="62"/>
    </row>
    <row r="24" spans="2:27">
      <c r="B24" s="39"/>
      <c r="C24" s="166"/>
      <c r="D24" s="11"/>
      <c r="G24" s="20"/>
      <c r="H24" s="11"/>
      <c r="L24" s="77"/>
      <c r="N24" s="18"/>
    </row>
    <row r="25" spans="2:27">
      <c r="B25" s="39"/>
      <c r="C25" s="166"/>
      <c r="D25" s="11"/>
      <c r="G25" s="20"/>
      <c r="H25" s="11"/>
      <c r="L25" s="77"/>
      <c r="N25" s="18"/>
    </row>
    <row r="26" spans="2:27">
      <c r="B26" s="39"/>
      <c r="C26" s="166"/>
      <c r="D26" s="11"/>
      <c r="G26" s="20"/>
      <c r="H26" s="11"/>
      <c r="L26" s="77"/>
      <c r="N26" s="18"/>
    </row>
    <row r="27" spans="2:27">
      <c r="B27" s="39"/>
      <c r="C27" s="166"/>
      <c r="D27" s="11"/>
      <c r="G27" s="20"/>
      <c r="H27" s="11"/>
      <c r="L27" s="77"/>
      <c r="N27" s="185"/>
      <c r="O27" s="62"/>
      <c r="P27" s="62"/>
      <c r="R27" t="s">
        <v>80</v>
      </c>
      <c r="V27" t="s">
        <v>80</v>
      </c>
    </row>
    <row r="28" spans="2:27">
      <c r="B28" s="39"/>
      <c r="C28" s="166"/>
      <c r="D28" s="11"/>
      <c r="G28" s="20"/>
      <c r="H28" s="11"/>
      <c r="L28" s="77"/>
      <c r="N28" s="18"/>
    </row>
    <row r="29" spans="2:27">
      <c r="B29" s="39"/>
      <c r="C29" s="166"/>
      <c r="D29" s="11"/>
      <c r="G29" s="20"/>
      <c r="H29" s="11"/>
      <c r="L29" s="77"/>
      <c r="N29" s="18"/>
    </row>
    <row r="30" spans="2:27" ht="15.75" thickBot="1">
      <c r="B30" s="39"/>
      <c r="C30" s="20"/>
      <c r="D30" s="11"/>
      <c r="G30" s="20"/>
      <c r="H30" s="11"/>
      <c r="L30" s="77"/>
    </row>
    <row r="31" spans="2:27">
      <c r="B31" s="39"/>
      <c r="C31" s="20"/>
      <c r="D31" s="11"/>
      <c r="G31" s="20"/>
      <c r="H31" s="19"/>
      <c r="Y31" t="s">
        <v>899</v>
      </c>
      <c r="AA31" s="179">
        <v>1500</v>
      </c>
    </row>
    <row r="32" spans="2:27">
      <c r="B32" t="s">
        <v>2</v>
      </c>
      <c r="C32" s="2">
        <f>SUM(C2:C30)</f>
        <v>22402.93</v>
      </c>
      <c r="D32" s="2">
        <f>SUM(D3:D31)</f>
        <v>22363.3</v>
      </c>
      <c r="F32" t="s">
        <v>2</v>
      </c>
      <c r="G32" s="2">
        <f>SUM(G2:G31)</f>
        <v>15107.939999999999</v>
      </c>
      <c r="H32" s="2">
        <f>SUM(H3:H31)</f>
        <v>9941.99</v>
      </c>
      <c r="J32" t="s">
        <v>2</v>
      </c>
      <c r="K32" s="2">
        <f>SUM(K1:K10)</f>
        <v>64079.25</v>
      </c>
      <c r="L32" s="2">
        <f>SUM(L2:L10)</f>
        <v>5001.55</v>
      </c>
      <c r="N32" t="s">
        <v>2</v>
      </c>
      <c r="O32" s="2">
        <f>SUM(O1:O30)</f>
        <v>3140.8599999999997</v>
      </c>
      <c r="P32" s="2">
        <f>SUM(P2:P30)</f>
        <v>262</v>
      </c>
      <c r="R32" t="s">
        <v>2</v>
      </c>
      <c r="S32" s="2">
        <f>SUM(S1:S15)</f>
        <v>9500</v>
      </c>
      <c r="T32" s="2">
        <f>SUM(T2:T10)</f>
        <v>0</v>
      </c>
      <c r="V32" t="s">
        <v>2</v>
      </c>
      <c r="W32" s="2">
        <f>SUM(W1:W29)</f>
        <v>9000</v>
      </c>
      <c r="X32" s="2">
        <f>SUM(X2:X10)</f>
        <v>0</v>
      </c>
      <c r="AA32" s="177">
        <v>1500</v>
      </c>
    </row>
    <row r="33" spans="1:27">
      <c r="D33" s="2">
        <f>C32-D32</f>
        <v>39.630000000001019</v>
      </c>
      <c r="H33" s="2">
        <f>G32-H32</f>
        <v>5165.9499999999989</v>
      </c>
      <c r="L33" s="2">
        <f>K32-L32</f>
        <v>59077.7</v>
      </c>
      <c r="P33" s="2">
        <f>O32-P32</f>
        <v>2878.8599999999997</v>
      </c>
      <c r="T33" s="2">
        <f>S32-T32</f>
        <v>9500</v>
      </c>
      <c r="X33" s="2">
        <f>W32-X32</f>
        <v>9000</v>
      </c>
      <c r="AA33" s="177">
        <v>1500</v>
      </c>
    </row>
    <row r="34" spans="1:27">
      <c r="A34">
        <v>1032.8900000000001</v>
      </c>
      <c r="AA34" s="177">
        <v>1500</v>
      </c>
    </row>
    <row r="35" spans="1:27">
      <c r="A35" s="2">
        <f>A34-D33</f>
        <v>993.25999999999908</v>
      </c>
      <c r="V35" s="102">
        <v>43299</v>
      </c>
      <c r="AA35" s="177">
        <v>1500</v>
      </c>
    </row>
    <row r="36" spans="1:27" ht="15.75" thickBot="1">
      <c r="C36" s="217" t="s">
        <v>12</v>
      </c>
      <c r="D36" s="217"/>
      <c r="G36" s="217" t="s">
        <v>16</v>
      </c>
      <c r="H36" s="217"/>
      <c r="K36" s="217" t="s">
        <v>396</v>
      </c>
      <c r="L36" s="217"/>
      <c r="O36" s="217" t="s">
        <v>90</v>
      </c>
      <c r="P36" s="217"/>
      <c r="S36" t="s">
        <v>163</v>
      </c>
      <c r="T36" t="s">
        <v>335</v>
      </c>
      <c r="U36" t="s">
        <v>165</v>
      </c>
      <c r="V36" t="s">
        <v>336</v>
      </c>
      <c r="W36" t="s">
        <v>337</v>
      </c>
      <c r="X36" t="s">
        <v>338</v>
      </c>
      <c r="AA36" s="178">
        <v>1300</v>
      </c>
    </row>
    <row r="37" spans="1:27">
      <c r="B37" t="s">
        <v>0</v>
      </c>
      <c r="C37" s="3">
        <v>0</v>
      </c>
      <c r="D37" s="4"/>
      <c r="F37" t="s">
        <v>0</v>
      </c>
      <c r="G37" s="3">
        <v>2.95</v>
      </c>
      <c r="H37" s="11"/>
      <c r="J37" t="s">
        <v>979</v>
      </c>
      <c r="K37" s="3"/>
      <c r="L37" s="168">
        <v>2461.79</v>
      </c>
      <c r="M37" s="33"/>
      <c r="N37" t="s">
        <v>0</v>
      </c>
      <c r="O37" s="3"/>
      <c r="P37" s="168">
        <v>9584.6</v>
      </c>
      <c r="R37" t="s">
        <v>1003</v>
      </c>
      <c r="S37" s="101">
        <v>-5869</v>
      </c>
      <c r="T37" s="118">
        <v>18</v>
      </c>
      <c r="U37" s="119">
        <f t="shared" ref="U37:U44" si="0">S37/T37</f>
        <v>-326.05555555555554</v>
      </c>
      <c r="V37" s="118">
        <v>2</v>
      </c>
      <c r="W37" s="119">
        <f>U37*V37</f>
        <v>-652.11111111111109</v>
      </c>
      <c r="X37" s="119">
        <f>S37-W37</f>
        <v>-5216.8888888888887</v>
      </c>
      <c r="Y37" t="s">
        <v>437</v>
      </c>
    </row>
    <row r="38" spans="1:27">
      <c r="B38" s="39" t="s">
        <v>503</v>
      </c>
      <c r="C38" s="1"/>
      <c r="D38" s="1">
        <v>0</v>
      </c>
      <c r="F38" s="39" t="s">
        <v>18</v>
      </c>
      <c r="G38" s="1"/>
      <c r="H38" s="11">
        <v>699.25</v>
      </c>
      <c r="J38" t="s">
        <v>165</v>
      </c>
      <c r="K38" s="1">
        <v>706.66</v>
      </c>
      <c r="L38" s="11"/>
      <c r="M38" s="29"/>
      <c r="N38" t="s">
        <v>169</v>
      </c>
      <c r="O38" s="19">
        <v>1000</v>
      </c>
      <c r="P38" s="11"/>
      <c r="Q38" s="93"/>
      <c r="R38" t="s">
        <v>1005</v>
      </c>
      <c r="S38" s="101">
        <v>-6090</v>
      </c>
      <c r="T38" s="118">
        <v>3</v>
      </c>
      <c r="U38" s="119">
        <f t="shared" si="0"/>
        <v>-2030</v>
      </c>
      <c r="V38" s="118">
        <v>3</v>
      </c>
      <c r="W38" s="119">
        <f>U38*V38</f>
        <v>-6090</v>
      </c>
      <c r="X38" s="119">
        <f>S38-W38</f>
        <v>0</v>
      </c>
    </row>
    <row r="39" spans="1:27">
      <c r="B39" s="39"/>
      <c r="C39" s="1"/>
      <c r="D39" s="11"/>
      <c r="F39" s="39" t="s">
        <v>20</v>
      </c>
      <c r="G39" s="1"/>
      <c r="H39" s="11">
        <v>149</v>
      </c>
      <c r="I39" s="8"/>
      <c r="J39" t="s">
        <v>165</v>
      </c>
      <c r="K39" s="1">
        <v>1330</v>
      </c>
      <c r="L39" s="11"/>
      <c r="N39" t="s">
        <v>1033</v>
      </c>
      <c r="O39" s="19">
        <v>1000</v>
      </c>
      <c r="P39" s="11"/>
      <c r="S39" s="101"/>
      <c r="T39" s="118"/>
      <c r="U39" s="119"/>
      <c r="V39" s="118"/>
      <c r="W39" s="119"/>
      <c r="X39" s="119"/>
    </row>
    <row r="40" spans="1:27">
      <c r="B40" s="39"/>
      <c r="C40" s="1"/>
      <c r="D40" s="11"/>
      <c r="F40" s="39" t="s">
        <v>21</v>
      </c>
      <c r="G40" s="1"/>
      <c r="H40" s="11">
        <v>321.04000000000002</v>
      </c>
      <c r="K40" s="1"/>
      <c r="L40" s="11">
        <v>120</v>
      </c>
      <c r="N40" s="39" t="s">
        <v>86</v>
      </c>
      <c r="O40" s="19"/>
      <c r="P40" s="11">
        <v>685.17</v>
      </c>
      <c r="Q40" s="29"/>
      <c r="S40" s="101"/>
      <c r="T40" s="118"/>
      <c r="U40" s="119"/>
      <c r="V40" s="118"/>
      <c r="W40" s="119"/>
      <c r="X40" s="119"/>
    </row>
    <row r="41" spans="1:27">
      <c r="B41" s="39"/>
      <c r="C41" s="20"/>
      <c r="D41" s="11"/>
      <c r="F41" s="39" t="s">
        <v>1050</v>
      </c>
      <c r="G41" s="1"/>
      <c r="H41" s="11">
        <v>30</v>
      </c>
      <c r="K41" s="1"/>
      <c r="L41" s="11">
        <v>912.5</v>
      </c>
      <c r="N41" s="39" t="s">
        <v>391</v>
      </c>
      <c r="O41" s="19"/>
      <c r="P41" s="11">
        <v>149</v>
      </c>
      <c r="S41" s="101"/>
      <c r="T41" s="118"/>
      <c r="U41" s="119"/>
      <c r="V41" s="118"/>
      <c r="W41" s="119"/>
      <c r="X41" s="119"/>
    </row>
    <row r="42" spans="1:27">
      <c r="B42" s="39"/>
      <c r="C42" s="20"/>
      <c r="D42" s="11"/>
      <c r="F42" s="39" t="s">
        <v>229</v>
      </c>
      <c r="G42" s="1"/>
      <c r="H42" s="11">
        <v>139.56</v>
      </c>
      <c r="K42" s="1"/>
      <c r="L42" s="11">
        <v>495.75</v>
      </c>
      <c r="M42" s="29"/>
      <c r="N42" s="39" t="s">
        <v>1035</v>
      </c>
      <c r="O42" s="19"/>
      <c r="P42" s="11">
        <v>545</v>
      </c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ref="W42:W44" si="1">U42*V42</f>
        <v>0</v>
      </c>
      <c r="X42" s="119">
        <f t="shared" ref="X42:X44" si="2">S42-W42</f>
        <v>0</v>
      </c>
    </row>
    <row r="43" spans="1:27">
      <c r="B43" s="39"/>
      <c r="C43" s="20"/>
      <c r="D43" s="11"/>
      <c r="F43" s="39"/>
      <c r="G43" s="1"/>
      <c r="H43" s="11"/>
      <c r="K43" s="1">
        <v>1000</v>
      </c>
      <c r="L43" s="11"/>
      <c r="M43" s="29"/>
      <c r="N43" s="39" t="s">
        <v>169</v>
      </c>
      <c r="O43" s="19">
        <v>2500</v>
      </c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"/>
      <c r="L44" s="11">
        <v>184</v>
      </c>
      <c r="N44" s="39"/>
      <c r="O44" s="19"/>
      <c r="P44" s="11"/>
      <c r="Q44" s="29"/>
      <c r="S44" s="101">
        <v>0</v>
      </c>
      <c r="T44" s="118">
        <v>1</v>
      </c>
      <c r="U44" s="119">
        <f t="shared" si="0"/>
        <v>0</v>
      </c>
      <c r="V44" s="118">
        <v>1</v>
      </c>
      <c r="W44" s="119">
        <f t="shared" si="1"/>
        <v>0</v>
      </c>
      <c r="X44" s="119">
        <f t="shared" si="2"/>
        <v>0</v>
      </c>
    </row>
    <row r="45" spans="1:27">
      <c r="B45" s="39"/>
      <c r="C45" s="20"/>
      <c r="D45" s="11"/>
      <c r="H45" s="11"/>
      <c r="K45" s="1"/>
      <c r="L45" s="11"/>
      <c r="N45" s="39"/>
      <c r="O45" s="19"/>
      <c r="P45" s="11"/>
      <c r="Q45" s="8"/>
      <c r="R45" t="s">
        <v>11</v>
      </c>
      <c r="S45" s="2">
        <f>SUM(S37:S44)</f>
        <v>-11959</v>
      </c>
      <c r="X45" s="2">
        <f>SUM(X37:X44)</f>
        <v>-5216.8888888888887</v>
      </c>
    </row>
    <row r="46" spans="1:27">
      <c r="B46" s="39"/>
      <c r="C46" s="20"/>
      <c r="D46" s="11"/>
      <c r="G46" s="1"/>
      <c r="H46" s="11"/>
      <c r="K46" s="1"/>
      <c r="L46" s="11"/>
      <c r="N46" s="39"/>
      <c r="O46" s="19"/>
      <c r="P46" s="11"/>
    </row>
    <row r="47" spans="1:27">
      <c r="B47" s="39"/>
      <c r="C47" s="20"/>
      <c r="D47" s="11"/>
      <c r="H47" s="11"/>
      <c r="K47" s="1"/>
      <c r="L47" s="11"/>
      <c r="N47" s="39"/>
      <c r="O47" s="19"/>
      <c r="P47" s="11"/>
      <c r="Q47" s="33"/>
      <c r="S47" s="2"/>
    </row>
    <row r="48" spans="1:27">
      <c r="B48" s="12"/>
      <c r="C48" s="20"/>
      <c r="D48" s="11"/>
      <c r="E48" s="29"/>
      <c r="H48" s="11"/>
      <c r="K48" s="1"/>
      <c r="L48" s="11"/>
      <c r="N48" s="39"/>
      <c r="O48" s="19"/>
      <c r="P48" s="11"/>
      <c r="S48" s="2"/>
      <c r="Z48">
        <f>1000*(0.2699/365)*15</f>
        <v>11.091780821917807</v>
      </c>
    </row>
    <row r="49" spans="2:28">
      <c r="B49" s="12"/>
      <c r="C49" s="20"/>
      <c r="D49" s="11"/>
      <c r="E49" s="29"/>
      <c r="H49" s="14"/>
      <c r="K49" s="1"/>
      <c r="L49" s="11"/>
      <c r="N49" s="39"/>
      <c r="O49" s="19"/>
      <c r="P49" s="11"/>
      <c r="S49" s="2"/>
    </row>
    <row r="50" spans="2:28">
      <c r="B50" s="12"/>
      <c r="C50" s="20"/>
      <c r="D50" s="11"/>
      <c r="H50" s="11"/>
      <c r="L50" s="11"/>
      <c r="N50" s="39"/>
      <c r="O50" s="19"/>
      <c r="P50" s="11"/>
      <c r="S50" s="2"/>
    </row>
    <row r="51" spans="2:28">
      <c r="B51" s="12"/>
      <c r="C51" s="20"/>
      <c r="D51" s="11"/>
      <c r="E51" s="29"/>
      <c r="H51" s="14"/>
      <c r="L51" s="11"/>
      <c r="M51" s="33"/>
      <c r="N51" s="39"/>
      <c r="O51" s="19"/>
      <c r="P51" s="11"/>
      <c r="S51" s="2"/>
    </row>
    <row r="52" spans="2:28">
      <c r="B52" s="12"/>
      <c r="C52" s="1"/>
      <c r="D52" s="11"/>
      <c r="E52" s="29"/>
      <c r="H52" s="11"/>
      <c r="L52" s="11"/>
      <c r="M52" s="33"/>
      <c r="N52" s="39"/>
      <c r="O52" s="19"/>
      <c r="P52" s="11"/>
      <c r="U52" s="29"/>
    </row>
    <row r="53" spans="2:28">
      <c r="B53" s="12"/>
      <c r="C53" s="1"/>
      <c r="D53" s="11"/>
      <c r="H53" s="14"/>
      <c r="L53" s="11"/>
      <c r="N53" s="39"/>
      <c r="O53" s="19"/>
      <c r="P53" s="11"/>
      <c r="U53" s="2"/>
      <c r="V53" s="2"/>
    </row>
    <row r="54" spans="2:28">
      <c r="B54" s="12"/>
      <c r="C54" s="1"/>
      <c r="D54" s="11"/>
      <c r="S54" s="1"/>
    </row>
    <row r="55" spans="2:28">
      <c r="B55" t="s">
        <v>2</v>
      </c>
      <c r="C55" s="2">
        <f>SUM(C37:C52)</f>
        <v>0</v>
      </c>
      <c r="D55" s="2">
        <f>SUM(D38:D54)</f>
        <v>0</v>
      </c>
      <c r="F55" t="s">
        <v>2</v>
      </c>
      <c r="G55" s="2">
        <f>SUM(G37:G54)</f>
        <v>2.95</v>
      </c>
      <c r="H55" s="2">
        <f>SUM(H37:H53)</f>
        <v>1338.85</v>
      </c>
      <c r="J55" t="s">
        <v>2</v>
      </c>
      <c r="K55" s="2">
        <f>SUM(K37:K52)</f>
        <v>3036.66</v>
      </c>
      <c r="L55" s="2">
        <f>SUM(L37:L51)</f>
        <v>4174.04</v>
      </c>
      <c r="N55" t="s">
        <v>2</v>
      </c>
      <c r="O55" s="2">
        <f>SUM(O37:O54)</f>
        <v>4500</v>
      </c>
      <c r="P55" s="2">
        <f>SUM(P37:P54)</f>
        <v>10963.77</v>
      </c>
      <c r="S55" s="1"/>
      <c r="T55" s="33"/>
      <c r="U55" s="2"/>
      <c r="V55" s="2"/>
    </row>
    <row r="56" spans="2:28">
      <c r="D56" s="2">
        <f>C55-D55</f>
        <v>0</v>
      </c>
      <c r="H56" s="2">
        <f>G55-H55</f>
        <v>-1335.8999999999999</v>
      </c>
      <c r="L56" s="2">
        <f>K55-L55</f>
        <v>-1137.3800000000001</v>
      </c>
      <c r="M56" t="s">
        <v>879</v>
      </c>
      <c r="N56" s="2">
        <f>X38</f>
        <v>0</v>
      </c>
      <c r="P56" s="2">
        <f>O55-P55</f>
        <v>-6463.77</v>
      </c>
      <c r="Q56" t="s">
        <v>1012</v>
      </c>
      <c r="R56" s="2">
        <f>X45</f>
        <v>-5216.8888888888887</v>
      </c>
      <c r="S56" s="1"/>
      <c r="AA56" t="s">
        <v>239</v>
      </c>
      <c r="AB56" s="1">
        <v>10261.049999999999</v>
      </c>
    </row>
    <row r="57" spans="2:28">
      <c r="L57" s="2">
        <f>L56-N56</f>
        <v>-1137.3800000000001</v>
      </c>
      <c r="P57" s="2">
        <f>P56-R56</f>
        <v>-1246.8811111111117</v>
      </c>
      <c r="S57" s="1"/>
      <c r="U57" s="165"/>
      <c r="V57" s="143"/>
      <c r="W57" s="93"/>
      <c r="AA57" t="s">
        <v>240</v>
      </c>
      <c r="AB57" s="1">
        <v>7081.32</v>
      </c>
    </row>
    <row r="58" spans="2:28">
      <c r="B58" t="s">
        <v>282</v>
      </c>
      <c r="R58" s="2"/>
      <c r="S58" s="1"/>
      <c r="AA58" t="s">
        <v>241</v>
      </c>
      <c r="AB58" s="1">
        <f>AB56-AB57</f>
        <v>3179.7299999999996</v>
      </c>
    </row>
    <row r="59" spans="2:28">
      <c r="E59" t="s">
        <v>235</v>
      </c>
      <c r="H59" s="2">
        <v>1166.3399999999999</v>
      </c>
      <c r="L59" s="2">
        <v>1137.3800000000001</v>
      </c>
      <c r="P59" s="2">
        <v>600</v>
      </c>
      <c r="S59" s="1"/>
      <c r="AA59" t="s">
        <v>242</v>
      </c>
      <c r="AB59" s="2">
        <f>AB58/2</f>
        <v>1589.8649999999998</v>
      </c>
    </row>
    <row r="61" spans="2:28">
      <c r="D61" t="s">
        <v>138</v>
      </c>
      <c r="E61" s="34" t="s">
        <v>120</v>
      </c>
      <c r="F61" s="41"/>
      <c r="G61" s="41"/>
      <c r="H61" s="51">
        <v>0</v>
      </c>
      <c r="I61" s="41"/>
      <c r="J61" s="41"/>
      <c r="K61" s="41"/>
      <c r="L61" s="51">
        <v>706.66</v>
      </c>
      <c r="M61" s="41"/>
      <c r="N61" s="41"/>
      <c r="O61" s="41"/>
      <c r="P61" s="51"/>
      <c r="V61" t="s">
        <v>114</v>
      </c>
      <c r="W61" t="s">
        <v>115</v>
      </c>
      <c r="X61" t="s">
        <v>116</v>
      </c>
    </row>
    <row r="62" spans="2:28">
      <c r="E62" s="36" t="s">
        <v>121</v>
      </c>
      <c r="F62" s="22"/>
      <c r="G62" s="22"/>
      <c r="H62" s="43">
        <v>0</v>
      </c>
      <c r="I62" s="22"/>
      <c r="J62" s="22"/>
      <c r="K62" s="22"/>
      <c r="L62" s="43">
        <v>706.66</v>
      </c>
      <c r="M62" s="22"/>
      <c r="N62" s="22"/>
      <c r="O62" s="22"/>
      <c r="P62" s="43"/>
      <c r="Z62" t="s">
        <v>119</v>
      </c>
      <c r="AA62" t="s">
        <v>11</v>
      </c>
    </row>
    <row r="63" spans="2:28">
      <c r="E63" s="37" t="s">
        <v>122</v>
      </c>
      <c r="F63" s="44"/>
      <c r="G63" s="44"/>
      <c r="H63" s="45">
        <f>H61+H59</f>
        <v>1166.3399999999999</v>
      </c>
      <c r="I63" s="44"/>
      <c r="J63" s="44"/>
      <c r="K63" s="44"/>
      <c r="L63" s="45">
        <f>L61+L59</f>
        <v>1844.04</v>
      </c>
      <c r="M63" s="44"/>
      <c r="N63" s="44"/>
      <c r="O63" s="44"/>
      <c r="P63" s="45"/>
      <c r="T63" t="s">
        <v>98</v>
      </c>
      <c r="V63" s="1">
        <f>Z63-Z64</f>
        <v>0</v>
      </c>
      <c r="W63" s="2">
        <f>S64-V63</f>
        <v>2903.7200000000003</v>
      </c>
      <c r="X63" s="2">
        <f>W63/2</f>
        <v>1451.8600000000001</v>
      </c>
      <c r="Z63" s="1">
        <v>2100</v>
      </c>
      <c r="AA63" s="2">
        <f>X65+Z63</f>
        <v>3551.86</v>
      </c>
    </row>
    <row r="64" spans="2:28">
      <c r="E64" s="22"/>
      <c r="F64" s="22"/>
      <c r="G64" s="22"/>
      <c r="H64" s="25"/>
      <c r="I64" s="22"/>
      <c r="J64" s="22"/>
      <c r="K64" s="22"/>
      <c r="L64" s="25"/>
      <c r="M64" s="22"/>
      <c r="N64" s="22"/>
      <c r="O64" s="22"/>
      <c r="P64" s="25"/>
      <c r="S64" s="1">
        <f>ABS(H59+L59+P59)</f>
        <v>2903.7200000000003</v>
      </c>
      <c r="Z64" s="1">
        <v>2100</v>
      </c>
      <c r="AA64" s="2">
        <f>X66+Z64</f>
        <v>3551.86</v>
      </c>
    </row>
    <row r="65" spans="4:26">
      <c r="D65" t="s">
        <v>139</v>
      </c>
      <c r="H65" s="2"/>
      <c r="L65" s="2"/>
      <c r="P65" s="2"/>
      <c r="S65" s="1"/>
      <c r="W65" t="s">
        <v>117</v>
      </c>
      <c r="X65" s="2">
        <f>ABS(X63)</f>
        <v>1451.8600000000001</v>
      </c>
    </row>
    <row r="66" spans="4:26">
      <c r="E66" s="34" t="s">
        <v>169</v>
      </c>
      <c r="F66" s="41"/>
      <c r="G66" s="41"/>
      <c r="H66" s="51"/>
      <c r="I66" s="41"/>
      <c r="J66" s="41"/>
      <c r="K66" s="41"/>
      <c r="L66" s="51"/>
      <c r="M66" s="41"/>
      <c r="N66" s="41"/>
      <c r="O66" s="41"/>
      <c r="P66" s="53"/>
      <c r="W66" t="s">
        <v>118</v>
      </c>
      <c r="X66" s="1">
        <f>V63+ABS(X63)</f>
        <v>1451.8600000000001</v>
      </c>
      <c r="Z66" s="2"/>
    </row>
    <row r="67" spans="4:26">
      <c r="E67" s="36" t="s">
        <v>244</v>
      </c>
      <c r="F67" s="22"/>
      <c r="G67" s="22"/>
      <c r="H67" s="43"/>
      <c r="I67" s="22"/>
      <c r="J67" s="22"/>
      <c r="K67" s="22"/>
      <c r="L67" s="43"/>
      <c r="M67" s="22"/>
      <c r="N67" s="22"/>
      <c r="O67" s="22"/>
      <c r="P67" s="43"/>
      <c r="T67" s="2"/>
    </row>
    <row r="68" spans="4:26">
      <c r="E68" s="37" t="s">
        <v>122</v>
      </c>
      <c r="F68" s="44"/>
      <c r="G68" s="44"/>
      <c r="H68" s="45"/>
      <c r="I68" s="44"/>
      <c r="J68" s="44"/>
      <c r="K68" s="44"/>
      <c r="L68" s="45"/>
      <c r="M68" s="44"/>
      <c r="N68" s="44"/>
      <c r="O68" s="44"/>
      <c r="P68" s="45"/>
    </row>
    <row r="69" spans="4:26">
      <c r="L69" s="60"/>
      <c r="P69" s="27"/>
    </row>
    <row r="70" spans="4:26">
      <c r="X70" s="1"/>
    </row>
    <row r="71" spans="4:26">
      <c r="X71" s="2"/>
    </row>
    <row r="74" spans="4:26">
      <c r="F74" s="2">
        <f>13338.18+H56</f>
        <v>12002.28</v>
      </c>
    </row>
    <row r="83" spans="2:19">
      <c r="S83">
        <f>2032.67*3</f>
        <v>6098.01</v>
      </c>
    </row>
    <row r="88" spans="2:19">
      <c r="B88">
        <f>879+179</f>
        <v>1058</v>
      </c>
    </row>
    <row r="92" spans="2:19">
      <c r="C92">
        <v>5003.9399999999996</v>
      </c>
    </row>
    <row r="93" spans="2:19">
      <c r="C93">
        <v>-950</v>
      </c>
    </row>
    <row r="94" spans="2:19">
      <c r="C94">
        <v>-3349.1</v>
      </c>
    </row>
  </sheetData>
  <mergeCells count="20">
    <mergeCell ref="R10:R12"/>
    <mergeCell ref="V10:V12"/>
    <mergeCell ref="V13:V14"/>
    <mergeCell ref="C36:D36"/>
    <mergeCell ref="G36:H36"/>
    <mergeCell ref="K36:L36"/>
    <mergeCell ref="O36:P36"/>
    <mergeCell ref="V15:V16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6 L56 H33 L33 D56 H56 D33 P33 T33 X33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B94"/>
  <sheetViews>
    <sheetView topLeftCell="F19" workbookViewId="0">
      <selection activeCell="F21" sqref="F21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1048</v>
      </c>
      <c r="X1" s="218"/>
    </row>
    <row r="2" spans="1:24">
      <c r="B2" s="18" t="s">
        <v>0</v>
      </c>
      <c r="C2" s="94">
        <v>39.630000000000003</v>
      </c>
      <c r="D2" s="74"/>
      <c r="E2" s="18"/>
      <c r="F2" s="18" t="s">
        <v>0</v>
      </c>
      <c r="G2" s="75">
        <v>5165.95</v>
      </c>
      <c r="H2" s="74"/>
      <c r="I2" s="18"/>
      <c r="J2" s="18" t="s">
        <v>0</v>
      </c>
      <c r="K2" s="73">
        <v>59077.7</v>
      </c>
      <c r="L2" s="74"/>
      <c r="N2" s="18"/>
      <c r="O2" s="73">
        <v>0</v>
      </c>
      <c r="P2" s="97">
        <v>262</v>
      </c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778.52</v>
      </c>
      <c r="D3" s="11"/>
      <c r="E3" s="76"/>
      <c r="F3" s="39"/>
      <c r="G3" s="20"/>
      <c r="H3" s="11"/>
      <c r="I3" s="18"/>
      <c r="J3" s="18" t="s">
        <v>106</v>
      </c>
      <c r="K3" s="23"/>
      <c r="L3" s="211">
        <v>9001.51</v>
      </c>
      <c r="N3" s="18" t="s">
        <v>986</v>
      </c>
      <c r="O3" s="20">
        <v>1170.79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8332.35</v>
      </c>
      <c r="D4" s="11"/>
      <c r="E4" s="18"/>
      <c r="F4" s="39" t="s">
        <v>919</v>
      </c>
      <c r="G4" s="208">
        <v>1522.9</v>
      </c>
      <c r="H4" s="11"/>
      <c r="I4" s="18"/>
      <c r="J4" s="18" t="s">
        <v>201</v>
      </c>
      <c r="K4" s="23">
        <v>6001.51</v>
      </c>
      <c r="L4" s="77"/>
      <c r="N4" s="18" t="s">
        <v>987</v>
      </c>
      <c r="O4" s="20">
        <v>1338.6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8332.35</v>
      </c>
      <c r="D5" s="11"/>
      <c r="E5" s="18"/>
      <c r="F5" s="39" t="s">
        <v>106</v>
      </c>
      <c r="H5" s="209">
        <v>1000</v>
      </c>
      <c r="I5" s="18"/>
      <c r="J5" s="18" t="s">
        <v>49</v>
      </c>
      <c r="K5" s="20">
        <v>287.17</v>
      </c>
      <c r="L5" s="77"/>
      <c r="N5" s="18" t="s">
        <v>988</v>
      </c>
      <c r="O5" s="20">
        <v>631.47</v>
      </c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 t="s">
        <v>105</v>
      </c>
      <c r="C6" s="210">
        <v>11.94</v>
      </c>
      <c r="D6" s="11"/>
      <c r="E6" s="18"/>
      <c r="F6" s="39" t="s">
        <v>1044</v>
      </c>
      <c r="G6" s="208">
        <v>41.14</v>
      </c>
      <c r="H6" s="11"/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B7" s="39" t="s">
        <v>1047</v>
      </c>
      <c r="C7" s="166"/>
      <c r="D7" s="209">
        <v>41.14</v>
      </c>
      <c r="E7" s="76"/>
      <c r="F7" s="39" t="s">
        <v>1045</v>
      </c>
      <c r="G7" s="208">
        <v>1768.07</v>
      </c>
      <c r="H7" s="11"/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>
        <v>1000</v>
      </c>
      <c r="X7" s="77"/>
    </row>
    <row r="8" spans="1:24">
      <c r="B8" s="39" t="s">
        <v>870</v>
      </c>
      <c r="C8" s="166"/>
      <c r="D8" s="209">
        <v>3000</v>
      </c>
      <c r="E8" s="18"/>
      <c r="F8" s="39" t="s">
        <v>94</v>
      </c>
      <c r="G8" s="20"/>
      <c r="H8" s="209">
        <v>1770</v>
      </c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>
        <v>1000</v>
      </c>
      <c r="X8" s="39"/>
    </row>
    <row r="9" spans="1:24">
      <c r="B9" s="39" t="s">
        <v>201</v>
      </c>
      <c r="C9" s="166"/>
      <c r="D9" s="209">
        <v>3001.56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>
        <v>1000</v>
      </c>
      <c r="X9" s="18"/>
    </row>
    <row r="10" spans="1:24">
      <c r="B10" s="39" t="s">
        <v>998</v>
      </c>
      <c r="C10" s="166"/>
      <c r="D10" s="209">
        <v>1000</v>
      </c>
      <c r="E10" s="138"/>
      <c r="F10" s="39" t="s">
        <v>201</v>
      </c>
      <c r="G10" s="208">
        <v>1500</v>
      </c>
      <c r="H10" s="11"/>
      <c r="I10" s="18"/>
      <c r="J10" s="18"/>
      <c r="K10" s="20"/>
      <c r="L10" s="77"/>
      <c r="N10" s="18"/>
      <c r="O10" s="18"/>
      <c r="P10" s="19"/>
      <c r="R10" s="219" t="s">
        <v>28</v>
      </c>
      <c r="S10" s="19">
        <v>1000</v>
      </c>
      <c r="T10" s="18"/>
      <c r="V10" s="219" t="s">
        <v>908</v>
      </c>
      <c r="W10" s="19">
        <v>1000</v>
      </c>
      <c r="X10" s="18"/>
    </row>
    <row r="11" spans="1:24">
      <c r="B11" s="39" t="s">
        <v>43</v>
      </c>
      <c r="C11" s="166"/>
      <c r="D11" s="24">
        <v>4200</v>
      </c>
      <c r="E11" s="138"/>
      <c r="F11" s="39" t="s">
        <v>1046</v>
      </c>
      <c r="G11" s="20"/>
      <c r="H11" s="209">
        <v>2100</v>
      </c>
      <c r="I11" s="18"/>
      <c r="J11" s="18"/>
      <c r="K11" s="20"/>
      <c r="L11" s="77"/>
      <c r="N11" s="18"/>
      <c r="O11" s="18"/>
      <c r="P11" s="19"/>
      <c r="R11" s="219"/>
      <c r="S11" s="19"/>
      <c r="T11" s="18"/>
      <c r="V11" s="219"/>
      <c r="W11" s="19"/>
      <c r="X11" s="18"/>
    </row>
    <row r="12" spans="1:24">
      <c r="A12" s="198"/>
      <c r="B12" s="39" t="s">
        <v>76</v>
      </c>
      <c r="C12" s="166"/>
      <c r="D12" s="24">
        <v>1200</v>
      </c>
      <c r="E12" s="39"/>
      <c r="F12" s="39" t="s">
        <v>919</v>
      </c>
      <c r="G12" s="20">
        <v>500</v>
      </c>
      <c r="H12" s="11"/>
      <c r="I12" s="18"/>
      <c r="J12" s="18"/>
      <c r="K12" s="20"/>
      <c r="L12" s="77"/>
      <c r="N12" s="18"/>
      <c r="R12" s="219"/>
      <c r="S12" s="19">
        <v>1000</v>
      </c>
      <c r="V12" s="219"/>
      <c r="W12" s="19">
        <v>1000</v>
      </c>
    </row>
    <row r="13" spans="1:24">
      <c r="B13" s="39" t="s">
        <v>1049</v>
      </c>
      <c r="C13" s="166"/>
      <c r="D13" s="209">
        <v>1500</v>
      </c>
      <c r="E13" s="39"/>
      <c r="F13" s="39" t="s">
        <v>919</v>
      </c>
      <c r="G13" s="20">
        <v>800</v>
      </c>
      <c r="H13" s="11"/>
      <c r="I13" s="16"/>
      <c r="J13" s="18"/>
      <c r="K13" s="20"/>
      <c r="L13" s="77"/>
      <c r="N13" s="18"/>
      <c r="V13" s="219" t="s">
        <v>1001</v>
      </c>
      <c r="W13" s="19">
        <v>1000</v>
      </c>
    </row>
    <row r="14" spans="1:24">
      <c r="B14" s="39" t="s">
        <v>1022</v>
      </c>
      <c r="C14" s="166"/>
      <c r="D14" s="209">
        <v>1500</v>
      </c>
      <c r="E14" s="39"/>
      <c r="F14" s="39"/>
      <c r="G14" s="20"/>
      <c r="H14" s="11"/>
      <c r="I14" s="18"/>
      <c r="J14" s="18"/>
      <c r="K14" s="20"/>
      <c r="L14" s="77"/>
      <c r="N14" s="18"/>
      <c r="V14" s="219"/>
      <c r="W14" s="19">
        <v>1000</v>
      </c>
    </row>
    <row r="15" spans="1:24">
      <c r="B15" s="39" t="s">
        <v>1000</v>
      </c>
      <c r="C15" s="166"/>
      <c r="D15" s="209">
        <v>1500</v>
      </c>
      <c r="E15" s="39"/>
      <c r="F15" s="39" t="s">
        <v>1023</v>
      </c>
      <c r="G15" s="20"/>
      <c r="H15" s="11">
        <v>3785.99</v>
      </c>
      <c r="I15" s="18"/>
      <c r="J15" s="18"/>
      <c r="K15" s="20"/>
      <c r="L15" s="77"/>
      <c r="N15" s="18"/>
      <c r="V15" s="219" t="s">
        <v>1030</v>
      </c>
      <c r="W15" s="19">
        <v>1000</v>
      </c>
    </row>
    <row r="16" spans="1:24">
      <c r="B16" s="39" t="s">
        <v>260</v>
      </c>
      <c r="C16" s="166"/>
      <c r="D16" s="24">
        <v>1590</v>
      </c>
      <c r="E16" s="117"/>
      <c r="F16" s="39"/>
      <c r="G16" s="20"/>
      <c r="H16" s="11"/>
      <c r="I16" s="18"/>
      <c r="J16" s="91"/>
      <c r="K16" s="20"/>
      <c r="L16" s="77"/>
      <c r="N16" s="2"/>
      <c r="V16" s="219"/>
      <c r="W16" s="19">
        <v>1000</v>
      </c>
    </row>
    <row r="17" spans="2:27">
      <c r="B17" s="39" t="s">
        <v>1052</v>
      </c>
      <c r="C17" s="156">
        <v>2100</v>
      </c>
      <c r="D17" s="11"/>
      <c r="E17" s="39"/>
      <c r="F17" s="39"/>
      <c r="G17" s="20"/>
      <c r="H17" s="11"/>
      <c r="I17" s="18"/>
      <c r="J17" s="18"/>
      <c r="K17" s="20"/>
      <c r="L17" s="77"/>
      <c r="N17" s="18"/>
    </row>
    <row r="18" spans="2:27">
      <c r="B18" s="39" t="s">
        <v>1053</v>
      </c>
      <c r="C18" s="166"/>
      <c r="D18" s="11">
        <v>285</v>
      </c>
      <c r="E18" s="39"/>
      <c r="F18" s="39"/>
      <c r="G18" s="20"/>
      <c r="H18" s="11"/>
      <c r="I18" s="18"/>
      <c r="J18" s="18"/>
      <c r="K18" s="20"/>
      <c r="L18" s="77"/>
      <c r="M18" s="2"/>
      <c r="N18" s="18"/>
    </row>
    <row r="19" spans="2:27">
      <c r="B19" s="39" t="s">
        <v>476</v>
      </c>
      <c r="C19" s="166"/>
      <c r="D19" s="11">
        <v>240.01</v>
      </c>
      <c r="E19" s="39"/>
      <c r="F19" s="39"/>
      <c r="G19" s="20"/>
      <c r="H19" s="11"/>
      <c r="K19" s="20"/>
      <c r="L19" s="77"/>
      <c r="N19" s="18"/>
    </row>
    <row r="20" spans="2:27">
      <c r="B20" s="39"/>
      <c r="C20" s="166"/>
      <c r="D20" s="11"/>
      <c r="E20" s="96"/>
      <c r="F20" s="186"/>
      <c r="G20" s="20"/>
      <c r="H20" s="11" t="s">
        <v>80</v>
      </c>
      <c r="J20" s="2"/>
      <c r="K20" s="20"/>
      <c r="L20" s="77"/>
      <c r="N20" s="18"/>
    </row>
    <row r="21" spans="2:27">
      <c r="B21" s="39"/>
      <c r="C21" s="166"/>
      <c r="D21" s="11"/>
      <c r="F21" s="39"/>
      <c r="G21" s="20"/>
      <c r="H21" s="11"/>
      <c r="K21" s="20"/>
      <c r="L21" s="77"/>
      <c r="N21" s="18"/>
    </row>
    <row r="22" spans="2:27">
      <c r="B22" s="39"/>
      <c r="C22" s="166"/>
      <c r="D22" s="11"/>
      <c r="F22" s="39"/>
      <c r="G22" s="20"/>
      <c r="H22" s="11"/>
      <c r="L22" s="77"/>
      <c r="N22" s="18"/>
    </row>
    <row r="23" spans="2:27">
      <c r="B23" s="39"/>
      <c r="C23" s="166"/>
      <c r="D23" s="11"/>
      <c r="F23" s="39"/>
      <c r="G23" s="20"/>
      <c r="H23" s="11"/>
      <c r="L23" s="77"/>
      <c r="N23" s="185"/>
      <c r="O23" s="62"/>
      <c r="P23" s="62"/>
    </row>
    <row r="24" spans="2:27">
      <c r="B24" s="39"/>
      <c r="C24" s="166"/>
      <c r="D24" s="11"/>
      <c r="G24" s="20"/>
      <c r="H24" s="11"/>
      <c r="L24" s="77"/>
      <c r="N24" s="18"/>
    </row>
    <row r="25" spans="2:27">
      <c r="B25" s="39"/>
      <c r="C25" s="166"/>
      <c r="D25" s="11"/>
      <c r="G25" s="20"/>
      <c r="H25" s="11"/>
      <c r="L25" s="77"/>
      <c r="N25" s="18"/>
    </row>
    <row r="26" spans="2:27">
      <c r="B26" s="39"/>
      <c r="C26" s="166"/>
      <c r="D26" s="11"/>
      <c r="G26" s="20"/>
      <c r="H26" s="11"/>
      <c r="L26" s="77"/>
      <c r="N26" s="18"/>
    </row>
    <row r="27" spans="2:27">
      <c r="B27" s="39"/>
      <c r="C27" s="166"/>
      <c r="D27" s="11"/>
      <c r="G27" s="20"/>
      <c r="H27" s="11"/>
      <c r="L27" s="77"/>
      <c r="N27" s="185"/>
      <c r="O27" s="62"/>
      <c r="P27" s="62"/>
      <c r="R27" t="s">
        <v>80</v>
      </c>
      <c r="V27" t="s">
        <v>80</v>
      </c>
    </row>
    <row r="28" spans="2:27">
      <c r="B28" s="39"/>
      <c r="C28" s="166"/>
      <c r="D28" s="11"/>
      <c r="G28" s="20"/>
      <c r="H28" s="11"/>
      <c r="L28" s="77"/>
      <c r="N28" s="18"/>
    </row>
    <row r="29" spans="2:27">
      <c r="B29" s="39"/>
      <c r="C29" s="166"/>
      <c r="D29" s="11"/>
      <c r="G29" s="20"/>
      <c r="H29" s="11"/>
      <c r="L29" s="77"/>
      <c r="N29" s="18"/>
    </row>
    <row r="30" spans="2:27" ht="15.75" thickBot="1">
      <c r="B30" s="39"/>
      <c r="C30" s="20"/>
      <c r="D30" s="11"/>
      <c r="G30" s="20"/>
      <c r="H30" s="11"/>
      <c r="L30" s="77"/>
    </row>
    <row r="31" spans="2:27">
      <c r="B31" s="39"/>
      <c r="C31" s="20"/>
      <c r="D31" s="11"/>
      <c r="G31" s="20"/>
      <c r="H31" s="19"/>
      <c r="Y31" t="s">
        <v>899</v>
      </c>
      <c r="AA31" s="179"/>
    </row>
    <row r="32" spans="2:27">
      <c r="B32" t="s">
        <v>2</v>
      </c>
      <c r="C32" s="2">
        <f>SUM(C2:C30)</f>
        <v>19594.789999999997</v>
      </c>
      <c r="D32" s="2">
        <f>SUM(D3:D31)</f>
        <v>19057.71</v>
      </c>
      <c r="F32" t="s">
        <v>2</v>
      </c>
      <c r="G32" s="2">
        <f>SUM(G2:G31)</f>
        <v>11298.060000000001</v>
      </c>
      <c r="H32" s="2">
        <f>SUM(H3:H31)</f>
        <v>8655.99</v>
      </c>
      <c r="J32" t="s">
        <v>2</v>
      </c>
      <c r="K32" s="2">
        <f>SUM(K1:K10)</f>
        <v>65366.38</v>
      </c>
      <c r="L32" s="2">
        <f>SUM(L2:L10)</f>
        <v>9001.51</v>
      </c>
      <c r="N32" t="s">
        <v>2</v>
      </c>
      <c r="O32" s="2">
        <f>SUM(O1:O30)</f>
        <v>3140.8599999999997</v>
      </c>
      <c r="P32" s="2">
        <f>SUM(P2:P30)</f>
        <v>262</v>
      </c>
      <c r="R32" t="s">
        <v>2</v>
      </c>
      <c r="S32" s="2">
        <f>SUM(S1:S15)</f>
        <v>9500</v>
      </c>
      <c r="T32" s="2">
        <f>SUM(T2:T10)</f>
        <v>0</v>
      </c>
      <c r="V32" t="s">
        <v>2</v>
      </c>
      <c r="W32" s="2">
        <f>SUM(W1:W30)</f>
        <v>10000</v>
      </c>
      <c r="X32" s="2">
        <f>SUM(X2:X10)</f>
        <v>0</v>
      </c>
      <c r="AA32" s="177"/>
    </row>
    <row r="33" spans="1:27">
      <c r="D33" s="2">
        <f>C32-D32</f>
        <v>537.07999999999811</v>
      </c>
      <c r="H33" s="2">
        <f>G32-H32</f>
        <v>2642.0700000000015</v>
      </c>
      <c r="L33" s="2">
        <f>K32-L32</f>
        <v>56364.869999999995</v>
      </c>
      <c r="P33" s="2">
        <f>O32-P32</f>
        <v>2878.8599999999997</v>
      </c>
      <c r="T33" s="2">
        <f>S32-T32</f>
        <v>9500</v>
      </c>
      <c r="X33" s="2">
        <f>W32-X32</f>
        <v>10000</v>
      </c>
      <c r="AA33" s="177"/>
    </row>
    <row r="34" spans="1:27">
      <c r="A34">
        <v>1032.8900000000001</v>
      </c>
      <c r="AA34" s="177"/>
    </row>
    <row r="35" spans="1:27">
      <c r="A35" s="2">
        <f>A34-D33</f>
        <v>495.81000000000199</v>
      </c>
      <c r="V35" s="102" t="s">
        <v>1004</v>
      </c>
      <c r="AA35" s="177"/>
    </row>
    <row r="36" spans="1:27" ht="15.75" thickBot="1">
      <c r="C36" s="217" t="s">
        <v>12</v>
      </c>
      <c r="D36" s="217"/>
      <c r="G36" s="217" t="s">
        <v>16</v>
      </c>
      <c r="H36" s="217"/>
      <c r="K36" s="217" t="s">
        <v>77</v>
      </c>
      <c r="L36" s="217"/>
      <c r="O36" s="217" t="s">
        <v>90</v>
      </c>
      <c r="P36" s="217"/>
      <c r="S36" t="s">
        <v>163</v>
      </c>
      <c r="T36" t="s">
        <v>335</v>
      </c>
      <c r="U36" t="s">
        <v>165</v>
      </c>
      <c r="V36" t="s">
        <v>336</v>
      </c>
      <c r="W36" t="s">
        <v>337</v>
      </c>
      <c r="X36" t="s">
        <v>338</v>
      </c>
      <c r="AA36" s="178"/>
    </row>
    <row r="37" spans="1:27">
      <c r="B37" t="s">
        <v>0</v>
      </c>
      <c r="C37" s="3">
        <v>0</v>
      </c>
      <c r="D37" s="4"/>
      <c r="F37" t="s">
        <v>0</v>
      </c>
      <c r="G37" s="3"/>
      <c r="H37" s="183">
        <v>1335.9</v>
      </c>
      <c r="J37" t="s">
        <v>979</v>
      </c>
      <c r="K37" s="3">
        <v>0</v>
      </c>
      <c r="L37" s="168">
        <v>1523.38</v>
      </c>
      <c r="M37" s="33"/>
      <c r="N37" t="s">
        <v>0</v>
      </c>
      <c r="O37" s="3"/>
      <c r="P37" s="168">
        <v>7642.6</v>
      </c>
      <c r="R37" t="s">
        <v>1003</v>
      </c>
      <c r="S37" s="101">
        <v>-5869</v>
      </c>
      <c r="T37" s="118">
        <v>18</v>
      </c>
      <c r="U37" s="119">
        <f t="shared" ref="U37:U44" si="0">S37/T37</f>
        <v>-326.05555555555554</v>
      </c>
      <c r="V37" s="118">
        <v>2</v>
      </c>
      <c r="W37" s="119">
        <f>U37*V37</f>
        <v>-652.11111111111109</v>
      </c>
      <c r="X37" s="119">
        <f>S37-W37</f>
        <v>-5216.8888888888887</v>
      </c>
      <c r="Y37" t="s">
        <v>437</v>
      </c>
    </row>
    <row r="38" spans="1:27">
      <c r="B38" s="39" t="s">
        <v>503</v>
      </c>
      <c r="C38" s="1"/>
      <c r="D38" s="1">
        <v>0</v>
      </c>
      <c r="F38" s="39" t="s">
        <v>857</v>
      </c>
      <c r="G38" s="1"/>
      <c r="H38" s="24">
        <v>40.6</v>
      </c>
      <c r="J38" t="s">
        <v>931</v>
      </c>
      <c r="L38" s="1">
        <v>620</v>
      </c>
      <c r="M38" s="29"/>
      <c r="N38" t="s">
        <v>1002</v>
      </c>
      <c r="O38" s="19"/>
      <c r="P38" s="24">
        <v>3333</v>
      </c>
      <c r="Q38" s="93"/>
      <c r="R38" t="s">
        <v>1005</v>
      </c>
      <c r="S38" s="101">
        <v>-6090</v>
      </c>
      <c r="T38" s="118">
        <v>3</v>
      </c>
      <c r="U38" s="119">
        <f t="shared" si="0"/>
        <v>-2030</v>
      </c>
      <c r="V38" s="118">
        <v>3</v>
      </c>
      <c r="W38" s="119">
        <f>U38*V38</f>
        <v>-6090</v>
      </c>
      <c r="X38" s="119">
        <f>S38-W38</f>
        <v>0</v>
      </c>
    </row>
    <row r="39" spans="1:27">
      <c r="B39" s="39"/>
      <c r="C39" s="1"/>
      <c r="D39" s="11"/>
      <c r="F39" s="39" t="s">
        <v>169</v>
      </c>
      <c r="G39" s="23">
        <v>0</v>
      </c>
      <c r="H39" s="11"/>
      <c r="I39" s="8"/>
      <c r="J39" s="54" t="s">
        <v>169</v>
      </c>
      <c r="K39" s="212">
        <v>300</v>
      </c>
      <c r="L39" s="188"/>
      <c r="N39" t="s">
        <v>1006</v>
      </c>
      <c r="O39" s="27">
        <v>1600</v>
      </c>
      <c r="P39" s="11"/>
      <c r="S39" s="101"/>
      <c r="T39" s="118"/>
      <c r="U39" s="119"/>
      <c r="V39" s="118"/>
      <c r="W39" s="119"/>
      <c r="X39" s="119"/>
    </row>
    <row r="40" spans="1:27">
      <c r="B40" s="39"/>
      <c r="C40" s="1"/>
      <c r="D40" s="11"/>
      <c r="F40" s="39"/>
      <c r="G40" s="1"/>
      <c r="H40" s="11"/>
      <c r="J40" s="189" t="s">
        <v>169</v>
      </c>
      <c r="K40" s="213">
        <v>1590</v>
      </c>
      <c r="L40" s="191"/>
      <c r="N40" s="39" t="s">
        <v>1018</v>
      </c>
      <c r="O40" s="19">
        <v>1000</v>
      </c>
      <c r="P40" s="11"/>
      <c r="Q40" s="29"/>
      <c r="S40" s="101"/>
      <c r="T40" s="118"/>
      <c r="U40" s="119"/>
      <c r="V40" s="118"/>
      <c r="W40" s="119"/>
      <c r="X40" s="119"/>
    </row>
    <row r="41" spans="1:27">
      <c r="B41" s="39"/>
      <c r="C41" s="20"/>
      <c r="D41" s="11"/>
      <c r="F41" s="39"/>
      <c r="G41" s="1"/>
      <c r="H41" s="11"/>
      <c r="J41" s="56" t="s">
        <v>1054</v>
      </c>
      <c r="K41" s="106"/>
      <c r="L41" s="83">
        <v>303</v>
      </c>
      <c r="N41" s="39" t="s">
        <v>1019</v>
      </c>
      <c r="O41" s="19">
        <v>1000</v>
      </c>
      <c r="P41" s="11"/>
      <c r="S41" s="101"/>
      <c r="T41" s="118"/>
      <c r="U41" s="119"/>
      <c r="V41" s="118"/>
      <c r="W41" s="119"/>
      <c r="X41" s="119"/>
    </row>
    <row r="42" spans="1:27">
      <c r="B42" s="39"/>
      <c r="C42" s="20"/>
      <c r="D42" s="11"/>
      <c r="F42" s="39"/>
      <c r="G42" s="1"/>
      <c r="H42" s="11"/>
      <c r="J42" s="39" t="s">
        <v>552</v>
      </c>
      <c r="K42" s="19"/>
      <c r="L42" s="14">
        <v>4.46</v>
      </c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ref="W42:W44" si="1">U42*V42</f>
        <v>0</v>
      </c>
      <c r="X42" s="119">
        <f t="shared" ref="X42:X44" si="2">S42-W42</f>
        <v>0</v>
      </c>
    </row>
    <row r="43" spans="1:27">
      <c r="B43" s="39"/>
      <c r="C43" s="20"/>
      <c r="D43" s="11"/>
      <c r="F43" s="39"/>
      <c r="G43" s="1"/>
      <c r="H43" s="11"/>
      <c r="J43" s="39" t="s">
        <v>165</v>
      </c>
      <c r="K43" s="19">
        <v>350</v>
      </c>
      <c r="L43" s="14"/>
      <c r="M43" s="29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/>
      <c r="O44" s="19"/>
      <c r="P44" s="11"/>
      <c r="Q44" s="29"/>
      <c r="S44" s="101">
        <v>0</v>
      </c>
      <c r="T44" s="118">
        <v>1</v>
      </c>
      <c r="U44" s="119">
        <f t="shared" si="0"/>
        <v>0</v>
      </c>
      <c r="V44" s="118">
        <v>1</v>
      </c>
      <c r="W44" s="119">
        <f t="shared" si="1"/>
        <v>0</v>
      </c>
      <c r="X44" s="119">
        <f t="shared" si="2"/>
        <v>0</v>
      </c>
    </row>
    <row r="45" spans="1:27">
      <c r="B45" s="39"/>
      <c r="C45" s="20"/>
      <c r="D45" s="11"/>
      <c r="H45" s="11"/>
      <c r="K45" s="19"/>
      <c r="L45" s="11"/>
      <c r="N45" s="39"/>
      <c r="O45" s="19"/>
      <c r="P45" s="11"/>
      <c r="Q45" s="8"/>
      <c r="R45" t="s">
        <v>11</v>
      </c>
      <c r="S45" s="2">
        <f>SUM(S37:S44)</f>
        <v>-11959</v>
      </c>
      <c r="X45" s="2">
        <f>SUM(X37:X44)</f>
        <v>-5216.8888888888887</v>
      </c>
    </row>
    <row r="46" spans="1:27">
      <c r="B46" s="39"/>
      <c r="C46" s="20"/>
      <c r="D46" s="11"/>
      <c r="G46" s="1"/>
      <c r="H46" s="11"/>
      <c r="K46" s="19"/>
      <c r="L46" s="11"/>
      <c r="N46" s="39"/>
      <c r="O46" s="19"/>
      <c r="P46" s="11"/>
    </row>
    <row r="47" spans="1:27">
      <c r="B47" s="39"/>
      <c r="C47" s="20"/>
      <c r="D47" s="11"/>
      <c r="H47" s="11"/>
      <c r="K47" s="19"/>
      <c r="L47" s="11"/>
      <c r="N47" s="39"/>
      <c r="O47" s="19"/>
      <c r="P47" s="11"/>
      <c r="Q47" s="33"/>
      <c r="S47" s="2"/>
    </row>
    <row r="48" spans="1:27">
      <c r="B48" s="12"/>
      <c r="C48" s="20"/>
      <c r="D48" s="11"/>
      <c r="E48" s="29"/>
      <c r="H48" s="11"/>
      <c r="K48" s="19"/>
      <c r="L48" s="11"/>
      <c r="N48" s="39"/>
      <c r="O48" s="19"/>
      <c r="P48" s="11"/>
      <c r="S48" s="2"/>
      <c r="Z48">
        <f>1000*(0.2699/365)*15</f>
        <v>11.091780821917807</v>
      </c>
    </row>
    <row r="49" spans="2:28">
      <c r="B49" s="12"/>
      <c r="C49" s="20"/>
      <c r="D49" s="11"/>
      <c r="E49" s="29"/>
      <c r="H49" s="14"/>
      <c r="K49" s="19"/>
      <c r="L49" s="11"/>
      <c r="N49" s="39"/>
      <c r="O49" s="19"/>
      <c r="P49" s="11"/>
      <c r="S49" s="2"/>
    </row>
    <row r="50" spans="2:28">
      <c r="B50" s="12"/>
      <c r="C50" s="20"/>
      <c r="D50" s="11"/>
      <c r="H50" s="11"/>
      <c r="L50" s="11"/>
      <c r="N50" s="39"/>
      <c r="O50" s="19"/>
      <c r="P50" s="11"/>
      <c r="S50" s="2"/>
    </row>
    <row r="51" spans="2:28">
      <c r="B51" s="12"/>
      <c r="C51" s="20"/>
      <c r="D51" s="11"/>
      <c r="E51" s="29"/>
      <c r="H51" s="14"/>
      <c r="L51" s="11"/>
      <c r="M51" s="33"/>
      <c r="N51" s="39"/>
      <c r="O51" s="19"/>
      <c r="P51" s="11"/>
      <c r="S51" s="2"/>
    </row>
    <row r="52" spans="2:28">
      <c r="B52" s="12"/>
      <c r="C52" s="1"/>
      <c r="D52" s="11"/>
      <c r="E52" s="29"/>
      <c r="H52" s="11"/>
      <c r="L52" s="11"/>
      <c r="M52" s="33"/>
      <c r="N52" s="39"/>
      <c r="O52" s="19"/>
      <c r="P52" s="11"/>
      <c r="U52" s="29"/>
    </row>
    <row r="53" spans="2:28">
      <c r="B53" s="12"/>
      <c r="C53" s="1"/>
      <c r="D53" s="11"/>
      <c r="H53" s="14"/>
      <c r="L53" s="11"/>
      <c r="N53" s="39"/>
      <c r="O53" s="19"/>
      <c r="P53" s="11"/>
      <c r="U53" s="2"/>
      <c r="V53" s="2"/>
    </row>
    <row r="54" spans="2:28">
      <c r="B54" s="12"/>
      <c r="C54" s="1"/>
      <c r="D54" s="11"/>
      <c r="S54" s="1"/>
    </row>
    <row r="55" spans="2:28">
      <c r="B55" t="s">
        <v>2</v>
      </c>
      <c r="C55" s="2">
        <f>SUM(C37:C52)</f>
        <v>0</v>
      </c>
      <c r="D55" s="2">
        <f>SUM(D38:D54)</f>
        <v>0</v>
      </c>
      <c r="F55" t="s">
        <v>2</v>
      </c>
      <c r="G55" s="2">
        <f>SUM(G37:G54)</f>
        <v>0</v>
      </c>
      <c r="H55" s="2">
        <f>SUM(H37:H53)</f>
        <v>1376.5</v>
      </c>
      <c r="J55" t="s">
        <v>2</v>
      </c>
      <c r="K55" s="2">
        <f>SUM(K37:K52)</f>
        <v>2240</v>
      </c>
      <c r="L55" s="2">
        <f>SUM(L37:L51)</f>
        <v>2450.84</v>
      </c>
      <c r="N55" t="s">
        <v>2</v>
      </c>
      <c r="O55" s="2">
        <f>SUM(O37:O54)</f>
        <v>3600</v>
      </c>
      <c r="P55" s="2">
        <f>SUM(P37:P54)</f>
        <v>10975.6</v>
      </c>
      <c r="S55" s="1"/>
      <c r="T55" s="33"/>
      <c r="U55" s="2"/>
      <c r="V55" s="2"/>
    </row>
    <row r="56" spans="2:28">
      <c r="D56" s="2">
        <f>C55-D55</f>
        <v>0</v>
      </c>
      <c r="H56" s="2">
        <f>G55-H55</f>
        <v>-1376.5</v>
      </c>
      <c r="L56" s="2">
        <f>K55-L55</f>
        <v>-210.84000000000015</v>
      </c>
      <c r="M56" t="s">
        <v>879</v>
      </c>
      <c r="N56" s="2">
        <f>X38</f>
        <v>0</v>
      </c>
      <c r="P56" s="2">
        <f>O55-P55</f>
        <v>-7375.6</v>
      </c>
      <c r="Q56" t="s">
        <v>1012</v>
      </c>
      <c r="R56" s="2">
        <f>X45</f>
        <v>-5216.8888888888887</v>
      </c>
      <c r="S56" s="1"/>
      <c r="AA56" t="s">
        <v>239</v>
      </c>
      <c r="AB56" s="1">
        <v>10261.049999999999</v>
      </c>
    </row>
    <row r="57" spans="2:28">
      <c r="L57" s="2">
        <f>L56-N56</f>
        <v>-210.84000000000015</v>
      </c>
      <c r="P57" s="2">
        <f>P56-R56</f>
        <v>-2158.7111111111117</v>
      </c>
      <c r="S57" s="1"/>
      <c r="U57" s="165"/>
      <c r="V57" s="143"/>
      <c r="W57" s="93"/>
      <c r="AA57" t="s">
        <v>240</v>
      </c>
      <c r="AB57" s="1">
        <v>7081.32</v>
      </c>
    </row>
    <row r="58" spans="2:28">
      <c r="B58" t="s">
        <v>282</v>
      </c>
      <c r="R58" s="2"/>
      <c r="S58" s="1"/>
      <c r="AA58" t="s">
        <v>241</v>
      </c>
      <c r="AB58" s="1">
        <f>AB56-AB57</f>
        <v>3179.7299999999996</v>
      </c>
    </row>
    <row r="59" spans="2:28">
      <c r="E59" t="s">
        <v>235</v>
      </c>
      <c r="H59" s="2">
        <v>1335.9</v>
      </c>
      <c r="L59" s="2">
        <v>-1843.38</v>
      </c>
      <c r="P59" s="2">
        <v>0</v>
      </c>
      <c r="S59" s="1"/>
      <c r="AA59" t="s">
        <v>242</v>
      </c>
      <c r="AB59" s="2">
        <f>AB58/2</f>
        <v>1589.8649999999998</v>
      </c>
    </row>
    <row r="61" spans="2:28">
      <c r="D61" t="s">
        <v>138</v>
      </c>
      <c r="E61" s="34" t="s">
        <v>120</v>
      </c>
      <c r="F61" s="41"/>
      <c r="G61" s="41"/>
      <c r="H61" s="51">
        <v>0</v>
      </c>
      <c r="I61" s="41"/>
      <c r="J61" s="41"/>
      <c r="K61" s="41"/>
      <c r="L61" s="51">
        <v>1590</v>
      </c>
      <c r="M61" s="41"/>
      <c r="N61" s="41"/>
      <c r="O61" s="41"/>
      <c r="P61" s="51"/>
      <c r="V61" t="s">
        <v>114</v>
      </c>
      <c r="W61" t="s">
        <v>115</v>
      </c>
      <c r="X61" t="s">
        <v>116</v>
      </c>
    </row>
    <row r="62" spans="2:28">
      <c r="E62" s="36" t="s">
        <v>121</v>
      </c>
      <c r="F62" s="22"/>
      <c r="G62" s="22"/>
      <c r="H62" s="43">
        <v>0</v>
      </c>
      <c r="I62" s="22"/>
      <c r="J62" s="22"/>
      <c r="K62" s="22"/>
      <c r="L62" s="43">
        <v>706.66</v>
      </c>
      <c r="M62" s="22"/>
      <c r="N62" s="22"/>
      <c r="O62" s="22"/>
      <c r="P62" s="43"/>
      <c r="Z62" t="s">
        <v>119</v>
      </c>
      <c r="AA62" t="s">
        <v>11</v>
      </c>
    </row>
    <row r="63" spans="2:28">
      <c r="E63" s="37" t="s">
        <v>122</v>
      </c>
      <c r="F63" s="44"/>
      <c r="G63" s="44"/>
      <c r="H63" s="45">
        <f>H61+H59</f>
        <v>1335.9</v>
      </c>
      <c r="I63" s="44"/>
      <c r="J63" s="44"/>
      <c r="K63" s="44"/>
      <c r="L63" s="45">
        <f>L61+L59</f>
        <v>-253.38000000000011</v>
      </c>
      <c r="M63" s="44"/>
      <c r="N63" s="44"/>
      <c r="O63" s="44"/>
      <c r="P63" s="45"/>
      <c r="T63" t="s">
        <v>98</v>
      </c>
      <c r="V63" s="1">
        <f>Z63-Z64</f>
        <v>0</v>
      </c>
      <c r="W63" s="2">
        <f>S64-V63</f>
        <v>507.48</v>
      </c>
      <c r="X63" s="2">
        <f>W63/2</f>
        <v>253.74</v>
      </c>
      <c r="Z63" s="1">
        <v>2100</v>
      </c>
      <c r="AA63" s="2">
        <f>X65+Z63</f>
        <v>2353.7399999999998</v>
      </c>
    </row>
    <row r="64" spans="2:28">
      <c r="E64" s="22"/>
      <c r="F64" s="22"/>
      <c r="G64" s="22"/>
      <c r="H64" s="25"/>
      <c r="I64" s="22"/>
      <c r="J64" s="22"/>
      <c r="K64" s="22"/>
      <c r="L64" s="25"/>
      <c r="M64" s="22"/>
      <c r="N64" s="22"/>
      <c r="O64" s="22"/>
      <c r="P64" s="25"/>
      <c r="S64" s="1">
        <f>ABS(H59+L59+P59)</f>
        <v>507.48</v>
      </c>
      <c r="Z64" s="1">
        <v>2100</v>
      </c>
      <c r="AA64" s="2">
        <f>X66+Z64</f>
        <v>2353.7399999999998</v>
      </c>
    </row>
    <row r="65" spans="4:26">
      <c r="D65" t="s">
        <v>139</v>
      </c>
      <c r="H65" s="2"/>
      <c r="L65" s="2"/>
      <c r="P65" s="2"/>
      <c r="S65" s="1"/>
      <c r="W65" t="s">
        <v>117</v>
      </c>
      <c r="X65" s="2">
        <f>ABS(X63)</f>
        <v>253.74</v>
      </c>
    </row>
    <row r="66" spans="4:26">
      <c r="E66" s="34" t="s">
        <v>169</v>
      </c>
      <c r="F66" s="41"/>
      <c r="G66" s="41"/>
      <c r="H66" s="51"/>
      <c r="I66" s="41"/>
      <c r="J66" s="41"/>
      <c r="K66" s="41"/>
      <c r="L66" s="51"/>
      <c r="M66" s="41"/>
      <c r="N66" s="41"/>
      <c r="O66" s="41"/>
      <c r="P66" s="53"/>
      <c r="W66" t="s">
        <v>118</v>
      </c>
      <c r="X66" s="1">
        <f>V63+ABS(X63)</f>
        <v>253.74</v>
      </c>
      <c r="Z66" s="2"/>
    </row>
    <row r="67" spans="4:26">
      <c r="E67" s="36" t="s">
        <v>244</v>
      </c>
      <c r="F67" s="22"/>
      <c r="G67" s="22"/>
      <c r="H67" s="43"/>
      <c r="I67" s="22"/>
      <c r="J67" s="22"/>
      <c r="K67" s="22"/>
      <c r="L67" s="43"/>
      <c r="M67" s="22"/>
      <c r="N67" s="22"/>
      <c r="O67" s="22"/>
      <c r="P67" s="43"/>
      <c r="T67" s="2"/>
    </row>
    <row r="68" spans="4:26">
      <c r="E68" s="37" t="s">
        <v>122</v>
      </c>
      <c r="F68" s="44"/>
      <c r="G68" s="44"/>
      <c r="H68" s="45"/>
      <c r="I68" s="44"/>
      <c r="J68" s="44"/>
      <c r="K68" s="44"/>
      <c r="L68" s="45"/>
      <c r="M68" s="44"/>
      <c r="N68" s="44"/>
      <c r="O68" s="44"/>
      <c r="P68" s="45"/>
    </row>
    <row r="69" spans="4:26">
      <c r="L69" s="60"/>
      <c r="P69" s="27"/>
    </row>
    <row r="70" spans="4:26">
      <c r="X70" s="1"/>
    </row>
    <row r="71" spans="4:26">
      <c r="X71" s="2"/>
    </row>
    <row r="74" spans="4:26">
      <c r="F74" s="2">
        <f>13338.18+H56</f>
        <v>11961.68</v>
      </c>
    </row>
    <row r="83" spans="2:19">
      <c r="S83">
        <f>2032.67*3</f>
        <v>6098.01</v>
      </c>
    </row>
    <row r="88" spans="2:19">
      <c r="B88">
        <f>879+179</f>
        <v>1058</v>
      </c>
    </row>
    <row r="92" spans="2:19">
      <c r="C92">
        <v>5003.9399999999996</v>
      </c>
    </row>
    <row r="93" spans="2:19">
      <c r="C93">
        <v>-950</v>
      </c>
    </row>
    <row r="94" spans="2:19">
      <c r="C94">
        <v>-3349.1</v>
      </c>
    </row>
  </sheetData>
  <mergeCells count="20">
    <mergeCell ref="V8:V9"/>
    <mergeCell ref="R10:R12"/>
    <mergeCell ref="V10:V12"/>
    <mergeCell ref="V13:V14"/>
    <mergeCell ref="C36:D36"/>
    <mergeCell ref="G36:H36"/>
    <mergeCell ref="K36:L36"/>
    <mergeCell ref="O36:P36"/>
    <mergeCell ref="W1:X1"/>
    <mergeCell ref="V15:V16"/>
    <mergeCell ref="C1:D1"/>
    <mergeCell ref="G1:H1"/>
    <mergeCell ref="K1:L1"/>
    <mergeCell ref="O1:P1"/>
    <mergeCell ref="S1:T1"/>
    <mergeCell ref="V2:V3"/>
    <mergeCell ref="V4:V5"/>
    <mergeCell ref="R6:R7"/>
    <mergeCell ref="V6:V7"/>
    <mergeCell ref="R8:R9"/>
  </mergeCells>
  <conditionalFormatting sqref="P56 L56 H33 L33 D56 H56 D33 P33 T33 X33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B94"/>
  <sheetViews>
    <sheetView topLeftCell="E28" workbookViewId="0">
      <selection activeCell="F14" sqref="F1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1048</v>
      </c>
      <c r="X1" s="218"/>
    </row>
    <row r="2" spans="1:24">
      <c r="B2" s="18" t="s">
        <v>0</v>
      </c>
      <c r="C2" s="94">
        <v>0</v>
      </c>
      <c r="D2" s="74"/>
      <c r="E2" s="18"/>
      <c r="F2" s="18" t="s">
        <v>0</v>
      </c>
      <c r="G2" s="75">
        <v>2999.28</v>
      </c>
      <c r="H2" s="74"/>
      <c r="I2" s="18"/>
      <c r="J2" s="18" t="s">
        <v>0</v>
      </c>
      <c r="K2" s="73">
        <v>56364.87</v>
      </c>
      <c r="L2" s="74"/>
      <c r="N2" s="18"/>
      <c r="O2" s="73">
        <v>0</v>
      </c>
      <c r="P2" s="97">
        <v>262</v>
      </c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773.94</v>
      </c>
      <c r="D3" s="11"/>
      <c r="E3" s="76"/>
      <c r="F3" s="39" t="s">
        <v>94</v>
      </c>
      <c r="G3" s="20"/>
      <c r="H3" s="24">
        <v>499.28</v>
      </c>
      <c r="I3" s="18"/>
      <c r="J3" s="18"/>
      <c r="K3" s="20"/>
      <c r="L3" s="77"/>
      <c r="N3" s="18" t="s">
        <v>986</v>
      </c>
      <c r="O3" s="20">
        <v>1170.79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8315.25</v>
      </c>
      <c r="D4" s="11"/>
      <c r="E4" s="18"/>
      <c r="F4" s="39"/>
      <c r="G4" s="20"/>
      <c r="H4" s="11"/>
      <c r="I4" s="18"/>
      <c r="J4" s="18" t="s">
        <v>201</v>
      </c>
      <c r="K4" s="23">
        <v>5001.76</v>
      </c>
      <c r="L4" s="77"/>
      <c r="N4" s="18" t="s">
        <v>987</v>
      </c>
      <c r="O4" s="20">
        <v>1338.6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8315.25</v>
      </c>
      <c r="D5" s="11"/>
      <c r="E5" s="18"/>
      <c r="F5" s="39"/>
      <c r="G5" s="20"/>
      <c r="H5" s="11"/>
      <c r="I5" s="18"/>
      <c r="J5" s="18" t="s">
        <v>10</v>
      </c>
      <c r="K5" s="23">
        <v>193.62</v>
      </c>
      <c r="L5" s="77"/>
      <c r="N5" s="18" t="s">
        <v>988</v>
      </c>
      <c r="O5" s="20">
        <v>631.47</v>
      </c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 t="s">
        <v>105</v>
      </c>
      <c r="C6" s="210">
        <v>0</v>
      </c>
      <c r="D6" s="11"/>
      <c r="E6" s="18"/>
      <c r="F6" s="39"/>
      <c r="G6" s="20"/>
      <c r="H6" s="11"/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B7" s="39"/>
      <c r="C7" s="166"/>
      <c r="D7" s="11"/>
      <c r="E7" s="76"/>
      <c r="F7" s="39"/>
      <c r="G7" s="20"/>
      <c r="H7" s="11"/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>
        <v>1000</v>
      </c>
      <c r="X7" s="77"/>
    </row>
    <row r="8" spans="1:24">
      <c r="B8" s="39"/>
      <c r="C8" s="166"/>
      <c r="D8" s="11"/>
      <c r="E8" s="18"/>
      <c r="F8" s="39"/>
      <c r="G8" s="20"/>
      <c r="H8" s="11"/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>
        <v>1000</v>
      </c>
      <c r="X8" s="39"/>
    </row>
    <row r="9" spans="1:24">
      <c r="B9" s="39" t="s">
        <v>201</v>
      </c>
      <c r="C9" s="166"/>
      <c r="D9" s="24">
        <v>5001.76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>
        <v>1000</v>
      </c>
      <c r="X9" s="18"/>
    </row>
    <row r="10" spans="1:24">
      <c r="B10" s="39" t="s">
        <v>998</v>
      </c>
      <c r="C10" s="166"/>
      <c r="D10" s="24">
        <v>1000</v>
      </c>
      <c r="E10" s="138"/>
      <c r="F10" s="39"/>
      <c r="G10" s="20"/>
      <c r="H10" s="11"/>
      <c r="I10" s="18"/>
      <c r="J10" s="18"/>
      <c r="K10" s="20"/>
      <c r="L10" s="77"/>
      <c r="N10" s="18"/>
      <c r="O10" s="18"/>
      <c r="P10" s="19"/>
      <c r="R10" s="219" t="s">
        <v>28</v>
      </c>
      <c r="S10" s="19">
        <v>1000</v>
      </c>
      <c r="T10" s="18"/>
      <c r="V10" s="219" t="s">
        <v>908</v>
      </c>
      <c r="W10" s="19">
        <v>1000</v>
      </c>
      <c r="X10" s="18"/>
    </row>
    <row r="11" spans="1:24">
      <c r="B11" s="39" t="s">
        <v>1052</v>
      </c>
      <c r="C11" s="166"/>
      <c r="D11" s="24">
        <v>2100</v>
      </c>
      <c r="E11" s="138"/>
      <c r="F11" s="39"/>
      <c r="G11" s="20"/>
      <c r="H11" s="11"/>
      <c r="I11" s="18"/>
      <c r="J11" s="18"/>
      <c r="K11" s="20"/>
      <c r="L11" s="77"/>
      <c r="N11" s="18"/>
      <c r="O11" s="18"/>
      <c r="P11" s="19"/>
      <c r="R11" s="219"/>
      <c r="S11" s="19"/>
      <c r="T11" s="18"/>
      <c r="V11" s="219"/>
      <c r="W11" s="19"/>
      <c r="X11" s="18"/>
    </row>
    <row r="12" spans="1:24">
      <c r="A12" s="198"/>
      <c r="B12" s="39" t="s">
        <v>76</v>
      </c>
      <c r="C12" s="166"/>
      <c r="D12" s="24">
        <v>1250</v>
      </c>
      <c r="E12" s="39"/>
      <c r="F12" s="39"/>
      <c r="G12" s="20"/>
      <c r="H12" s="11"/>
      <c r="I12" s="18"/>
      <c r="J12" s="18"/>
      <c r="K12" s="20"/>
      <c r="L12" s="77"/>
      <c r="N12" s="18"/>
      <c r="R12" s="219"/>
      <c r="S12" s="19">
        <v>1000</v>
      </c>
      <c r="V12" s="219"/>
      <c r="W12" s="19">
        <v>1000</v>
      </c>
    </row>
    <row r="13" spans="1:24">
      <c r="B13" s="39"/>
      <c r="C13" s="166"/>
      <c r="D13" s="11"/>
      <c r="E13" s="39"/>
      <c r="F13" s="39"/>
      <c r="G13" s="20"/>
      <c r="H13" s="11"/>
      <c r="I13" s="16"/>
      <c r="J13" s="18"/>
      <c r="K13" s="20"/>
      <c r="L13" s="77"/>
      <c r="N13" s="18"/>
      <c r="V13" s="219" t="s">
        <v>1001</v>
      </c>
      <c r="W13" s="19">
        <v>1000</v>
      </c>
    </row>
    <row r="14" spans="1:24">
      <c r="B14" s="39" t="s">
        <v>1022</v>
      </c>
      <c r="C14" s="166"/>
      <c r="D14" s="24">
        <v>1400</v>
      </c>
      <c r="E14" s="39"/>
      <c r="F14" s="39"/>
      <c r="G14" s="20"/>
      <c r="H14" s="11"/>
      <c r="I14" s="18"/>
      <c r="J14" s="18"/>
      <c r="K14" s="20"/>
      <c r="L14" s="77"/>
      <c r="N14" s="18"/>
      <c r="V14" s="219"/>
      <c r="W14" s="19">
        <v>1000</v>
      </c>
    </row>
    <row r="15" spans="1:24">
      <c r="B15" s="39" t="s">
        <v>1000</v>
      </c>
      <c r="C15" s="166"/>
      <c r="D15" s="24">
        <v>1400</v>
      </c>
      <c r="E15" s="39"/>
      <c r="F15" s="39"/>
      <c r="G15" s="20"/>
      <c r="H15" s="11"/>
      <c r="I15" s="18"/>
      <c r="J15" s="18"/>
      <c r="K15" s="20"/>
      <c r="L15" s="77"/>
      <c r="N15" s="18"/>
      <c r="V15" s="219" t="s">
        <v>1030</v>
      </c>
      <c r="W15" s="19">
        <v>1000</v>
      </c>
    </row>
    <row r="16" spans="1:24">
      <c r="B16" s="39" t="s">
        <v>308</v>
      </c>
      <c r="C16" s="166"/>
      <c r="D16" s="24">
        <v>226.51</v>
      </c>
      <c r="E16" s="117"/>
      <c r="F16" s="39"/>
      <c r="G16" s="20"/>
      <c r="H16" s="11"/>
      <c r="I16" s="18"/>
      <c r="J16" s="91"/>
      <c r="K16" s="20"/>
      <c r="L16" s="77"/>
      <c r="N16" s="2"/>
      <c r="V16" s="219"/>
      <c r="W16" s="19">
        <v>1000</v>
      </c>
    </row>
    <row r="17" spans="2:27">
      <c r="B17" s="39" t="s">
        <v>17</v>
      </c>
      <c r="C17" s="166"/>
      <c r="D17" s="24">
        <v>1376.5</v>
      </c>
      <c r="E17" s="39"/>
      <c r="F17" s="39"/>
      <c r="G17" s="20"/>
      <c r="H17" s="11"/>
      <c r="I17" s="18"/>
      <c r="J17" s="18"/>
      <c r="K17" s="20"/>
      <c r="L17" s="77"/>
      <c r="N17" s="18"/>
      <c r="V17" s="219" t="s">
        <v>1051</v>
      </c>
      <c r="W17" s="19">
        <v>1000</v>
      </c>
    </row>
    <row r="18" spans="2:27">
      <c r="B18" s="39"/>
      <c r="C18" s="166"/>
      <c r="D18" s="11"/>
      <c r="E18" s="39"/>
      <c r="F18" s="39"/>
      <c r="G18" s="20"/>
      <c r="H18" s="11"/>
      <c r="I18" s="18"/>
      <c r="J18" s="18"/>
      <c r="K18" s="20"/>
      <c r="L18" s="77"/>
      <c r="M18" s="2"/>
      <c r="N18" s="18"/>
      <c r="V18" s="219"/>
      <c r="W18" s="19">
        <v>0</v>
      </c>
    </row>
    <row r="19" spans="2:27">
      <c r="B19" s="39" t="s">
        <v>1055</v>
      </c>
      <c r="C19" s="166"/>
      <c r="D19" s="24">
        <v>1600</v>
      </c>
      <c r="E19" s="39"/>
      <c r="F19" s="39"/>
      <c r="G19" s="20"/>
      <c r="H19" s="11"/>
      <c r="K19" s="20"/>
      <c r="L19" s="77"/>
      <c r="N19" s="18"/>
    </row>
    <row r="20" spans="2:27">
      <c r="B20" s="39" t="s">
        <v>1056</v>
      </c>
      <c r="C20" s="166"/>
      <c r="D20" s="24">
        <v>1250</v>
      </c>
      <c r="E20" s="96"/>
      <c r="F20" s="186"/>
      <c r="G20" s="20"/>
      <c r="H20" s="11" t="s">
        <v>80</v>
      </c>
      <c r="J20" s="2"/>
      <c r="K20" s="20"/>
      <c r="L20" s="77"/>
      <c r="M20" s="2"/>
      <c r="N20" s="18"/>
    </row>
    <row r="21" spans="2:27">
      <c r="B21" s="39" t="s">
        <v>817</v>
      </c>
      <c r="C21" s="166"/>
      <c r="D21" s="24">
        <v>220</v>
      </c>
      <c r="F21" s="39"/>
      <c r="G21" s="20"/>
      <c r="H21" s="11"/>
      <c r="K21" s="20"/>
      <c r="L21" s="77"/>
      <c r="N21" s="18"/>
    </row>
    <row r="22" spans="2:27">
      <c r="B22" s="39"/>
      <c r="C22" s="166"/>
      <c r="D22" s="11"/>
      <c r="F22" s="39"/>
      <c r="G22" s="20"/>
      <c r="H22" s="11"/>
      <c r="L22" s="77"/>
      <c r="N22" s="18"/>
    </row>
    <row r="23" spans="2:27">
      <c r="B23" s="39"/>
      <c r="C23" s="166"/>
      <c r="D23" s="11"/>
      <c r="F23" s="39"/>
      <c r="G23" s="20"/>
      <c r="H23" s="11"/>
      <c r="L23" s="77"/>
      <c r="N23" s="185"/>
      <c r="O23" s="62"/>
      <c r="P23" s="62"/>
    </row>
    <row r="24" spans="2:27">
      <c r="B24" s="39"/>
      <c r="C24" s="166"/>
      <c r="D24" s="11"/>
      <c r="G24" s="20"/>
      <c r="H24" s="11"/>
      <c r="L24" s="77"/>
      <c r="N24" s="18"/>
    </row>
    <row r="25" spans="2:27">
      <c r="B25" s="39"/>
      <c r="C25" s="166"/>
      <c r="D25" s="11"/>
      <c r="G25" s="20"/>
      <c r="H25" s="11"/>
      <c r="L25" s="77"/>
      <c r="N25" s="18"/>
    </row>
    <row r="26" spans="2:27">
      <c r="B26" s="39"/>
      <c r="C26" s="166"/>
      <c r="D26" s="11"/>
      <c r="G26" s="20"/>
      <c r="H26" s="11"/>
      <c r="L26" s="77"/>
      <c r="N26" s="18"/>
    </row>
    <row r="27" spans="2:27">
      <c r="B27" s="39"/>
      <c r="C27" s="166"/>
      <c r="D27" s="11"/>
      <c r="G27" s="20"/>
      <c r="H27" s="11"/>
      <c r="L27" s="77"/>
      <c r="N27" s="185"/>
      <c r="O27" s="62"/>
      <c r="P27" s="62"/>
      <c r="R27" t="s">
        <v>80</v>
      </c>
      <c r="V27" t="s">
        <v>80</v>
      </c>
    </row>
    <row r="28" spans="2:27">
      <c r="B28" s="39"/>
      <c r="C28" s="166"/>
      <c r="D28" s="11"/>
      <c r="G28" s="20"/>
      <c r="H28" s="11"/>
      <c r="L28" s="77"/>
      <c r="N28" s="18"/>
    </row>
    <row r="29" spans="2:27">
      <c r="B29" s="39"/>
      <c r="C29" s="166"/>
      <c r="D29" s="11"/>
      <c r="G29" s="20"/>
      <c r="H29" s="11"/>
      <c r="L29" s="77"/>
      <c r="N29" s="18"/>
    </row>
    <row r="30" spans="2:27" ht="15.75" thickBot="1">
      <c r="B30" s="39"/>
      <c r="C30" s="20"/>
      <c r="D30" s="11"/>
      <c r="G30" s="20"/>
      <c r="H30" s="11"/>
      <c r="L30" s="77"/>
    </row>
    <row r="31" spans="2:27">
      <c r="B31" s="39"/>
      <c r="C31" s="20"/>
      <c r="D31" s="11"/>
      <c r="G31" s="20"/>
      <c r="H31" s="19"/>
      <c r="Y31" t="s">
        <v>899</v>
      </c>
      <c r="AA31" s="179"/>
    </row>
    <row r="32" spans="2:27">
      <c r="B32" t="s">
        <v>2</v>
      </c>
      <c r="C32" s="2">
        <f>SUM(C2:C30)</f>
        <v>17404.440000000002</v>
      </c>
      <c r="D32" s="2">
        <f>SUM(D3:D31)</f>
        <v>16824.77</v>
      </c>
      <c r="F32" t="s">
        <v>2</v>
      </c>
      <c r="G32" s="2">
        <f>SUM(G2:G31)</f>
        <v>2999.28</v>
      </c>
      <c r="H32" s="2">
        <f>SUM(H3:H31)</f>
        <v>499.28</v>
      </c>
      <c r="J32" t="s">
        <v>2</v>
      </c>
      <c r="K32" s="2">
        <f>SUM(K1:K10)</f>
        <v>61560.250000000007</v>
      </c>
      <c r="L32" s="2">
        <f>SUM(L2:L10)</f>
        <v>0</v>
      </c>
      <c r="N32" t="s">
        <v>2</v>
      </c>
      <c r="O32" s="2">
        <f>SUM(O1:O30)</f>
        <v>3140.8599999999997</v>
      </c>
      <c r="P32" s="2">
        <f>SUM(P2:P30)</f>
        <v>262</v>
      </c>
      <c r="R32" t="s">
        <v>2</v>
      </c>
      <c r="S32" s="2">
        <f>SUM(S1:S15)</f>
        <v>9500</v>
      </c>
      <c r="T32" s="2">
        <f>SUM(T2:T10)</f>
        <v>0</v>
      </c>
      <c r="V32" t="s">
        <v>2</v>
      </c>
      <c r="W32" s="2">
        <f>SUM(W1:W30)</f>
        <v>11000</v>
      </c>
      <c r="X32" s="2">
        <f>SUM(X2:X10)</f>
        <v>0</v>
      </c>
      <c r="AA32" s="177"/>
    </row>
    <row r="33" spans="1:27">
      <c r="D33" s="2">
        <f>C32-D32</f>
        <v>579.67000000000189</v>
      </c>
      <c r="H33" s="2">
        <f>G32-H32</f>
        <v>2500</v>
      </c>
      <c r="L33" s="2">
        <f>K32-L32</f>
        <v>61560.250000000007</v>
      </c>
      <c r="P33" s="2">
        <f>O32-P32</f>
        <v>2878.8599999999997</v>
      </c>
      <c r="T33" s="2">
        <f>S32-T32</f>
        <v>9500</v>
      </c>
      <c r="X33" s="2">
        <f>W32-X32</f>
        <v>11000</v>
      </c>
      <c r="AA33" s="177"/>
    </row>
    <row r="34" spans="1:27">
      <c r="A34">
        <v>1032.8900000000001</v>
      </c>
      <c r="AA34" s="177"/>
    </row>
    <row r="35" spans="1:27">
      <c r="A35" s="2">
        <f>A34-D33</f>
        <v>453.21999999999821</v>
      </c>
      <c r="V35" s="102">
        <v>43330</v>
      </c>
      <c r="AA35" s="177"/>
    </row>
    <row r="36" spans="1:27" ht="15.75" thickBot="1">
      <c r="C36" s="217" t="s">
        <v>12</v>
      </c>
      <c r="D36" s="217"/>
      <c r="G36" s="217" t="s">
        <v>16</v>
      </c>
      <c r="H36" s="217"/>
      <c r="K36" s="217" t="s">
        <v>77</v>
      </c>
      <c r="L36" s="217"/>
      <c r="O36" s="217" t="s">
        <v>90</v>
      </c>
      <c r="P36" s="217"/>
      <c r="S36" t="s">
        <v>163</v>
      </c>
      <c r="T36" t="s">
        <v>335</v>
      </c>
      <c r="U36" t="s">
        <v>165</v>
      </c>
      <c r="V36" t="s">
        <v>336</v>
      </c>
      <c r="W36" t="s">
        <v>337</v>
      </c>
      <c r="X36" t="s">
        <v>338</v>
      </c>
      <c r="AA36" s="178"/>
    </row>
    <row r="37" spans="1:27">
      <c r="B37" t="s">
        <v>0</v>
      </c>
      <c r="C37" s="3">
        <v>0</v>
      </c>
      <c r="D37" s="4"/>
      <c r="F37" t="s">
        <v>0</v>
      </c>
      <c r="G37" s="3"/>
      <c r="H37" s="183">
        <v>1335.9</v>
      </c>
      <c r="J37" t="s">
        <v>979</v>
      </c>
      <c r="K37" s="3">
        <v>0</v>
      </c>
      <c r="L37" s="168">
        <v>226.51</v>
      </c>
      <c r="M37" s="33"/>
      <c r="N37" t="s">
        <v>0</v>
      </c>
      <c r="O37" s="3"/>
      <c r="P37" s="168">
        <v>6863.66</v>
      </c>
      <c r="R37" t="s">
        <v>1003</v>
      </c>
      <c r="S37" s="101">
        <v>-5869</v>
      </c>
      <c r="T37" s="118">
        <v>18</v>
      </c>
      <c r="U37" s="119">
        <f t="shared" ref="U37:U44" si="0">S37/T37</f>
        <v>-326.05555555555554</v>
      </c>
      <c r="V37" s="118">
        <v>3</v>
      </c>
      <c r="W37" s="119">
        <f>U37*V37</f>
        <v>-978.16666666666663</v>
      </c>
      <c r="X37" s="119">
        <f>S37-W37</f>
        <v>-4890.833333333333</v>
      </c>
      <c r="Y37" t="s">
        <v>437</v>
      </c>
    </row>
    <row r="38" spans="1:27">
      <c r="B38" s="39" t="s">
        <v>503</v>
      </c>
      <c r="C38" s="1"/>
      <c r="D38" s="1">
        <v>0</v>
      </c>
      <c r="F38" s="39" t="s">
        <v>857</v>
      </c>
      <c r="G38" s="1"/>
      <c r="H38" s="24">
        <v>40.6</v>
      </c>
      <c r="J38" t="s">
        <v>169</v>
      </c>
      <c r="K38" s="19">
        <v>226.51</v>
      </c>
      <c r="L38" s="11"/>
      <c r="M38" s="29"/>
      <c r="N38" t="s">
        <v>169</v>
      </c>
      <c r="O38" s="19">
        <v>499.28</v>
      </c>
      <c r="P38" s="11"/>
      <c r="Q38" s="93"/>
      <c r="S38" s="101"/>
      <c r="T38" s="118"/>
      <c r="U38" s="119"/>
      <c r="V38" s="118"/>
      <c r="W38" s="119"/>
      <c r="X38" s="119"/>
    </row>
    <row r="39" spans="1:27">
      <c r="B39" s="39"/>
      <c r="C39" s="1"/>
      <c r="D39" s="11"/>
      <c r="F39" s="39" t="s">
        <v>169</v>
      </c>
      <c r="G39" s="23">
        <v>1376.5</v>
      </c>
      <c r="H39" s="11"/>
      <c r="I39" s="8"/>
      <c r="J39" t="s">
        <v>163</v>
      </c>
      <c r="K39" s="19"/>
      <c r="L39" s="11">
        <v>620</v>
      </c>
      <c r="O39" s="19"/>
      <c r="P39" s="11"/>
      <c r="S39" s="101"/>
      <c r="T39" s="118"/>
      <c r="U39" s="119"/>
      <c r="V39" s="118"/>
      <c r="W39" s="119"/>
      <c r="X39" s="119"/>
    </row>
    <row r="40" spans="1:27">
      <c r="B40" s="39"/>
      <c r="C40" s="1"/>
      <c r="D40" s="11"/>
      <c r="F40" s="39"/>
      <c r="G40" s="1"/>
      <c r="H40" s="11"/>
      <c r="K40" s="19"/>
      <c r="L40" s="11"/>
      <c r="N40" s="39"/>
      <c r="O40" s="19"/>
      <c r="P40" s="11"/>
      <c r="Q40" s="29"/>
      <c r="S40" s="101"/>
      <c r="T40" s="118"/>
      <c r="U40" s="119"/>
      <c r="V40" s="118"/>
      <c r="W40" s="119"/>
      <c r="X40" s="119"/>
    </row>
    <row r="41" spans="1:27">
      <c r="B41" s="39"/>
      <c r="C41" s="20"/>
      <c r="D41" s="11"/>
      <c r="F41" s="39"/>
      <c r="G41" s="1"/>
      <c r="H41" s="11"/>
      <c r="K41" s="19"/>
      <c r="L41" s="11"/>
      <c r="N41" s="39"/>
      <c r="O41" s="19"/>
      <c r="P41" s="11"/>
      <c r="S41" s="101"/>
      <c r="T41" s="118"/>
      <c r="U41" s="119"/>
      <c r="V41" s="118"/>
      <c r="W41" s="119"/>
      <c r="X41" s="119"/>
    </row>
    <row r="42" spans="1:27">
      <c r="B42" s="39"/>
      <c r="C42" s="20"/>
      <c r="D42" s="11"/>
      <c r="F42" s="39"/>
      <c r="G42" s="1"/>
      <c r="H42" s="11"/>
      <c r="K42" s="19"/>
      <c r="L42" s="11"/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ref="W42:W44" si="1">U42*V42</f>
        <v>0</v>
      </c>
      <c r="X42" s="119">
        <f t="shared" ref="X42:X44" si="2">S42-W42</f>
        <v>0</v>
      </c>
    </row>
    <row r="43" spans="1:27">
      <c r="B43" s="39"/>
      <c r="C43" s="20"/>
      <c r="D43" s="11"/>
      <c r="F43" s="39"/>
      <c r="G43" s="1"/>
      <c r="H43" s="11"/>
      <c r="K43" s="19"/>
      <c r="L43" s="11"/>
      <c r="M43" s="29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/>
      <c r="O44" s="19"/>
      <c r="P44" s="11"/>
      <c r="Q44" s="29"/>
      <c r="S44" s="101">
        <v>0</v>
      </c>
      <c r="T44" s="118">
        <v>1</v>
      </c>
      <c r="U44" s="119">
        <f t="shared" si="0"/>
        <v>0</v>
      </c>
      <c r="V44" s="118">
        <v>1</v>
      </c>
      <c r="W44" s="119">
        <f t="shared" si="1"/>
        <v>0</v>
      </c>
      <c r="X44" s="119">
        <f t="shared" si="2"/>
        <v>0</v>
      </c>
    </row>
    <row r="45" spans="1:27">
      <c r="B45" s="39"/>
      <c r="C45" s="20"/>
      <c r="D45" s="11"/>
      <c r="H45" s="11"/>
      <c r="K45" s="19"/>
      <c r="L45" s="11"/>
      <c r="N45" s="39"/>
      <c r="O45" s="19"/>
      <c r="P45" s="11"/>
      <c r="Q45" s="8"/>
      <c r="R45" t="s">
        <v>11</v>
      </c>
      <c r="S45" s="2">
        <f>SUM(S37:S44)</f>
        <v>-5869</v>
      </c>
      <c r="X45" s="2">
        <f>SUM(X37:X44)</f>
        <v>-4890.833333333333</v>
      </c>
    </row>
    <row r="46" spans="1:27">
      <c r="B46" s="39"/>
      <c r="C46" s="20"/>
      <c r="D46" s="11"/>
      <c r="G46" s="1"/>
      <c r="H46" s="11"/>
      <c r="K46" s="19"/>
      <c r="L46" s="11"/>
      <c r="N46" s="39"/>
      <c r="O46" s="19"/>
      <c r="P46" s="11"/>
    </row>
    <row r="47" spans="1:27">
      <c r="B47" s="39"/>
      <c r="C47" s="20"/>
      <c r="D47" s="11"/>
      <c r="H47" s="11"/>
      <c r="K47" s="19"/>
      <c r="L47" s="11"/>
      <c r="N47" s="39"/>
      <c r="O47" s="19"/>
      <c r="P47" s="11"/>
      <c r="Q47" s="33"/>
      <c r="S47" s="2"/>
    </row>
    <row r="48" spans="1:27">
      <c r="B48" s="12"/>
      <c r="C48" s="20"/>
      <c r="D48" s="11"/>
      <c r="E48" s="29"/>
      <c r="H48" s="11"/>
      <c r="K48" s="19"/>
      <c r="L48" s="11"/>
      <c r="N48" s="39"/>
      <c r="O48" s="19"/>
      <c r="P48" s="11"/>
      <c r="S48" s="2"/>
      <c r="Z48">
        <f>1000*(0.2699/365)*15</f>
        <v>11.091780821917807</v>
      </c>
    </row>
    <row r="49" spans="2:28">
      <c r="B49" s="12"/>
      <c r="C49" s="20"/>
      <c r="D49" s="11"/>
      <c r="E49" s="29"/>
      <c r="H49" s="14"/>
      <c r="K49" s="19"/>
      <c r="L49" s="11"/>
      <c r="N49" s="39"/>
      <c r="O49" s="19"/>
      <c r="P49" s="11"/>
      <c r="S49" s="2"/>
    </row>
    <row r="50" spans="2:28">
      <c r="B50" s="12"/>
      <c r="C50" s="20"/>
      <c r="D50" s="11"/>
      <c r="H50" s="11"/>
      <c r="L50" s="11"/>
      <c r="N50" s="39"/>
      <c r="O50" s="19"/>
      <c r="P50" s="11"/>
      <c r="S50" s="2"/>
    </row>
    <row r="51" spans="2:28">
      <c r="B51" s="12"/>
      <c r="C51" s="20"/>
      <c r="D51" s="11"/>
      <c r="E51" s="29"/>
      <c r="H51" s="14"/>
      <c r="L51" s="11"/>
      <c r="M51" s="33"/>
      <c r="N51" s="39"/>
      <c r="O51" s="19"/>
      <c r="P51" s="11"/>
      <c r="S51" s="2"/>
    </row>
    <row r="52" spans="2:28">
      <c r="B52" s="12"/>
      <c r="C52" s="1"/>
      <c r="D52" s="11"/>
      <c r="E52" s="29"/>
      <c r="H52" s="11"/>
      <c r="L52" s="11"/>
      <c r="M52" s="33"/>
      <c r="N52" s="39"/>
      <c r="O52" s="19"/>
      <c r="P52" s="11"/>
      <c r="U52" s="29"/>
    </row>
    <row r="53" spans="2:28">
      <c r="B53" s="12"/>
      <c r="C53" s="1"/>
      <c r="D53" s="11"/>
      <c r="H53" s="14"/>
      <c r="L53" s="11"/>
      <c r="N53" s="39"/>
      <c r="O53" s="19"/>
      <c r="P53" s="11"/>
      <c r="U53" s="2"/>
      <c r="V53" s="2"/>
    </row>
    <row r="54" spans="2:28">
      <c r="B54" s="12"/>
      <c r="C54" s="1"/>
      <c r="D54" s="11"/>
      <c r="S54" s="1"/>
    </row>
    <row r="55" spans="2:28">
      <c r="B55" t="s">
        <v>2</v>
      </c>
      <c r="C55" s="2">
        <f>SUM(C37:C52)</f>
        <v>0</v>
      </c>
      <c r="D55" s="2">
        <f>SUM(D38:D54)</f>
        <v>0</v>
      </c>
      <c r="F55" t="s">
        <v>2</v>
      </c>
      <c r="G55" s="2">
        <f>SUM(G37:G54)</f>
        <v>1376.5</v>
      </c>
      <c r="H55" s="2">
        <f>SUM(H37:H53)</f>
        <v>1376.5</v>
      </c>
      <c r="J55" t="s">
        <v>2</v>
      </c>
      <c r="K55" s="2">
        <f>SUM(K37:K52)</f>
        <v>226.51</v>
      </c>
      <c r="L55" s="2">
        <f>SUM(L37:L51)</f>
        <v>846.51</v>
      </c>
      <c r="N55" t="s">
        <v>2</v>
      </c>
      <c r="O55" s="2">
        <f>SUM(O37:O54)</f>
        <v>499.28</v>
      </c>
      <c r="P55" s="2">
        <f>SUM(P37:P54)</f>
        <v>6863.66</v>
      </c>
      <c r="S55" s="1"/>
      <c r="T55" s="33"/>
      <c r="U55" s="2"/>
      <c r="V55" s="2"/>
    </row>
    <row r="56" spans="2:28">
      <c r="D56" s="2">
        <f>C55-D55</f>
        <v>0</v>
      </c>
      <c r="H56" s="2">
        <f>G55-H55</f>
        <v>0</v>
      </c>
      <c r="L56" s="2">
        <f>K55-L55</f>
        <v>-620</v>
      </c>
      <c r="M56" t="s">
        <v>879</v>
      </c>
      <c r="N56" s="2">
        <f>X38</f>
        <v>0</v>
      </c>
      <c r="P56" s="2">
        <f>O55-P55</f>
        <v>-6364.38</v>
      </c>
      <c r="Q56" t="s">
        <v>1012</v>
      </c>
      <c r="R56" s="2">
        <f>X45</f>
        <v>-4890.833333333333</v>
      </c>
      <c r="S56" s="1"/>
      <c r="AA56" t="s">
        <v>239</v>
      </c>
      <c r="AB56" s="1">
        <v>10261.049999999999</v>
      </c>
    </row>
    <row r="57" spans="2:28">
      <c r="L57" s="2">
        <f>L56-N56</f>
        <v>-620</v>
      </c>
      <c r="P57" s="2">
        <f>P56-R56</f>
        <v>-1473.5466666666671</v>
      </c>
      <c r="S57" s="1"/>
      <c r="U57" s="165"/>
      <c r="V57" s="143"/>
      <c r="W57" s="93"/>
      <c r="AA57" t="s">
        <v>240</v>
      </c>
      <c r="AB57" s="1">
        <v>7081.32</v>
      </c>
    </row>
    <row r="58" spans="2:28">
      <c r="B58" t="s">
        <v>282</v>
      </c>
      <c r="R58" s="2"/>
      <c r="S58" s="1"/>
      <c r="AA58" t="s">
        <v>241</v>
      </c>
      <c r="AB58" s="1">
        <f>AB56-AB57</f>
        <v>3179.7299999999996</v>
      </c>
    </row>
    <row r="59" spans="2:28">
      <c r="E59" t="s">
        <v>235</v>
      </c>
      <c r="H59" s="2">
        <v>1335.9</v>
      </c>
      <c r="L59" s="2">
        <v>-1843.38</v>
      </c>
      <c r="P59" s="2">
        <v>0</v>
      </c>
      <c r="S59" s="1"/>
      <c r="AA59" t="s">
        <v>242</v>
      </c>
      <c r="AB59" s="2">
        <f>AB58/2</f>
        <v>1589.8649999999998</v>
      </c>
    </row>
    <row r="61" spans="2:28">
      <c r="D61" t="s">
        <v>138</v>
      </c>
      <c r="E61" s="34" t="s">
        <v>120</v>
      </c>
      <c r="F61" s="41"/>
      <c r="G61" s="41"/>
      <c r="H61" s="51">
        <v>0</v>
      </c>
      <c r="I61" s="41"/>
      <c r="J61" s="41"/>
      <c r="K61" s="41"/>
      <c r="L61" s="51">
        <v>1590</v>
      </c>
      <c r="M61" s="41"/>
      <c r="N61" s="41"/>
      <c r="O61" s="41"/>
      <c r="P61" s="51"/>
      <c r="V61" t="s">
        <v>114</v>
      </c>
      <c r="W61" t="s">
        <v>115</v>
      </c>
      <c r="X61" t="s">
        <v>116</v>
      </c>
    </row>
    <row r="62" spans="2:28">
      <c r="E62" s="36" t="s">
        <v>121</v>
      </c>
      <c r="F62" s="22"/>
      <c r="G62" s="22"/>
      <c r="H62" s="43">
        <v>0</v>
      </c>
      <c r="I62" s="22"/>
      <c r="J62" s="22"/>
      <c r="K62" s="22"/>
      <c r="L62" s="43">
        <v>706.66</v>
      </c>
      <c r="M62" s="22"/>
      <c r="N62" s="22"/>
      <c r="O62" s="22"/>
      <c r="P62" s="43"/>
      <c r="Z62" t="s">
        <v>119</v>
      </c>
      <c r="AA62" t="s">
        <v>11</v>
      </c>
    </row>
    <row r="63" spans="2:28">
      <c r="E63" s="37" t="s">
        <v>122</v>
      </c>
      <c r="F63" s="44"/>
      <c r="G63" s="44"/>
      <c r="H63" s="45">
        <f>H61+H59</f>
        <v>1335.9</v>
      </c>
      <c r="I63" s="44"/>
      <c r="J63" s="44"/>
      <c r="K63" s="44"/>
      <c r="L63" s="45">
        <f>L61+L59</f>
        <v>-253.38000000000011</v>
      </c>
      <c r="M63" s="44"/>
      <c r="N63" s="44"/>
      <c r="O63" s="44"/>
      <c r="P63" s="45"/>
      <c r="T63" t="s">
        <v>98</v>
      </c>
      <c r="V63" s="1">
        <f>Z63-Z64</f>
        <v>0</v>
      </c>
      <c r="W63" s="2">
        <f>S64-V63</f>
        <v>507.48</v>
      </c>
      <c r="X63" s="2">
        <f>W63/2</f>
        <v>253.74</v>
      </c>
      <c r="Z63" s="1">
        <v>2100</v>
      </c>
      <c r="AA63" s="2">
        <f>X65+Z63</f>
        <v>2353.7399999999998</v>
      </c>
    </row>
    <row r="64" spans="2:28">
      <c r="E64" s="22"/>
      <c r="F64" s="22"/>
      <c r="G64" s="22"/>
      <c r="H64" s="25"/>
      <c r="I64" s="22"/>
      <c r="J64" s="22"/>
      <c r="K64" s="22"/>
      <c r="L64" s="25"/>
      <c r="M64" s="22"/>
      <c r="N64" s="22"/>
      <c r="O64" s="22"/>
      <c r="P64" s="25"/>
      <c r="S64" s="1">
        <f>ABS(H59+L59+P59)</f>
        <v>507.48</v>
      </c>
      <c r="Z64" s="1">
        <v>2100</v>
      </c>
      <c r="AA64" s="2">
        <f>X66+Z64</f>
        <v>2353.7399999999998</v>
      </c>
    </row>
    <row r="65" spans="4:26">
      <c r="D65" t="s">
        <v>139</v>
      </c>
      <c r="H65" s="2"/>
      <c r="L65" s="2"/>
      <c r="P65" s="2"/>
      <c r="S65" s="1"/>
      <c r="W65" t="s">
        <v>117</v>
      </c>
      <c r="X65" s="2">
        <f>ABS(X63)</f>
        <v>253.74</v>
      </c>
    </row>
    <row r="66" spans="4:26">
      <c r="E66" s="34" t="s">
        <v>169</v>
      </c>
      <c r="F66" s="41"/>
      <c r="G66" s="41"/>
      <c r="H66" s="51"/>
      <c r="I66" s="41"/>
      <c r="J66" s="41"/>
      <c r="K66" s="41"/>
      <c r="L66" s="51"/>
      <c r="M66" s="41"/>
      <c r="N66" s="41"/>
      <c r="O66" s="41"/>
      <c r="P66" s="53"/>
      <c r="W66" t="s">
        <v>118</v>
      </c>
      <c r="X66" s="1">
        <f>V63+ABS(X63)</f>
        <v>253.74</v>
      </c>
      <c r="Z66" s="2"/>
    </row>
    <row r="67" spans="4:26">
      <c r="E67" s="36" t="s">
        <v>244</v>
      </c>
      <c r="F67" s="22"/>
      <c r="G67" s="22"/>
      <c r="H67" s="43"/>
      <c r="I67" s="22"/>
      <c r="J67" s="22"/>
      <c r="K67" s="22"/>
      <c r="L67" s="43"/>
      <c r="M67" s="22"/>
      <c r="N67" s="22"/>
      <c r="O67" s="22"/>
      <c r="P67" s="43"/>
      <c r="T67" s="2"/>
    </row>
    <row r="68" spans="4:26">
      <c r="E68" s="37" t="s">
        <v>122</v>
      </c>
      <c r="F68" s="44"/>
      <c r="G68" s="44"/>
      <c r="H68" s="45"/>
      <c r="I68" s="44"/>
      <c r="J68" s="44"/>
      <c r="K68" s="44"/>
      <c r="L68" s="45"/>
      <c r="M68" s="44"/>
      <c r="N68" s="44"/>
      <c r="O68" s="44"/>
      <c r="P68" s="45"/>
    </row>
    <row r="69" spans="4:26">
      <c r="L69" s="60"/>
      <c r="P69" s="27"/>
    </row>
    <row r="70" spans="4:26">
      <c r="X70" s="1"/>
    </row>
    <row r="71" spans="4:26">
      <c r="X71" s="2"/>
    </row>
    <row r="74" spans="4:26">
      <c r="F74" s="2">
        <f>13338.18+H56</f>
        <v>13338.18</v>
      </c>
    </row>
    <row r="83" spans="2:19">
      <c r="S83">
        <f>2032.67*3</f>
        <v>6098.01</v>
      </c>
    </row>
    <row r="88" spans="2:19">
      <c r="B88">
        <f>879+179</f>
        <v>1058</v>
      </c>
    </row>
    <row r="92" spans="2:19">
      <c r="C92">
        <v>5003.9399999999996</v>
      </c>
    </row>
    <row r="93" spans="2:19">
      <c r="C93">
        <v>-950</v>
      </c>
    </row>
    <row r="94" spans="2:19">
      <c r="C94">
        <v>-3349.1</v>
      </c>
    </row>
  </sheetData>
  <mergeCells count="21">
    <mergeCell ref="R10:R12"/>
    <mergeCell ref="V10:V12"/>
    <mergeCell ref="V13:V14"/>
    <mergeCell ref="V15:V16"/>
    <mergeCell ref="C36:D36"/>
    <mergeCell ref="G36:H36"/>
    <mergeCell ref="K36:L36"/>
    <mergeCell ref="O36:P36"/>
    <mergeCell ref="V17:V18"/>
    <mergeCell ref="V2:V3"/>
    <mergeCell ref="V4:V5"/>
    <mergeCell ref="R6:R7"/>
    <mergeCell ref="V6:V7"/>
    <mergeCell ref="R8:R9"/>
    <mergeCell ref="V8:V9"/>
    <mergeCell ref="W1:X1"/>
    <mergeCell ref="C1:D1"/>
    <mergeCell ref="G1:H1"/>
    <mergeCell ref="K1:L1"/>
    <mergeCell ref="O1:P1"/>
    <mergeCell ref="S1:T1"/>
  </mergeCells>
  <conditionalFormatting sqref="P56 L56 H33 L33 D56 H56 D33 P33 T33 X33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A64"/>
  <sheetViews>
    <sheetView topLeftCell="C1" workbookViewId="0">
      <selection activeCell="C4" sqref="C4:C5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1.5703125" bestFit="1" customWidth="1"/>
    <col min="19" max="19" width="11.5703125" bestFit="1" customWidth="1"/>
  </cols>
  <sheetData>
    <row r="1" spans="2:16">
      <c r="C1" s="217" t="s">
        <v>6</v>
      </c>
      <c r="D1" s="217"/>
      <c r="G1" s="217" t="s">
        <v>7</v>
      </c>
      <c r="H1" s="217"/>
      <c r="K1" s="218" t="s">
        <v>3</v>
      </c>
      <c r="L1" s="218"/>
    </row>
    <row r="2" spans="2:16">
      <c r="B2" t="s">
        <v>0</v>
      </c>
      <c r="C2" s="3">
        <v>1412.37</v>
      </c>
      <c r="D2" s="4"/>
      <c r="F2" t="s">
        <v>0</v>
      </c>
      <c r="G2" s="28">
        <v>9000</v>
      </c>
      <c r="H2" s="4"/>
      <c r="J2" t="s">
        <v>0</v>
      </c>
      <c r="K2" s="3">
        <f>'Balance Mzo 31'!L20</f>
        <v>83397.16</v>
      </c>
      <c r="L2" s="4"/>
      <c r="N2">
        <v>89510.86</v>
      </c>
    </row>
    <row r="3" spans="2:16">
      <c r="B3" t="s">
        <v>148</v>
      </c>
      <c r="C3" s="1"/>
      <c r="D3" s="24">
        <v>1378.71</v>
      </c>
      <c r="E3" s="29">
        <v>39203</v>
      </c>
      <c r="F3" t="s">
        <v>1</v>
      </c>
      <c r="G3" s="23">
        <v>6361.05</v>
      </c>
      <c r="H3" s="11"/>
      <c r="K3" s="23"/>
      <c r="L3" s="7"/>
      <c r="N3" s="2">
        <f>N2-K2</f>
        <v>6113.6999999999971</v>
      </c>
    </row>
    <row r="4" spans="2:16">
      <c r="B4" t="s">
        <v>39</v>
      </c>
      <c r="C4" s="23">
        <v>633.75</v>
      </c>
      <c r="D4" s="11"/>
      <c r="F4" t="s">
        <v>152</v>
      </c>
      <c r="G4" s="23">
        <v>1000</v>
      </c>
      <c r="H4" s="11"/>
      <c r="J4" t="s">
        <v>37</v>
      </c>
      <c r="K4" s="23">
        <v>801.14</v>
      </c>
      <c r="L4" s="7"/>
    </row>
    <row r="5" spans="2:16">
      <c r="B5" t="s">
        <v>40</v>
      </c>
      <c r="C5" s="23">
        <v>15647.31</v>
      </c>
      <c r="D5" s="11"/>
      <c r="F5" t="s">
        <v>9</v>
      </c>
      <c r="G5" s="20"/>
      <c r="H5" s="24">
        <v>6361.05</v>
      </c>
      <c r="J5" t="s">
        <v>147</v>
      </c>
      <c r="K5" s="1">
        <v>500</v>
      </c>
      <c r="L5" s="7"/>
    </row>
    <row r="6" spans="2:16">
      <c r="B6" t="s">
        <v>1</v>
      </c>
      <c r="C6" s="1"/>
      <c r="D6" s="24">
        <v>6361.05</v>
      </c>
      <c r="F6" t="s">
        <v>177</v>
      </c>
      <c r="G6" s="23">
        <v>1270.72</v>
      </c>
      <c r="H6" s="11"/>
      <c r="K6" s="1"/>
      <c r="L6" s="7"/>
    </row>
    <row r="7" spans="2:16">
      <c r="B7" t="s">
        <v>149</v>
      </c>
      <c r="C7" s="1"/>
      <c r="D7" s="24">
        <v>589.47</v>
      </c>
      <c r="E7" s="29"/>
      <c r="F7" t="s">
        <v>153</v>
      </c>
      <c r="G7" s="23">
        <v>800</v>
      </c>
      <c r="H7" s="11"/>
      <c r="K7" s="1"/>
      <c r="L7" s="7"/>
      <c r="P7" s="2"/>
    </row>
    <row r="8" spans="2:16">
      <c r="B8" s="54" t="s">
        <v>150</v>
      </c>
      <c r="C8" s="55"/>
      <c r="D8" s="58">
        <v>1599.33</v>
      </c>
      <c r="F8" t="s">
        <v>187</v>
      </c>
      <c r="G8" s="20">
        <v>2000</v>
      </c>
      <c r="H8" s="11"/>
      <c r="K8" s="1"/>
      <c r="L8" s="22"/>
    </row>
    <row r="9" spans="2:16">
      <c r="B9" s="56" t="s">
        <v>151</v>
      </c>
      <c r="C9" s="57"/>
      <c r="D9" s="61">
        <v>1270.72</v>
      </c>
      <c r="F9" t="s">
        <v>94</v>
      </c>
      <c r="G9" s="20"/>
      <c r="H9" s="11">
        <v>4070.72</v>
      </c>
    </row>
    <row r="10" spans="2:16">
      <c r="B10" s="39" t="s">
        <v>152</v>
      </c>
      <c r="D10" s="24">
        <v>1000</v>
      </c>
      <c r="E10" s="29"/>
      <c r="G10" s="20"/>
      <c r="H10" s="11"/>
    </row>
    <row r="11" spans="2:16">
      <c r="B11" s="39" t="s">
        <v>76</v>
      </c>
      <c r="D11" s="24">
        <v>300</v>
      </c>
      <c r="G11" s="20"/>
      <c r="H11" s="11"/>
    </row>
    <row r="12" spans="2:16">
      <c r="B12" s="39" t="s">
        <v>12</v>
      </c>
      <c r="D12" s="24">
        <v>400</v>
      </c>
      <c r="F12" t="s">
        <v>80</v>
      </c>
      <c r="G12" s="20"/>
      <c r="H12" s="11"/>
    </row>
    <row r="13" spans="2:16">
      <c r="B13" s="39" t="s">
        <v>153</v>
      </c>
      <c r="D13" s="24">
        <v>800</v>
      </c>
      <c r="G13" s="20"/>
      <c r="H13" s="11"/>
    </row>
    <row r="14" spans="2:16">
      <c r="B14" s="39" t="s">
        <v>182</v>
      </c>
      <c r="C14" s="1">
        <v>622</v>
      </c>
      <c r="D14" s="11"/>
      <c r="G14" s="20"/>
      <c r="H14" s="11"/>
    </row>
    <row r="15" spans="2:16">
      <c r="B15" s="39" t="s">
        <v>106</v>
      </c>
      <c r="D15" s="24">
        <v>1500</v>
      </c>
      <c r="G15" s="20"/>
      <c r="H15" s="11"/>
    </row>
    <row r="16" spans="2:16">
      <c r="B16" s="39" t="s">
        <v>155</v>
      </c>
      <c r="D16" s="24">
        <v>402.31</v>
      </c>
      <c r="G16" s="20"/>
      <c r="H16" s="11"/>
    </row>
    <row r="17" spans="2:21">
      <c r="B17" s="39" t="s">
        <v>183</v>
      </c>
      <c r="C17" s="1">
        <v>1400</v>
      </c>
      <c r="D17" s="11"/>
      <c r="G17" s="20"/>
      <c r="H17" s="11"/>
    </row>
    <row r="18" spans="2:21">
      <c r="B18" s="39" t="s">
        <v>184</v>
      </c>
      <c r="C18" s="1">
        <v>464.18</v>
      </c>
      <c r="D18" s="11"/>
      <c r="G18" s="20"/>
      <c r="H18" s="11"/>
    </row>
    <row r="19" spans="2:21">
      <c r="B19" s="39" t="s">
        <v>185</v>
      </c>
      <c r="C19" s="1"/>
      <c r="D19" s="11">
        <v>2000</v>
      </c>
      <c r="G19" s="20"/>
      <c r="H19" s="11"/>
    </row>
    <row r="20" spans="2:21">
      <c r="B20" s="39" t="s">
        <v>186</v>
      </c>
      <c r="C20" s="1"/>
      <c r="D20" s="11">
        <v>220</v>
      </c>
      <c r="G20" s="20"/>
      <c r="H20" s="19"/>
    </row>
    <row r="21" spans="2:21">
      <c r="B21" s="39" t="s">
        <v>191</v>
      </c>
      <c r="C21" s="1">
        <v>78.42</v>
      </c>
      <c r="D21" s="11"/>
      <c r="G21" s="20"/>
      <c r="H21" s="19"/>
    </row>
    <row r="22" spans="2:21">
      <c r="B22" s="39" t="s">
        <v>105</v>
      </c>
      <c r="C22" s="1">
        <v>15.721</v>
      </c>
      <c r="D22" s="11"/>
      <c r="G22" s="20"/>
      <c r="H22" s="19"/>
    </row>
    <row r="23" spans="2:21">
      <c r="B23" s="39" t="s">
        <v>192</v>
      </c>
      <c r="C23" s="1"/>
      <c r="D23" s="11">
        <v>988.48</v>
      </c>
      <c r="G23" s="20"/>
      <c r="H23" s="19"/>
    </row>
    <row r="24" spans="2:21">
      <c r="B24" t="s">
        <v>2</v>
      </c>
      <c r="C24" s="2">
        <f>SUM(C2:C23)</f>
        <v>20273.751</v>
      </c>
      <c r="D24" s="2">
        <f>SUM(D3:D23)</f>
        <v>18810.069999999996</v>
      </c>
      <c r="F24" t="s">
        <v>2</v>
      </c>
      <c r="G24" s="2">
        <f>SUM(G2:G11)</f>
        <v>20431.77</v>
      </c>
      <c r="H24" s="2">
        <f>SUM(H3:H11)</f>
        <v>10431.77</v>
      </c>
      <c r="J24" t="s">
        <v>2</v>
      </c>
      <c r="K24" s="2">
        <f>SUM(K1:K10)</f>
        <v>84698.3</v>
      </c>
      <c r="L24" s="2">
        <f>SUM(L2:L10)</f>
        <v>0</v>
      </c>
    </row>
    <row r="25" spans="2:21">
      <c r="D25" s="2">
        <f>C24-D24</f>
        <v>1463.6810000000041</v>
      </c>
      <c r="H25" s="2">
        <f>G24-H24</f>
        <v>10000</v>
      </c>
      <c r="L25" s="2">
        <f>K24-L24</f>
        <v>84698.3</v>
      </c>
    </row>
    <row r="28" spans="2:21">
      <c r="C28" s="217" t="s">
        <v>12</v>
      </c>
      <c r="D28" s="217"/>
      <c r="G28" s="217" t="s">
        <v>16</v>
      </c>
      <c r="H28" s="217"/>
      <c r="K28" s="217" t="s">
        <v>77</v>
      </c>
      <c r="L28" s="217"/>
      <c r="O28" s="217" t="s">
        <v>90</v>
      </c>
      <c r="P28" s="217"/>
      <c r="S28" t="s">
        <v>163</v>
      </c>
      <c r="T28" t="s">
        <v>164</v>
      </c>
      <c r="U28" t="s">
        <v>165</v>
      </c>
    </row>
    <row r="29" spans="2:21">
      <c r="B29" t="s">
        <v>0</v>
      </c>
      <c r="C29" s="3">
        <v>1500</v>
      </c>
      <c r="D29" s="4"/>
      <c r="F29" t="s">
        <v>0</v>
      </c>
      <c r="G29" s="3">
        <v>-589.47</v>
      </c>
      <c r="H29" s="4"/>
      <c r="J29" t="s">
        <v>0</v>
      </c>
      <c r="K29" s="3">
        <v>-1818.28</v>
      </c>
      <c r="L29" s="4"/>
      <c r="M29" s="33"/>
      <c r="N29" t="s">
        <v>0</v>
      </c>
      <c r="O29" s="3">
        <v>-1270.72</v>
      </c>
      <c r="P29" s="4"/>
      <c r="S29" s="1">
        <v>-4998</v>
      </c>
      <c r="T29">
        <v>18</v>
      </c>
      <c r="U29" s="2">
        <f>S29/T29</f>
        <v>-277.66666666666669</v>
      </c>
    </row>
    <row r="30" spans="2:21">
      <c r="B30" t="s">
        <v>154</v>
      </c>
      <c r="C30">
        <v>300</v>
      </c>
      <c r="F30" t="s">
        <v>167</v>
      </c>
      <c r="G30" s="20"/>
      <c r="H30" s="11">
        <v>166.8</v>
      </c>
      <c r="J30" t="s">
        <v>178</v>
      </c>
      <c r="K30" s="1"/>
      <c r="L30" s="11">
        <v>320</v>
      </c>
      <c r="M30" s="29"/>
      <c r="N30" t="s">
        <v>158</v>
      </c>
      <c r="O30" s="23"/>
      <c r="P30" s="11">
        <v>149</v>
      </c>
      <c r="S30" s="1">
        <v>-3144</v>
      </c>
      <c r="T30">
        <v>6</v>
      </c>
      <c r="U30" s="2">
        <f>S30/T30</f>
        <v>-524</v>
      </c>
    </row>
    <row r="31" spans="2:21">
      <c r="B31" t="s">
        <v>76</v>
      </c>
      <c r="C31" s="20"/>
      <c r="D31" s="11">
        <v>900</v>
      </c>
      <c r="F31" t="s">
        <v>18</v>
      </c>
      <c r="G31" s="20"/>
      <c r="H31" s="11">
        <v>701</v>
      </c>
      <c r="J31" s="12" t="s">
        <v>179</v>
      </c>
      <c r="K31" s="21"/>
      <c r="L31" s="32">
        <v>100</v>
      </c>
      <c r="N31" s="12" t="s">
        <v>159</v>
      </c>
      <c r="O31" s="21"/>
      <c r="P31" s="11">
        <v>74</v>
      </c>
    </row>
    <row r="32" spans="2:21">
      <c r="B32" t="s">
        <v>156</v>
      </c>
      <c r="D32" s="11">
        <v>400</v>
      </c>
      <c r="F32" s="12" t="s">
        <v>171</v>
      </c>
      <c r="G32" s="21"/>
      <c r="H32" s="11">
        <v>47.86</v>
      </c>
      <c r="J32" s="12" t="s">
        <v>165</v>
      </c>
      <c r="K32" s="21">
        <v>1599.33</v>
      </c>
      <c r="L32" s="32"/>
      <c r="N32" t="s">
        <v>160</v>
      </c>
      <c r="O32" s="1"/>
      <c r="P32" s="11">
        <v>1999.99</v>
      </c>
      <c r="S32" s="2"/>
    </row>
    <row r="33" spans="2:24">
      <c r="B33" t="s">
        <v>157</v>
      </c>
      <c r="C33" s="20"/>
      <c r="D33" s="11">
        <v>500</v>
      </c>
      <c r="F33" t="s">
        <v>20</v>
      </c>
      <c r="G33" s="20"/>
      <c r="H33" s="11">
        <v>99</v>
      </c>
      <c r="J33" t="s">
        <v>188</v>
      </c>
      <c r="K33" s="20">
        <v>220</v>
      </c>
      <c r="L33" s="11"/>
      <c r="N33" t="s">
        <v>161</v>
      </c>
      <c r="O33" s="1">
        <v>2000</v>
      </c>
      <c r="P33" s="11"/>
    </row>
    <row r="34" spans="2:24">
      <c r="B34" s="12"/>
      <c r="C34" s="20"/>
      <c r="D34" s="11"/>
      <c r="F34" t="s">
        <v>172</v>
      </c>
      <c r="G34" s="20"/>
      <c r="H34" s="11">
        <v>50</v>
      </c>
      <c r="K34" s="1"/>
      <c r="L34" s="11"/>
      <c r="M34" s="29"/>
      <c r="N34" t="s">
        <v>162</v>
      </c>
      <c r="O34" s="1"/>
      <c r="P34" s="11">
        <v>3460.88</v>
      </c>
      <c r="Q34" s="29"/>
    </row>
    <row r="35" spans="2:24">
      <c r="C35" s="20"/>
      <c r="D35" s="11"/>
      <c r="F35" s="31"/>
      <c r="G35" s="12"/>
      <c r="H35" s="14"/>
      <c r="K35" s="1"/>
      <c r="L35" s="11"/>
      <c r="M35" s="29"/>
      <c r="N35" t="s">
        <v>153</v>
      </c>
      <c r="O35">
        <v>800</v>
      </c>
      <c r="P35" s="11"/>
      <c r="Q35" s="29"/>
    </row>
    <row r="36" spans="2:24">
      <c r="B36" s="12"/>
      <c r="C36" s="20"/>
      <c r="D36" s="11"/>
      <c r="F36" s="30" t="s">
        <v>168</v>
      </c>
      <c r="H36" s="11">
        <v>119.96</v>
      </c>
      <c r="L36" s="11"/>
      <c r="N36" t="s">
        <v>166</v>
      </c>
      <c r="O36">
        <v>1270.72</v>
      </c>
    </row>
    <row r="37" spans="2:24">
      <c r="B37" s="12"/>
      <c r="C37" s="20"/>
      <c r="D37" s="11"/>
      <c r="F37" s="31" t="s">
        <v>173</v>
      </c>
      <c r="G37" s="12"/>
      <c r="H37" s="14">
        <v>338.25</v>
      </c>
      <c r="L37" s="11"/>
      <c r="N37" t="s">
        <v>189</v>
      </c>
      <c r="O37" s="19">
        <v>2000</v>
      </c>
      <c r="R37" t="s">
        <v>0</v>
      </c>
      <c r="S37" s="2">
        <f>S29+S30+P48-U30-U29</f>
        <v>-8539.9933333333338</v>
      </c>
    </row>
    <row r="38" spans="2:24">
      <c r="B38" s="12"/>
      <c r="C38" s="20"/>
      <c r="D38" s="11"/>
      <c r="F38" s="31" t="s">
        <v>174</v>
      </c>
      <c r="G38" s="12"/>
      <c r="H38" s="14">
        <v>158</v>
      </c>
      <c r="L38" s="11"/>
      <c r="O38" s="19"/>
      <c r="S38" s="2"/>
    </row>
    <row r="39" spans="2:24">
      <c r="B39" s="12"/>
      <c r="C39" s="20"/>
      <c r="D39" s="11"/>
      <c r="F39" s="31" t="s">
        <v>175</v>
      </c>
      <c r="G39" s="12"/>
      <c r="H39" s="14">
        <v>138</v>
      </c>
      <c r="L39" s="11"/>
      <c r="N39" t="s">
        <v>181</v>
      </c>
      <c r="O39" s="19"/>
      <c r="S39" s="2"/>
    </row>
    <row r="40" spans="2:24">
      <c r="B40" s="12"/>
      <c r="C40" s="20"/>
      <c r="D40" s="11"/>
      <c r="F40" s="31" t="s">
        <v>176</v>
      </c>
      <c r="G40" s="12"/>
      <c r="H40" s="14">
        <v>42.48</v>
      </c>
      <c r="L40" s="11"/>
      <c r="N40" t="s">
        <v>190</v>
      </c>
      <c r="O40" s="19"/>
      <c r="P40">
        <v>315.79000000000002</v>
      </c>
      <c r="S40" s="2"/>
      <c r="X40">
        <f>4070.72+883.87</f>
        <v>4954.59</v>
      </c>
    </row>
    <row r="41" spans="2:24">
      <c r="B41" s="12"/>
      <c r="C41" s="20"/>
      <c r="D41" s="11"/>
      <c r="F41" s="31" t="s">
        <v>176</v>
      </c>
      <c r="G41" s="12"/>
      <c r="H41" s="14">
        <v>127.43</v>
      </c>
      <c r="L41" s="11"/>
      <c r="S41" s="2"/>
    </row>
    <row r="42" spans="2:24">
      <c r="B42" s="12"/>
      <c r="C42" s="20"/>
      <c r="D42" s="11"/>
      <c r="F42" s="30"/>
      <c r="H42" s="11"/>
      <c r="L42" s="11"/>
    </row>
    <row r="43" spans="2:24">
      <c r="B43" s="12"/>
      <c r="C43" s="18"/>
      <c r="D43" s="11"/>
      <c r="F43" s="31" t="s">
        <v>169</v>
      </c>
      <c r="G43" s="12">
        <v>589.47</v>
      </c>
      <c r="H43" s="14"/>
      <c r="L43" s="11"/>
      <c r="M43" s="33"/>
    </row>
    <row r="44" spans="2:24">
      <c r="B44" s="12"/>
      <c r="D44" s="11"/>
      <c r="F44" s="30" t="s">
        <v>170</v>
      </c>
      <c r="G44" s="62">
        <v>47.43</v>
      </c>
      <c r="H44" s="63">
        <v>47.43</v>
      </c>
      <c r="L44" s="11"/>
      <c r="M44" s="33"/>
    </row>
    <row r="45" spans="2:24">
      <c r="B45" s="12"/>
      <c r="D45" s="11"/>
      <c r="F45" s="31"/>
      <c r="H45" s="14"/>
      <c r="L45" s="11"/>
    </row>
    <row r="46" spans="2:24">
      <c r="B46" s="12"/>
      <c r="D46" s="11"/>
    </row>
    <row r="47" spans="2:24">
      <c r="B47" t="s">
        <v>2</v>
      </c>
      <c r="C47" s="2">
        <f>SUM(C29:C44)</f>
        <v>1800</v>
      </c>
      <c r="D47" s="2">
        <f>SUM(D31:D46)</f>
        <v>1800</v>
      </c>
      <c r="F47" t="s">
        <v>2</v>
      </c>
      <c r="G47" s="2">
        <f>SUM(G29:G44)</f>
        <v>47.43</v>
      </c>
      <c r="H47" s="2">
        <f>SUM(H29:H45)</f>
        <v>2036.21</v>
      </c>
      <c r="J47" t="s">
        <v>2</v>
      </c>
      <c r="K47" s="2">
        <f>SUM(K29:K44)</f>
        <v>1.0499999999999545</v>
      </c>
      <c r="L47" s="2">
        <f>SUM(L29:L45)</f>
        <v>420</v>
      </c>
      <c r="N47" t="s">
        <v>2</v>
      </c>
      <c r="O47" s="2">
        <f>SUM(O29:O43)</f>
        <v>4800</v>
      </c>
      <c r="P47" s="2">
        <f>SUM(P29:P43)</f>
        <v>5999.66</v>
      </c>
    </row>
    <row r="48" spans="2:24">
      <c r="D48" s="2">
        <f>C47-D47</f>
        <v>0</v>
      </c>
      <c r="H48" s="2">
        <f>G47-H47</f>
        <v>-1988.78</v>
      </c>
      <c r="L48" s="2">
        <f>K47-L47</f>
        <v>-418.95000000000005</v>
      </c>
      <c r="P48" s="2">
        <f>O47-P47</f>
        <v>-1199.6599999999999</v>
      </c>
      <c r="R48" s="2">
        <f>P48-H48</f>
        <v>789.12000000000012</v>
      </c>
    </row>
    <row r="51" spans="4:27">
      <c r="V51" t="s">
        <v>114</v>
      </c>
      <c r="W51" t="s">
        <v>115</v>
      </c>
      <c r="X51" t="s">
        <v>116</v>
      </c>
    </row>
    <row r="52" spans="4:27">
      <c r="E52" s="2"/>
    </row>
    <row r="53" spans="4:27">
      <c r="D53" s="2"/>
      <c r="E53" t="s">
        <v>96</v>
      </c>
      <c r="H53" s="1">
        <v>-1700</v>
      </c>
      <c r="L53" s="1">
        <v>-1700</v>
      </c>
      <c r="P53" s="1">
        <v>-240</v>
      </c>
      <c r="S53" s="1">
        <f>H53+L53+P53</f>
        <v>-3640</v>
      </c>
      <c r="T53" t="s">
        <v>98</v>
      </c>
      <c r="V53" s="1">
        <v>2461.0500000000002</v>
      </c>
      <c r="W53" s="2">
        <f>S53--V53</f>
        <v>-1178.9499999999998</v>
      </c>
      <c r="X53" s="2">
        <f>W53/2</f>
        <v>-589.47499999999991</v>
      </c>
    </row>
    <row r="54" spans="4:27">
      <c r="E54" t="s">
        <v>97</v>
      </c>
      <c r="H54" s="2">
        <f>G29-H53</f>
        <v>1110.53</v>
      </c>
      <c r="L54" s="2">
        <f>K29-(L53-K30+L31)</f>
        <v>-218.27999999999997</v>
      </c>
      <c r="P54" s="2">
        <f>O29-P53-P33</f>
        <v>-1030.72</v>
      </c>
      <c r="S54" s="1">
        <f>H54+L54+P54</f>
        <v>-138.47000000000003</v>
      </c>
      <c r="T54" t="s">
        <v>99</v>
      </c>
      <c r="Z54" t="s">
        <v>119</v>
      </c>
      <c r="AA54" t="s">
        <v>11</v>
      </c>
    </row>
    <row r="55" spans="4:27">
      <c r="W55" t="s">
        <v>117</v>
      </c>
      <c r="X55" s="2">
        <f>V53+ABS(X53)</f>
        <v>3050.5250000000001</v>
      </c>
      <c r="Z55" s="1">
        <v>3900</v>
      </c>
      <c r="AA55" s="2">
        <f>X55+Z55</f>
        <v>6950.5249999999996</v>
      </c>
    </row>
    <row r="56" spans="4:27">
      <c r="D56" t="s">
        <v>138</v>
      </c>
      <c r="E56" s="34" t="s">
        <v>120</v>
      </c>
      <c r="F56" s="41"/>
      <c r="G56" s="41"/>
      <c r="H56" s="51">
        <f>IF(L57&gt;=1700,1700,L57)</f>
        <v>1110.5250000000001</v>
      </c>
      <c r="I56" s="41"/>
      <c r="J56" s="41"/>
      <c r="K56" s="41"/>
      <c r="L56" s="51">
        <v>1700</v>
      </c>
      <c r="M56" s="41"/>
      <c r="N56" s="41"/>
      <c r="O56" s="41"/>
      <c r="P56" s="53">
        <f>240</f>
        <v>240</v>
      </c>
      <c r="W56" t="s">
        <v>118</v>
      </c>
      <c r="X56" s="1">
        <f>ABS(X53)</f>
        <v>589.47499999999991</v>
      </c>
      <c r="Z56" s="1">
        <v>6361.05</v>
      </c>
      <c r="AA56" s="2">
        <f>X56+Z56</f>
        <v>6950.5249999999996</v>
      </c>
    </row>
    <row r="57" spans="4:27">
      <c r="E57" s="36" t="s">
        <v>121</v>
      </c>
      <c r="F57" s="22"/>
      <c r="G57" s="22"/>
      <c r="H57" s="26">
        <f>L57-H56</f>
        <v>0</v>
      </c>
      <c r="I57" s="22"/>
      <c r="J57" s="22"/>
      <c r="K57" s="22"/>
      <c r="L57" s="26">
        <f>P57-L56</f>
        <v>1110.5250000000001</v>
      </c>
      <c r="M57" s="22"/>
      <c r="N57" s="22"/>
      <c r="O57" s="22"/>
      <c r="P57" s="43">
        <f>X55-P56</f>
        <v>2810.5250000000001</v>
      </c>
    </row>
    <row r="58" spans="4:27">
      <c r="E58" s="37" t="s">
        <v>122</v>
      </c>
      <c r="F58" s="44"/>
      <c r="G58" s="44"/>
      <c r="H58" s="59">
        <f>IF(H56&gt;L57,H56+H57,H53+H56)</f>
        <v>-589.47499999999991</v>
      </c>
      <c r="I58" s="44"/>
      <c r="J58" s="44"/>
      <c r="K58" s="44"/>
      <c r="L58" s="38">
        <f>IF(L56&gt;P57,L56-L57,0)</f>
        <v>0</v>
      </c>
      <c r="M58" s="44"/>
      <c r="N58" s="44"/>
      <c r="O58" s="44"/>
      <c r="P58" s="45">
        <f>IF(P56&gt;X55,P56-P57,0)</f>
        <v>0</v>
      </c>
    </row>
    <row r="59" spans="4:27">
      <c r="D59" t="s">
        <v>139</v>
      </c>
      <c r="E59" s="22"/>
      <c r="F59" s="22"/>
      <c r="G59" s="22"/>
      <c r="H59" s="25"/>
      <c r="I59" s="22"/>
      <c r="J59" s="22"/>
      <c r="K59" s="22"/>
      <c r="L59" s="25"/>
      <c r="M59" s="22"/>
      <c r="N59" s="22"/>
      <c r="O59" s="22"/>
      <c r="P59" s="25"/>
    </row>
    <row r="60" spans="4:27">
      <c r="V60" t="s">
        <v>97</v>
      </c>
      <c r="W60" t="s">
        <v>117</v>
      </c>
      <c r="X60" s="1">
        <v>3500</v>
      </c>
    </row>
    <row r="61" spans="4:27">
      <c r="D61" t="s">
        <v>97</v>
      </c>
      <c r="E61" s="34" t="s">
        <v>120</v>
      </c>
      <c r="F61" s="41"/>
      <c r="G61" s="41"/>
      <c r="H61" s="51">
        <v>1866.29</v>
      </c>
      <c r="I61" s="41"/>
      <c r="J61" s="41"/>
      <c r="K61" s="41"/>
      <c r="L61" s="51">
        <v>1633.71</v>
      </c>
      <c r="M61" s="41"/>
      <c r="N61" s="41"/>
      <c r="O61" s="41"/>
      <c r="P61" s="42">
        <v>0</v>
      </c>
      <c r="W61" t="s">
        <v>118</v>
      </c>
      <c r="X61" s="2">
        <f>-S54-X60</f>
        <v>-3361.5299999999997</v>
      </c>
    </row>
    <row r="62" spans="4:27">
      <c r="E62" s="36" t="s">
        <v>121</v>
      </c>
      <c r="F62" s="22"/>
      <c r="G62" s="22"/>
      <c r="H62" s="26">
        <f>X60-H61</f>
        <v>1633.71</v>
      </c>
      <c r="I62" s="22"/>
      <c r="J62" s="22"/>
      <c r="K62" s="22"/>
      <c r="L62" s="26">
        <v>0</v>
      </c>
      <c r="M62" s="22"/>
      <c r="N62" s="22"/>
      <c r="O62" s="22"/>
      <c r="P62" s="43">
        <v>0</v>
      </c>
    </row>
    <row r="63" spans="4:27">
      <c r="E63" s="37" t="s">
        <v>122</v>
      </c>
      <c r="F63" s="44"/>
      <c r="G63" s="44"/>
      <c r="H63" s="38">
        <f>IF(H61&lt;H54,H61-H54,0)</f>
        <v>0</v>
      </c>
      <c r="I63" s="44"/>
      <c r="J63" s="44"/>
      <c r="K63" s="44"/>
      <c r="L63" s="38">
        <f>L54+L61</f>
        <v>1415.43</v>
      </c>
      <c r="M63" s="44"/>
      <c r="N63" s="44"/>
      <c r="O63" s="44"/>
      <c r="P63" s="45">
        <v>-1270.72</v>
      </c>
    </row>
    <row r="64" spans="4:27">
      <c r="D64" t="s">
        <v>139</v>
      </c>
      <c r="L64" s="60">
        <v>1599.33</v>
      </c>
      <c r="P64" s="27">
        <v>1270.72</v>
      </c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D25 L48 H25 L25 D48 H48">
    <cfRule type="cellIs" dxfId="113" priority="1" operator="lessThan">
      <formula>0</formula>
    </cfRule>
    <cfRule type="cellIs" dxfId="11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B94"/>
  <sheetViews>
    <sheetView workbookViewId="0">
      <selection activeCell="C2" sqref="C2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17" t="s">
        <v>7</v>
      </c>
      <c r="H1" s="217"/>
      <c r="K1" s="218" t="s">
        <v>226</v>
      </c>
      <c r="L1" s="218"/>
      <c r="O1" s="218" t="s">
        <v>919</v>
      </c>
      <c r="P1" s="218"/>
      <c r="S1" s="218" t="s">
        <v>902</v>
      </c>
      <c r="T1" s="218"/>
      <c r="W1" s="218" t="s">
        <v>1048</v>
      </c>
      <c r="X1" s="218"/>
    </row>
    <row r="2" spans="1:24">
      <c r="B2" s="18" t="s">
        <v>0</v>
      </c>
      <c r="C2" s="94">
        <v>0</v>
      </c>
      <c r="D2" s="74"/>
      <c r="E2" s="18"/>
      <c r="F2" s="18" t="s">
        <v>0</v>
      </c>
      <c r="G2" s="75">
        <v>2500</v>
      </c>
      <c r="H2" s="74"/>
      <c r="I2" s="18"/>
      <c r="J2" s="18" t="s">
        <v>0</v>
      </c>
      <c r="K2" s="73">
        <v>61560.25</v>
      </c>
      <c r="L2" s="74"/>
      <c r="N2" s="18"/>
      <c r="O2" s="73">
        <v>0</v>
      </c>
      <c r="P2" s="97">
        <v>262</v>
      </c>
      <c r="R2" s="16">
        <v>42962</v>
      </c>
      <c r="S2" s="73">
        <v>500</v>
      </c>
      <c r="T2" s="97"/>
      <c r="V2" s="220" t="s">
        <v>904</v>
      </c>
      <c r="W2" s="73">
        <v>1000</v>
      </c>
      <c r="X2" s="97"/>
    </row>
    <row r="3" spans="1:24">
      <c r="B3" s="18" t="s">
        <v>39</v>
      </c>
      <c r="C3" s="23">
        <v>588.52</v>
      </c>
      <c r="D3" s="11"/>
      <c r="E3" s="76"/>
      <c r="F3" s="39" t="s">
        <v>1062</v>
      </c>
      <c r="G3" s="20"/>
      <c r="H3" s="11">
        <v>610</v>
      </c>
      <c r="I3" s="18"/>
      <c r="J3" s="18" t="s">
        <v>1058</v>
      </c>
      <c r="K3" s="20"/>
      <c r="L3" s="11">
        <v>20001.86</v>
      </c>
      <c r="N3" s="18" t="s">
        <v>986</v>
      </c>
      <c r="O3" s="20">
        <v>1170.79</v>
      </c>
      <c r="P3" s="11"/>
      <c r="R3" s="16">
        <v>42977</v>
      </c>
      <c r="S3" s="20">
        <v>1000</v>
      </c>
      <c r="T3" s="11"/>
      <c r="V3" s="220"/>
      <c r="W3" s="20"/>
      <c r="X3" s="11"/>
    </row>
    <row r="4" spans="1:24">
      <c r="B4" s="18" t="s">
        <v>40</v>
      </c>
      <c r="C4" s="23">
        <v>8332.35</v>
      </c>
      <c r="D4" s="11"/>
      <c r="E4" s="18"/>
      <c r="F4" s="39" t="s">
        <v>1063</v>
      </c>
      <c r="G4" s="20"/>
      <c r="H4" s="11">
        <v>100</v>
      </c>
      <c r="I4" s="18"/>
      <c r="J4" s="18" t="s">
        <v>201</v>
      </c>
      <c r="K4" s="20">
        <v>5000.74</v>
      </c>
      <c r="L4" s="77"/>
      <c r="N4" s="18" t="s">
        <v>987</v>
      </c>
      <c r="O4" s="20">
        <v>1338.6</v>
      </c>
      <c r="P4" s="11"/>
      <c r="R4" s="138" t="s">
        <v>900</v>
      </c>
      <c r="S4" s="166">
        <v>1000</v>
      </c>
      <c r="T4" s="11"/>
      <c r="V4" s="221" t="s">
        <v>905</v>
      </c>
      <c r="W4" s="166"/>
      <c r="X4" s="11"/>
    </row>
    <row r="5" spans="1:24">
      <c r="B5" s="39" t="s">
        <v>815</v>
      </c>
      <c r="C5" s="23">
        <v>8332.35</v>
      </c>
      <c r="D5" s="11"/>
      <c r="E5" s="18"/>
      <c r="F5" s="39"/>
      <c r="G5" s="20"/>
      <c r="H5" s="11"/>
      <c r="I5" s="18"/>
      <c r="J5" s="18" t="s">
        <v>10</v>
      </c>
      <c r="K5" s="20">
        <v>243.84</v>
      </c>
      <c r="L5" s="77"/>
      <c r="N5" s="18" t="s">
        <v>988</v>
      </c>
      <c r="O5" s="20">
        <v>631.47</v>
      </c>
      <c r="P5" s="11"/>
      <c r="R5" s="137" t="s">
        <v>901</v>
      </c>
      <c r="S5" s="20">
        <v>1000</v>
      </c>
      <c r="T5" s="11"/>
      <c r="V5" s="222"/>
      <c r="W5" s="20"/>
      <c r="X5" s="11"/>
    </row>
    <row r="6" spans="1:24">
      <c r="B6" s="39" t="s">
        <v>105</v>
      </c>
      <c r="C6" s="210">
        <v>0</v>
      </c>
      <c r="D6" s="11"/>
      <c r="E6" s="18"/>
      <c r="F6" s="39"/>
      <c r="G6" s="20"/>
      <c r="H6" s="11"/>
      <c r="I6" s="76"/>
      <c r="J6" s="18"/>
      <c r="K6" s="20"/>
      <c r="L6" s="77"/>
      <c r="N6" s="18"/>
      <c r="O6" s="20"/>
      <c r="P6" s="11"/>
      <c r="R6" s="219" t="s">
        <v>26</v>
      </c>
      <c r="S6" s="20">
        <v>1000</v>
      </c>
      <c r="T6" s="11"/>
      <c r="V6" s="219" t="s">
        <v>906</v>
      </c>
      <c r="W6" s="20"/>
      <c r="X6" s="11"/>
    </row>
    <row r="7" spans="1:24">
      <c r="B7" s="39"/>
      <c r="C7" s="166"/>
      <c r="D7" s="11"/>
      <c r="E7" s="76"/>
      <c r="F7" s="39"/>
      <c r="G7" s="20"/>
      <c r="H7" s="11"/>
      <c r="I7" s="76"/>
      <c r="J7" s="18"/>
      <c r="K7" s="20"/>
      <c r="L7" s="77"/>
      <c r="N7" s="18"/>
      <c r="O7" s="20"/>
      <c r="P7" s="11"/>
      <c r="R7" s="219"/>
      <c r="S7" s="20">
        <v>1000</v>
      </c>
      <c r="T7" s="77"/>
      <c r="V7" s="219"/>
      <c r="W7" s="20">
        <v>1000</v>
      </c>
      <c r="X7" s="77"/>
    </row>
    <row r="8" spans="1:24">
      <c r="B8" s="39"/>
      <c r="C8" s="166"/>
      <c r="D8" s="11"/>
      <c r="E8" s="18"/>
      <c r="F8" s="39"/>
      <c r="G8" s="20"/>
      <c r="H8" s="11"/>
      <c r="I8" s="76"/>
      <c r="J8" s="18"/>
      <c r="K8" s="20"/>
      <c r="L8" s="77"/>
      <c r="N8" s="18"/>
      <c r="O8" s="20"/>
      <c r="P8" s="19"/>
      <c r="R8" s="219" t="s">
        <v>27</v>
      </c>
      <c r="S8" s="20">
        <v>1000</v>
      </c>
      <c r="T8" s="39"/>
      <c r="V8" s="219" t="s">
        <v>907</v>
      </c>
      <c r="W8" s="20">
        <v>1000</v>
      </c>
      <c r="X8" s="39"/>
    </row>
    <row r="9" spans="1:24">
      <c r="B9" s="39" t="s">
        <v>201</v>
      </c>
      <c r="C9" s="166"/>
      <c r="D9" s="24">
        <v>5000.74</v>
      </c>
      <c r="E9" s="174"/>
      <c r="F9" s="39"/>
      <c r="G9" s="20"/>
      <c r="H9" s="11"/>
      <c r="I9" s="18"/>
      <c r="J9" s="18"/>
      <c r="K9" s="20"/>
      <c r="L9" s="77"/>
      <c r="N9" s="18"/>
      <c r="O9" s="18"/>
      <c r="P9" s="20"/>
      <c r="R9" s="219"/>
      <c r="S9" s="19">
        <v>1000</v>
      </c>
      <c r="T9" s="18"/>
      <c r="V9" s="219"/>
      <c r="W9" s="19">
        <v>1000</v>
      </c>
      <c r="X9" s="18"/>
    </row>
    <row r="10" spans="1:24">
      <c r="B10" s="39" t="s">
        <v>998</v>
      </c>
      <c r="C10" s="166"/>
      <c r="D10" s="24">
        <v>1000</v>
      </c>
      <c r="E10" s="138"/>
      <c r="F10" s="39"/>
      <c r="G10" s="20"/>
      <c r="H10" s="11"/>
      <c r="I10" s="18"/>
      <c r="J10" s="18"/>
      <c r="K10" s="20"/>
      <c r="L10" s="77"/>
      <c r="N10" s="18"/>
      <c r="O10" s="18"/>
      <c r="P10" s="19"/>
      <c r="R10" s="219" t="s">
        <v>28</v>
      </c>
      <c r="S10" s="19">
        <v>1000</v>
      </c>
      <c r="T10" s="18"/>
      <c r="V10" s="219" t="s">
        <v>908</v>
      </c>
      <c r="W10" s="19">
        <v>1000</v>
      </c>
      <c r="X10" s="18"/>
    </row>
    <row r="11" spans="1:24">
      <c r="B11" s="39" t="s">
        <v>1052</v>
      </c>
      <c r="C11" s="166">
        <v>2100</v>
      </c>
      <c r="D11" s="11"/>
      <c r="E11" s="138"/>
      <c r="F11" s="39"/>
      <c r="G11" s="20"/>
      <c r="H11" s="11"/>
      <c r="I11" s="18"/>
      <c r="J11" s="18"/>
      <c r="K11" s="20"/>
      <c r="L11" s="77"/>
      <c r="N11" s="18"/>
      <c r="O11" s="18"/>
      <c r="P11" s="19"/>
      <c r="R11" s="219"/>
      <c r="S11" s="19"/>
      <c r="T11" s="18"/>
      <c r="V11" s="219"/>
      <c r="W11" s="19"/>
      <c r="X11" s="18"/>
    </row>
    <row r="12" spans="1:24">
      <c r="A12" s="198"/>
      <c r="B12" s="39" t="s">
        <v>1059</v>
      </c>
      <c r="C12" s="166"/>
      <c r="D12" s="24">
        <v>550</v>
      </c>
      <c r="E12" s="39"/>
      <c r="F12" s="39"/>
      <c r="G12" s="20"/>
      <c r="H12" s="11"/>
      <c r="I12" s="18"/>
      <c r="J12" s="18"/>
      <c r="K12" s="20"/>
      <c r="L12" s="77"/>
      <c r="N12" s="18"/>
      <c r="R12" s="219"/>
      <c r="S12" s="19">
        <v>1000</v>
      </c>
      <c r="V12" s="219"/>
      <c r="W12" s="19">
        <v>1000</v>
      </c>
    </row>
    <row r="13" spans="1:24">
      <c r="B13" s="39" t="s">
        <v>43</v>
      </c>
      <c r="C13" s="166"/>
      <c r="D13" s="24">
        <v>4200</v>
      </c>
      <c r="E13" s="39"/>
      <c r="F13" s="39"/>
      <c r="G13" s="20"/>
      <c r="H13" s="11"/>
      <c r="I13" s="16"/>
      <c r="J13" s="18"/>
      <c r="K13" s="20"/>
      <c r="L13" s="77"/>
      <c r="N13" s="18"/>
      <c r="V13" s="219" t="s">
        <v>1001</v>
      </c>
      <c r="W13" s="19">
        <v>1000</v>
      </c>
    </row>
    <row r="14" spans="1:24">
      <c r="B14" s="39" t="s">
        <v>1069</v>
      </c>
      <c r="C14" s="166"/>
      <c r="D14" s="24">
        <v>1250</v>
      </c>
      <c r="E14" s="39"/>
      <c r="F14" s="39"/>
      <c r="G14" s="20"/>
      <c r="H14" s="11"/>
      <c r="I14" s="18"/>
      <c r="J14" s="18"/>
      <c r="K14" s="20"/>
      <c r="L14" s="77"/>
      <c r="N14" s="18"/>
      <c r="V14" s="219"/>
      <c r="W14" s="19">
        <v>1000</v>
      </c>
    </row>
    <row r="15" spans="1:24">
      <c r="B15" s="39" t="s">
        <v>1060</v>
      </c>
      <c r="C15" s="166"/>
      <c r="D15" s="11">
        <v>950</v>
      </c>
      <c r="E15" s="39"/>
      <c r="F15" s="39"/>
      <c r="G15" s="20"/>
      <c r="H15" s="11"/>
      <c r="I15" s="18"/>
      <c r="J15" s="18"/>
      <c r="K15" s="20"/>
      <c r="L15" s="77"/>
      <c r="M15" s="2"/>
      <c r="N15" s="18"/>
      <c r="V15" s="219" t="s">
        <v>1030</v>
      </c>
      <c r="W15" s="19">
        <v>1000</v>
      </c>
    </row>
    <row r="16" spans="1:24">
      <c r="B16" s="39" t="s">
        <v>1061</v>
      </c>
      <c r="C16" s="166">
        <v>400</v>
      </c>
      <c r="D16" s="11">
        <v>400</v>
      </c>
      <c r="E16" s="117"/>
      <c r="F16" s="39"/>
      <c r="G16" s="20"/>
      <c r="H16" s="11"/>
      <c r="I16" s="18"/>
      <c r="J16" s="91"/>
      <c r="K16" s="20"/>
      <c r="L16" s="77"/>
      <c r="N16" s="2"/>
      <c r="V16" s="219"/>
      <c r="W16" s="19">
        <v>1000</v>
      </c>
    </row>
    <row r="17" spans="2:27">
      <c r="B17" s="39" t="s">
        <v>1022</v>
      </c>
      <c r="C17" s="166"/>
      <c r="D17" s="24">
        <v>1500</v>
      </c>
      <c r="E17" s="39"/>
      <c r="F17" s="39"/>
      <c r="G17" s="20"/>
      <c r="H17" s="11"/>
      <c r="I17" s="18"/>
      <c r="J17" s="18"/>
      <c r="K17" s="20"/>
      <c r="L17" s="77"/>
      <c r="N17" s="18"/>
      <c r="V17" s="219" t="s">
        <v>1051</v>
      </c>
      <c r="W17" s="19">
        <v>1000</v>
      </c>
    </row>
    <row r="18" spans="2:27">
      <c r="B18" s="39" t="s">
        <v>1000</v>
      </c>
      <c r="C18" s="166"/>
      <c r="D18" s="24">
        <v>1500</v>
      </c>
      <c r="E18" s="39"/>
      <c r="F18" s="39"/>
      <c r="G18" s="20"/>
      <c r="H18" s="11"/>
      <c r="I18" s="18"/>
      <c r="J18" s="18"/>
      <c r="K18" s="20"/>
      <c r="L18" s="77"/>
      <c r="M18" s="2"/>
      <c r="N18" s="18"/>
      <c r="V18" s="219"/>
      <c r="W18" s="19">
        <v>1000</v>
      </c>
    </row>
    <row r="19" spans="2:27">
      <c r="B19" s="39" t="s">
        <v>1057</v>
      </c>
      <c r="C19" s="166"/>
      <c r="D19" s="24">
        <v>1500</v>
      </c>
      <c r="E19" s="39"/>
      <c r="F19" s="39"/>
      <c r="G19" s="20"/>
      <c r="H19" s="11"/>
      <c r="K19" s="20"/>
      <c r="L19" s="77"/>
      <c r="N19" s="18"/>
      <c r="V19" t="s">
        <v>1064</v>
      </c>
      <c r="W19" s="19">
        <v>75</v>
      </c>
    </row>
    <row r="20" spans="2:27">
      <c r="B20" s="39" t="s">
        <v>1071</v>
      </c>
      <c r="C20" s="156">
        <v>1500</v>
      </c>
      <c r="D20" s="11"/>
      <c r="E20" s="96"/>
      <c r="F20" s="186"/>
      <c r="G20" s="20"/>
      <c r="H20" s="11" t="s">
        <v>80</v>
      </c>
      <c r="J20" s="2"/>
      <c r="K20" s="20"/>
      <c r="L20" s="77"/>
      <c r="M20" s="2"/>
      <c r="N20" s="18"/>
    </row>
    <row r="21" spans="2:27">
      <c r="B21" s="39" t="s">
        <v>1070</v>
      </c>
      <c r="C21" s="166"/>
      <c r="D21" s="24">
        <v>825.5</v>
      </c>
      <c r="F21" s="39"/>
      <c r="G21" s="20"/>
      <c r="H21" s="11"/>
      <c r="K21" s="20"/>
      <c r="L21" s="77"/>
      <c r="N21" s="18"/>
    </row>
    <row r="22" spans="2:27">
      <c r="B22" s="39" t="s">
        <v>106</v>
      </c>
      <c r="C22" s="166"/>
      <c r="D22" s="24">
        <v>500</v>
      </c>
      <c r="F22" s="39"/>
      <c r="G22" s="20"/>
      <c r="H22" s="11"/>
      <c r="L22" s="77"/>
      <c r="N22" s="18"/>
    </row>
    <row r="23" spans="2:27">
      <c r="B23" s="39" t="s">
        <v>488</v>
      </c>
      <c r="C23" s="166"/>
      <c r="D23" s="24">
        <v>1144.76</v>
      </c>
      <c r="F23" s="39"/>
      <c r="G23" s="20"/>
      <c r="H23" s="11"/>
      <c r="L23" s="77"/>
      <c r="N23" s="185"/>
      <c r="O23" s="62"/>
      <c r="P23" s="62"/>
    </row>
    <row r="24" spans="2:27">
      <c r="B24" s="39"/>
      <c r="C24" s="166"/>
      <c r="D24" s="11"/>
      <c r="G24" s="20"/>
      <c r="H24" s="11"/>
      <c r="L24" s="77"/>
      <c r="N24" s="18"/>
    </row>
    <row r="25" spans="2:27">
      <c r="B25" s="39"/>
      <c r="C25" s="166"/>
      <c r="D25" s="11"/>
      <c r="G25" s="20"/>
      <c r="H25" s="11"/>
      <c r="L25" s="77"/>
      <c r="N25" s="18"/>
    </row>
    <row r="26" spans="2:27">
      <c r="B26" s="39"/>
      <c r="C26" s="166"/>
      <c r="D26" s="11"/>
      <c r="G26" s="20"/>
      <c r="H26" s="11"/>
      <c r="L26" s="77"/>
      <c r="N26" s="18"/>
    </row>
    <row r="27" spans="2:27">
      <c r="B27" s="39"/>
      <c r="C27" s="166"/>
      <c r="D27" s="11"/>
      <c r="G27" s="20"/>
      <c r="H27" s="11"/>
      <c r="I27">
        <f>9633.63-1900</f>
        <v>7733.6299999999992</v>
      </c>
      <c r="L27" s="77"/>
      <c r="N27" s="185"/>
      <c r="O27" s="62"/>
      <c r="P27" s="62"/>
      <c r="R27" t="s">
        <v>80</v>
      </c>
      <c r="V27" t="s">
        <v>80</v>
      </c>
    </row>
    <row r="28" spans="2:27">
      <c r="B28" s="39"/>
      <c r="C28" s="166"/>
      <c r="D28" s="11"/>
      <c r="G28" s="20"/>
      <c r="H28" s="11"/>
      <c r="L28" s="77"/>
      <c r="N28" s="18"/>
    </row>
    <row r="29" spans="2:27">
      <c r="B29" s="39"/>
      <c r="C29" s="166"/>
      <c r="D29" s="11"/>
      <c r="G29" s="20"/>
      <c r="H29" s="11"/>
      <c r="L29" s="77"/>
      <c r="N29" s="18"/>
    </row>
    <row r="30" spans="2:27" ht="15.75" thickBot="1">
      <c r="B30" s="39"/>
      <c r="C30" s="20"/>
      <c r="D30" s="11"/>
      <c r="G30" s="20"/>
      <c r="H30" s="11"/>
      <c r="L30" s="77"/>
    </row>
    <row r="31" spans="2:27">
      <c r="B31" s="39"/>
      <c r="C31" s="20"/>
      <c r="D31" s="11"/>
      <c r="G31" s="20"/>
      <c r="H31" s="19"/>
      <c r="Y31" t="s">
        <v>899</v>
      </c>
      <c r="AA31" s="179"/>
    </row>
    <row r="32" spans="2:27">
      <c r="B32" t="s">
        <v>2</v>
      </c>
      <c r="C32" s="2">
        <f>SUM(C2:C30)</f>
        <v>21253.22</v>
      </c>
      <c r="D32" s="2">
        <f>SUM(D3:D31)</f>
        <v>20320.999999999996</v>
      </c>
      <c r="F32" t="s">
        <v>2</v>
      </c>
      <c r="G32" s="2">
        <f>SUM(G2:G31)</f>
        <v>2500</v>
      </c>
      <c r="H32" s="2">
        <f>SUM(H3:H31)</f>
        <v>710</v>
      </c>
      <c r="J32" t="s">
        <v>2</v>
      </c>
      <c r="K32" s="2">
        <f>SUM(K1:K10)</f>
        <v>66804.83</v>
      </c>
      <c r="L32" s="2">
        <f>SUM(L2:L10)</f>
        <v>20001.86</v>
      </c>
      <c r="N32" t="s">
        <v>2</v>
      </c>
      <c r="O32" s="2">
        <f>SUM(O1:O30)</f>
        <v>3140.8599999999997</v>
      </c>
      <c r="P32" s="2">
        <f>SUM(P2:P30)</f>
        <v>262</v>
      </c>
      <c r="R32" t="s">
        <v>2</v>
      </c>
      <c r="S32" s="2">
        <f>SUM(S1:S15)</f>
        <v>9500</v>
      </c>
      <c r="T32" s="2">
        <f>SUM(T2:T10)</f>
        <v>0</v>
      </c>
      <c r="V32" t="s">
        <v>2</v>
      </c>
      <c r="W32" s="2">
        <f>SUM(W1:W30)</f>
        <v>12075</v>
      </c>
      <c r="X32" s="2">
        <f>SUM(X2:X10)</f>
        <v>0</v>
      </c>
      <c r="AA32" s="177"/>
    </row>
    <row r="33" spans="1:27">
      <c r="D33" s="2">
        <f>C32-D32</f>
        <v>932.2200000000048</v>
      </c>
      <c r="H33" s="2">
        <f>G32-H32</f>
        <v>1790</v>
      </c>
      <c r="L33" s="2">
        <f>K32-L32</f>
        <v>46802.97</v>
      </c>
      <c r="P33" s="2">
        <f>O32-P32</f>
        <v>2878.8599999999997</v>
      </c>
      <c r="T33" s="2">
        <f>S32-T32</f>
        <v>9500</v>
      </c>
      <c r="X33" s="2">
        <f>W32-X32</f>
        <v>12075</v>
      </c>
      <c r="AA33" s="177"/>
    </row>
    <row r="34" spans="1:27">
      <c r="A34">
        <v>1032.8900000000001</v>
      </c>
      <c r="AA34" s="177"/>
    </row>
    <row r="35" spans="1:27">
      <c r="A35" s="2">
        <f>A34-D33</f>
        <v>100.6699999999953</v>
      </c>
      <c r="V35" s="102">
        <v>43330</v>
      </c>
      <c r="AA35" s="177"/>
    </row>
    <row r="36" spans="1:27" ht="15.75" thickBot="1">
      <c r="C36" s="217" t="s">
        <v>12</v>
      </c>
      <c r="D36" s="217"/>
      <c r="G36" s="217" t="s">
        <v>16</v>
      </c>
      <c r="H36" s="217"/>
      <c r="K36" s="217" t="s">
        <v>77</v>
      </c>
      <c r="L36" s="217"/>
      <c r="O36" s="217" t="s">
        <v>90</v>
      </c>
      <c r="P36" s="217"/>
      <c r="S36" t="s">
        <v>163</v>
      </c>
      <c r="T36" t="s">
        <v>335</v>
      </c>
      <c r="U36" t="s">
        <v>165</v>
      </c>
      <c r="V36" t="s">
        <v>336</v>
      </c>
      <c r="W36" t="s">
        <v>337</v>
      </c>
      <c r="X36" t="s">
        <v>338</v>
      </c>
      <c r="AA36" s="178"/>
    </row>
    <row r="37" spans="1:27">
      <c r="B37" t="s">
        <v>0</v>
      </c>
      <c r="C37" s="3">
        <v>0</v>
      </c>
      <c r="D37" s="4"/>
      <c r="F37" t="s">
        <v>0</v>
      </c>
      <c r="G37" s="3"/>
      <c r="H37" s="11">
        <v>2640.29</v>
      </c>
      <c r="J37" t="s">
        <v>979</v>
      </c>
      <c r="K37" s="3">
        <v>0</v>
      </c>
      <c r="L37" s="168">
        <v>226.51</v>
      </c>
      <c r="M37" s="33"/>
      <c r="N37" t="s">
        <v>0</v>
      </c>
      <c r="O37" s="3"/>
      <c r="P37" s="183">
        <v>6863.66</v>
      </c>
      <c r="R37" t="s">
        <v>1003</v>
      </c>
      <c r="S37" s="101">
        <v>-5869</v>
      </c>
      <c r="T37" s="118">
        <v>18</v>
      </c>
      <c r="U37" s="119">
        <f t="shared" ref="U37:U44" si="0">S37/T37</f>
        <v>-326.05555555555554</v>
      </c>
      <c r="V37" s="118">
        <v>3</v>
      </c>
      <c r="W37" s="119">
        <f>U37*V37</f>
        <v>-978.16666666666663</v>
      </c>
      <c r="X37" s="119">
        <f>S37-W37</f>
        <v>-4890.833333333333</v>
      </c>
      <c r="Y37" t="s">
        <v>437</v>
      </c>
    </row>
    <row r="38" spans="1:27">
      <c r="B38" s="39" t="s">
        <v>503</v>
      </c>
      <c r="C38" s="1"/>
      <c r="D38" s="1">
        <v>0</v>
      </c>
      <c r="F38" s="39" t="s">
        <v>857</v>
      </c>
      <c r="G38" s="1"/>
      <c r="H38" s="11"/>
      <c r="J38" t="s">
        <v>169</v>
      </c>
      <c r="K38" s="19">
        <v>226.51</v>
      </c>
      <c r="L38" s="11"/>
      <c r="M38" s="29"/>
      <c r="N38" t="s">
        <v>169</v>
      </c>
      <c r="O38" s="27">
        <v>499.28</v>
      </c>
      <c r="P38" s="11"/>
      <c r="Q38" s="93"/>
      <c r="S38" s="101"/>
      <c r="T38" s="118"/>
      <c r="U38" s="119"/>
      <c r="V38" s="118"/>
      <c r="W38" s="119"/>
      <c r="X38" s="119"/>
    </row>
    <row r="39" spans="1:27">
      <c r="B39" s="39"/>
      <c r="C39" s="1"/>
      <c r="D39" s="11"/>
      <c r="F39" s="39" t="s">
        <v>169</v>
      </c>
      <c r="H39" s="11"/>
      <c r="I39" s="8"/>
      <c r="J39" t="s">
        <v>163</v>
      </c>
      <c r="K39" s="19"/>
      <c r="L39" s="11">
        <v>620</v>
      </c>
      <c r="N39" t="s">
        <v>1065</v>
      </c>
      <c r="O39" s="19"/>
      <c r="P39" s="24">
        <v>53</v>
      </c>
      <c r="S39" s="101"/>
      <c r="T39" s="118"/>
      <c r="U39" s="119"/>
      <c r="V39" s="118"/>
      <c r="W39" s="119"/>
      <c r="X39" s="119"/>
    </row>
    <row r="40" spans="1:27">
      <c r="B40" s="39"/>
      <c r="C40" s="1"/>
      <c r="D40" s="11"/>
      <c r="F40" s="39"/>
      <c r="G40" s="1"/>
      <c r="H40" s="11"/>
      <c r="K40" s="19"/>
      <c r="L40" s="11"/>
      <c r="N40" s="39" t="s">
        <v>391</v>
      </c>
      <c r="O40" s="19"/>
      <c r="P40" s="24">
        <v>149</v>
      </c>
      <c r="Q40" s="29"/>
      <c r="S40" s="101"/>
      <c r="T40" s="118"/>
      <c r="U40" s="119"/>
      <c r="V40" s="118"/>
      <c r="W40" s="119"/>
      <c r="X40" s="119"/>
    </row>
    <row r="41" spans="1:27">
      <c r="B41" s="39"/>
      <c r="C41" s="20"/>
      <c r="D41" s="11"/>
      <c r="F41" s="39"/>
      <c r="G41" s="1"/>
      <c r="H41" s="11"/>
      <c r="K41" s="19"/>
      <c r="L41" s="11"/>
      <c r="N41" s="39" t="s">
        <v>1066</v>
      </c>
      <c r="O41" s="19"/>
      <c r="P41" s="24">
        <v>699.93</v>
      </c>
      <c r="S41" s="101"/>
      <c r="T41" s="118"/>
      <c r="U41" s="119"/>
      <c r="V41" s="118"/>
      <c r="W41" s="119"/>
      <c r="X41" s="119"/>
    </row>
    <row r="42" spans="1:27">
      <c r="B42" s="39"/>
      <c r="C42" s="20"/>
      <c r="D42" s="11"/>
      <c r="F42" s="39"/>
      <c r="G42" s="1"/>
      <c r="H42" s="11"/>
      <c r="K42" s="19"/>
      <c r="L42" s="11"/>
      <c r="M42" s="29"/>
      <c r="N42" s="39" t="s">
        <v>1066</v>
      </c>
      <c r="O42" s="19"/>
      <c r="P42" s="24">
        <v>1469.8</v>
      </c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ref="W42:W44" si="1">U42*V42</f>
        <v>0</v>
      </c>
      <c r="X42" s="119">
        <f t="shared" ref="X42:X44" si="2">S42-W42</f>
        <v>0</v>
      </c>
    </row>
    <row r="43" spans="1:27" ht="17.25">
      <c r="B43" s="39"/>
      <c r="C43" s="20"/>
      <c r="D43" s="11"/>
      <c r="F43" s="39"/>
      <c r="G43" s="1"/>
      <c r="H43" s="11"/>
      <c r="K43" s="19"/>
      <c r="L43" s="11"/>
      <c r="M43" s="29"/>
      <c r="N43" s="39" t="s">
        <v>1061</v>
      </c>
      <c r="O43" s="19"/>
      <c r="P43" s="214">
        <v>1199.4000000000001</v>
      </c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H44" s="11"/>
      <c r="K44" s="19"/>
      <c r="L44" s="11"/>
      <c r="N44" s="39" t="s">
        <v>169</v>
      </c>
      <c r="O44" s="215">
        <v>729.67</v>
      </c>
      <c r="P44" s="11"/>
      <c r="Q44" s="29"/>
      <c r="S44" s="101">
        <v>0</v>
      </c>
      <c r="T44" s="118">
        <v>1</v>
      </c>
      <c r="U44" s="119">
        <f t="shared" si="0"/>
        <v>0</v>
      </c>
      <c r="V44" s="118">
        <v>1</v>
      </c>
      <c r="W44" s="119">
        <f t="shared" si="1"/>
        <v>0</v>
      </c>
      <c r="X44" s="119">
        <f t="shared" si="2"/>
        <v>0</v>
      </c>
    </row>
    <row r="45" spans="1:27">
      <c r="B45" s="39"/>
      <c r="C45" s="20"/>
      <c r="D45" s="11"/>
      <c r="H45" s="11"/>
      <c r="K45" s="19"/>
      <c r="L45" s="11"/>
      <c r="N45" s="39" t="s">
        <v>169</v>
      </c>
      <c r="O45" s="27">
        <v>1500</v>
      </c>
      <c r="P45" s="11"/>
      <c r="Q45" s="8"/>
      <c r="R45" t="s">
        <v>11</v>
      </c>
      <c r="S45" s="2">
        <f>SUM(S37:S44)</f>
        <v>-5869</v>
      </c>
      <c r="X45" s="2">
        <f>SUM(X37:X44)</f>
        <v>-4890.833333333333</v>
      </c>
    </row>
    <row r="46" spans="1:27">
      <c r="B46" s="39"/>
      <c r="C46" s="20"/>
      <c r="D46" s="11"/>
      <c r="G46" s="1"/>
      <c r="H46" s="11"/>
      <c r="K46" s="19"/>
      <c r="L46" s="11"/>
      <c r="N46" s="39" t="s">
        <v>1067</v>
      </c>
      <c r="O46" s="19"/>
      <c r="P46" s="113">
        <v>1222.6099999999999</v>
      </c>
    </row>
    <row r="47" spans="1:27">
      <c r="B47" s="39"/>
      <c r="C47" s="20"/>
      <c r="D47" s="11"/>
      <c r="H47" s="11"/>
      <c r="K47" s="19"/>
      <c r="L47" s="11"/>
      <c r="N47" s="39" t="s">
        <v>169</v>
      </c>
      <c r="O47" s="27">
        <v>1900</v>
      </c>
      <c r="P47" s="11"/>
      <c r="Q47" s="33"/>
      <c r="S47" s="2"/>
    </row>
    <row r="48" spans="1:27">
      <c r="B48" s="12"/>
      <c r="C48" s="20"/>
      <c r="D48" s="11"/>
      <c r="E48" s="29"/>
      <c r="H48" s="11"/>
      <c r="K48" s="19"/>
      <c r="L48" s="11"/>
      <c r="N48" s="39"/>
      <c r="O48" s="19"/>
      <c r="P48" s="24">
        <v>705.18</v>
      </c>
      <c r="S48" s="2"/>
      <c r="Z48">
        <f>1000*(0.2699/365)*15</f>
        <v>11.091780821917807</v>
      </c>
    </row>
    <row r="49" spans="2:28">
      <c r="B49" s="12"/>
      <c r="C49" s="20"/>
      <c r="D49" s="11"/>
      <c r="E49" s="29"/>
      <c r="H49" s="14"/>
      <c r="K49" s="19"/>
      <c r="L49" s="11"/>
      <c r="N49" s="39" t="s">
        <v>94</v>
      </c>
      <c r="O49" s="19">
        <v>1890</v>
      </c>
      <c r="P49" s="11"/>
      <c r="S49" s="2"/>
    </row>
    <row r="50" spans="2:28">
      <c r="B50" s="12"/>
      <c r="C50" s="20"/>
      <c r="D50" s="11"/>
      <c r="H50" s="11"/>
      <c r="L50" s="11"/>
      <c r="N50" s="39"/>
      <c r="O50" s="19"/>
      <c r="P50" s="11"/>
      <c r="Q50" t="s">
        <v>1068</v>
      </c>
      <c r="R50">
        <v>2380.7399999999998</v>
      </c>
      <c r="S50" s="2"/>
    </row>
    <row r="51" spans="2:28">
      <c r="B51" s="12"/>
      <c r="C51" s="20"/>
      <c r="D51" s="11"/>
      <c r="E51" s="29"/>
      <c r="H51" s="14"/>
      <c r="L51" s="11"/>
      <c r="M51" s="33"/>
      <c r="N51" s="39"/>
      <c r="O51" s="19"/>
      <c r="P51" s="11"/>
      <c r="S51" s="2"/>
    </row>
    <row r="52" spans="2:28">
      <c r="B52" s="12"/>
      <c r="C52" s="1"/>
      <c r="D52" s="11"/>
      <c r="E52" s="29"/>
      <c r="H52" s="11"/>
      <c r="L52" s="11"/>
      <c r="M52" s="33"/>
      <c r="N52" s="39"/>
      <c r="O52" s="19"/>
      <c r="P52" s="11"/>
      <c r="U52" s="29"/>
    </row>
    <row r="53" spans="2:28">
      <c r="B53" s="12"/>
      <c r="C53" s="1"/>
      <c r="D53" s="11"/>
      <c r="H53" s="14"/>
      <c r="L53" s="11"/>
      <c r="N53" s="39"/>
      <c r="O53" s="19"/>
      <c r="P53" s="11"/>
      <c r="U53" s="2"/>
      <c r="V53" s="2"/>
    </row>
    <row r="54" spans="2:28">
      <c r="B54" s="12"/>
      <c r="C54" s="1"/>
      <c r="D54" s="11"/>
      <c r="S54" s="1"/>
    </row>
    <row r="55" spans="2:28">
      <c r="B55" t="s">
        <v>2</v>
      </c>
      <c r="C55" s="2">
        <f>SUM(C37:C52)</f>
        <v>0</v>
      </c>
      <c r="D55" s="2">
        <f>SUM(D38:D54)</f>
        <v>0</v>
      </c>
      <c r="F55" t="s">
        <v>2</v>
      </c>
      <c r="G55" s="2">
        <f>SUM(G37:G54)</f>
        <v>0</v>
      </c>
      <c r="H55" s="2">
        <f>SUM(H37:H53)</f>
        <v>2640.29</v>
      </c>
      <c r="J55" t="s">
        <v>2</v>
      </c>
      <c r="K55" s="2">
        <f>SUM(K37:K52)</f>
        <v>226.51</v>
      </c>
      <c r="L55" s="2">
        <f>SUM(L37:L51)</f>
        <v>846.51</v>
      </c>
      <c r="N55" t="s">
        <v>2</v>
      </c>
      <c r="O55" s="2">
        <f>SUM(O37:O54)</f>
        <v>6518.95</v>
      </c>
      <c r="P55" s="2">
        <f>SUM(P37:P54)</f>
        <v>12362.58</v>
      </c>
      <c r="S55" s="1"/>
      <c r="T55" s="33"/>
      <c r="U55" s="2"/>
      <c r="V55" s="2"/>
    </row>
    <row r="56" spans="2:28">
      <c r="D56" s="2">
        <f>C55-D55</f>
        <v>0</v>
      </c>
      <c r="H56" s="2">
        <f>G55-H55</f>
        <v>-2640.29</v>
      </c>
      <c r="L56" s="2">
        <f>K55-L55</f>
        <v>-620</v>
      </c>
      <c r="M56" t="s">
        <v>879</v>
      </c>
      <c r="N56" s="2">
        <f>X38</f>
        <v>0</v>
      </c>
      <c r="P56" s="2">
        <f>O55-P55</f>
        <v>-5843.63</v>
      </c>
      <c r="Q56" t="s">
        <v>1012</v>
      </c>
      <c r="R56" s="2">
        <f>X45</f>
        <v>-4890.833333333333</v>
      </c>
      <c r="S56" s="1"/>
      <c r="AA56" t="s">
        <v>239</v>
      </c>
      <c r="AB56" s="1">
        <v>10261.049999999999</v>
      </c>
    </row>
    <row r="57" spans="2:28">
      <c r="L57" s="2">
        <f>L56-N56</f>
        <v>-620</v>
      </c>
      <c r="P57" s="2">
        <f>P56-R56</f>
        <v>-952.79666666666708</v>
      </c>
      <c r="S57" s="1"/>
      <c r="U57" s="165"/>
      <c r="V57" s="143"/>
      <c r="W57" s="93"/>
      <c r="AA57" t="s">
        <v>240</v>
      </c>
      <c r="AB57" s="1">
        <v>7081.32</v>
      </c>
    </row>
    <row r="58" spans="2:28">
      <c r="B58" t="s">
        <v>282</v>
      </c>
      <c r="R58" s="2"/>
      <c r="S58" s="1"/>
      <c r="AA58" t="s">
        <v>241</v>
      </c>
      <c r="AB58" s="1">
        <f>AB56-AB57</f>
        <v>3179.7299999999996</v>
      </c>
    </row>
    <row r="59" spans="2:28">
      <c r="E59" t="s">
        <v>235</v>
      </c>
      <c r="H59" s="2">
        <v>2640.29</v>
      </c>
      <c r="L59" s="2">
        <v>620</v>
      </c>
      <c r="P59" s="2">
        <v>0</v>
      </c>
      <c r="S59" s="1"/>
      <c r="AA59" t="s">
        <v>242</v>
      </c>
      <c r="AB59" s="2">
        <f>AB58/2</f>
        <v>1589.8649999999998</v>
      </c>
    </row>
    <row r="61" spans="2:28">
      <c r="D61" t="s">
        <v>138</v>
      </c>
      <c r="E61" s="34" t="s">
        <v>120</v>
      </c>
      <c r="F61" s="41"/>
      <c r="G61" s="41"/>
      <c r="H61" s="51">
        <v>0</v>
      </c>
      <c r="I61" s="41"/>
      <c r="J61" s="41"/>
      <c r="K61" s="41"/>
      <c r="L61" s="51">
        <v>1590</v>
      </c>
      <c r="M61" s="41"/>
      <c r="N61" s="41"/>
      <c r="O61" s="41"/>
      <c r="P61" s="51"/>
      <c r="V61" t="s">
        <v>114</v>
      </c>
      <c r="W61" t="s">
        <v>115</v>
      </c>
      <c r="X61" t="s">
        <v>116</v>
      </c>
    </row>
    <row r="62" spans="2:28">
      <c r="E62" s="36" t="s">
        <v>121</v>
      </c>
      <c r="F62" s="22"/>
      <c r="G62" s="22"/>
      <c r="H62" s="43">
        <v>0</v>
      </c>
      <c r="I62" s="22"/>
      <c r="J62" s="22"/>
      <c r="K62" s="22"/>
      <c r="L62" s="43">
        <v>706.66</v>
      </c>
      <c r="M62" s="22"/>
      <c r="N62" s="22"/>
      <c r="O62" s="22"/>
      <c r="P62" s="43"/>
      <c r="Z62" t="s">
        <v>119</v>
      </c>
      <c r="AA62" t="s">
        <v>11</v>
      </c>
    </row>
    <row r="63" spans="2:28">
      <c r="E63" s="37" t="s">
        <v>122</v>
      </c>
      <c r="F63" s="44"/>
      <c r="G63" s="44"/>
      <c r="H63" s="45">
        <f>H61+H59</f>
        <v>2640.29</v>
      </c>
      <c r="I63" s="44"/>
      <c r="J63" s="44"/>
      <c r="K63" s="44"/>
      <c r="L63" s="45">
        <f>L61+L59</f>
        <v>2210</v>
      </c>
      <c r="M63" s="44"/>
      <c r="N63" s="44"/>
      <c r="O63" s="44"/>
      <c r="P63" s="45"/>
      <c r="T63" t="s">
        <v>98</v>
      </c>
      <c r="V63" s="1">
        <f>Z63-Z64</f>
        <v>0</v>
      </c>
      <c r="W63" s="2">
        <f>S64-V63</f>
        <v>3260.29</v>
      </c>
      <c r="X63" s="2">
        <f>W63/2</f>
        <v>1630.145</v>
      </c>
      <c r="Z63" s="1">
        <v>2100</v>
      </c>
      <c r="AA63" s="2">
        <f>X65+Z63</f>
        <v>3730.145</v>
      </c>
    </row>
    <row r="64" spans="2:28">
      <c r="E64" s="22"/>
      <c r="F64" s="22"/>
      <c r="G64" s="22"/>
      <c r="H64" s="25"/>
      <c r="I64" s="22"/>
      <c r="J64" s="22"/>
      <c r="K64" s="22"/>
      <c r="L64" s="25"/>
      <c r="M64" s="22"/>
      <c r="N64" s="22"/>
      <c r="O64" s="22"/>
      <c r="P64" s="25"/>
      <c r="S64" s="1">
        <f>ABS(H59+L59+P59)</f>
        <v>3260.29</v>
      </c>
      <c r="Z64" s="1">
        <v>2100</v>
      </c>
      <c r="AA64" s="2">
        <f>X66+Z64</f>
        <v>3730.145</v>
      </c>
    </row>
    <row r="65" spans="4:26">
      <c r="D65" t="s">
        <v>139</v>
      </c>
      <c r="H65" s="2"/>
      <c r="L65" s="2"/>
      <c r="P65" s="2"/>
      <c r="S65" s="1"/>
      <c r="W65" t="s">
        <v>117</v>
      </c>
      <c r="X65" s="2">
        <f>ABS(X63)</f>
        <v>1630.145</v>
      </c>
    </row>
    <row r="66" spans="4:26">
      <c r="E66" s="34" t="s">
        <v>169</v>
      </c>
      <c r="F66" s="41"/>
      <c r="G66" s="41"/>
      <c r="H66" s="51"/>
      <c r="I66" s="41"/>
      <c r="J66" s="41"/>
      <c r="K66" s="41"/>
      <c r="L66" s="51"/>
      <c r="M66" s="41"/>
      <c r="N66" s="41"/>
      <c r="O66" s="41"/>
      <c r="P66" s="53"/>
      <c r="W66" t="s">
        <v>118</v>
      </c>
      <c r="X66" s="1">
        <f>V63+ABS(X63)</f>
        <v>1630.145</v>
      </c>
      <c r="Z66" s="2"/>
    </row>
    <row r="67" spans="4:26">
      <c r="E67" s="36" t="s">
        <v>244</v>
      </c>
      <c r="F67" s="22"/>
      <c r="G67" s="22"/>
      <c r="H67" s="43"/>
      <c r="I67" s="22"/>
      <c r="J67" s="22"/>
      <c r="K67" s="22"/>
      <c r="L67" s="43"/>
      <c r="M67" s="22"/>
      <c r="N67" s="22"/>
      <c r="O67" s="22"/>
      <c r="P67" s="43"/>
      <c r="T67" s="2"/>
    </row>
    <row r="68" spans="4:26">
      <c r="E68" s="37" t="s">
        <v>122</v>
      </c>
      <c r="F68" s="44"/>
      <c r="G68" s="44"/>
      <c r="H68" s="45"/>
      <c r="I68" s="44"/>
      <c r="J68" s="44"/>
      <c r="K68" s="44"/>
      <c r="L68" s="45"/>
      <c r="M68" s="44"/>
      <c r="N68" s="44"/>
      <c r="O68" s="44"/>
      <c r="P68" s="45"/>
    </row>
    <row r="69" spans="4:26">
      <c r="L69" s="60"/>
      <c r="P69" s="27"/>
    </row>
    <row r="70" spans="4:26">
      <c r="X70" s="1"/>
    </row>
    <row r="71" spans="4:26">
      <c r="X71" s="2"/>
    </row>
    <row r="74" spans="4:26">
      <c r="F74" s="2">
        <f>13338.18+H56</f>
        <v>10697.89</v>
      </c>
    </row>
    <row r="83" spans="2:19">
      <c r="S83">
        <f>2032.67*3</f>
        <v>6098.01</v>
      </c>
    </row>
    <row r="88" spans="2:19">
      <c r="B88">
        <f>879+179</f>
        <v>1058</v>
      </c>
    </row>
    <row r="92" spans="2:19">
      <c r="C92">
        <v>5003.9399999999996</v>
      </c>
    </row>
    <row r="93" spans="2:19">
      <c r="C93">
        <v>-950</v>
      </c>
    </row>
    <row r="94" spans="2:19">
      <c r="C94">
        <v>-3349.1</v>
      </c>
    </row>
  </sheetData>
  <mergeCells count="21">
    <mergeCell ref="W1:X1"/>
    <mergeCell ref="C1:D1"/>
    <mergeCell ref="G1:H1"/>
    <mergeCell ref="K1:L1"/>
    <mergeCell ref="O1:P1"/>
    <mergeCell ref="S1:T1"/>
    <mergeCell ref="C36:D36"/>
    <mergeCell ref="G36:H36"/>
    <mergeCell ref="K36:L36"/>
    <mergeCell ref="O36:P36"/>
    <mergeCell ref="V2:V3"/>
    <mergeCell ref="V4:V5"/>
    <mergeCell ref="R6:R7"/>
    <mergeCell ref="V6:V7"/>
    <mergeCell ref="R8:R9"/>
    <mergeCell ref="V8:V9"/>
    <mergeCell ref="R10:R12"/>
    <mergeCell ref="V10:V12"/>
    <mergeCell ref="V13:V14"/>
    <mergeCell ref="V15:V16"/>
    <mergeCell ref="V17:V18"/>
  </mergeCells>
  <conditionalFormatting sqref="P56 L56 H33 L33 D56 H56 D33 P33 T33 X33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B94"/>
  <sheetViews>
    <sheetView topLeftCell="G28" workbookViewId="0">
      <selection activeCell="C24" sqref="C24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23" t="s">
        <v>7</v>
      </c>
      <c r="H1" s="223"/>
      <c r="K1" s="218" t="s">
        <v>226</v>
      </c>
      <c r="L1" s="218"/>
      <c r="O1" s="218" t="s">
        <v>1072</v>
      </c>
      <c r="P1" s="218"/>
      <c r="S1" s="218" t="s">
        <v>1048</v>
      </c>
      <c r="T1" s="218"/>
      <c r="W1" s="218" t="s">
        <v>1048</v>
      </c>
      <c r="X1" s="218"/>
    </row>
    <row r="2" spans="1:24">
      <c r="B2" s="18" t="s">
        <v>0</v>
      </c>
      <c r="C2" s="94">
        <v>391.2</v>
      </c>
      <c r="D2" s="74"/>
      <c r="E2" s="18"/>
      <c r="F2" s="18" t="s">
        <v>0</v>
      </c>
      <c r="G2" s="75">
        <v>0</v>
      </c>
      <c r="H2" s="74"/>
      <c r="I2" s="18"/>
      <c r="J2" s="18" t="s">
        <v>0</v>
      </c>
      <c r="K2" s="73">
        <v>46802.97</v>
      </c>
      <c r="L2" s="74"/>
      <c r="M2" s="2"/>
      <c r="N2" s="18"/>
      <c r="O2" s="73">
        <v>397.7</v>
      </c>
      <c r="P2" s="97"/>
      <c r="R2" s="220" t="s">
        <v>904</v>
      </c>
      <c r="S2" s="73">
        <v>1000</v>
      </c>
      <c r="T2" s="97"/>
      <c r="V2" s="220"/>
      <c r="W2" s="73"/>
      <c r="X2" s="97"/>
    </row>
    <row r="3" spans="1:24">
      <c r="B3" s="18" t="s">
        <v>1089</v>
      </c>
      <c r="C3" s="101">
        <v>2900</v>
      </c>
      <c r="D3" s="11"/>
      <c r="E3" s="76"/>
      <c r="F3" s="39" t="s">
        <v>1074</v>
      </c>
      <c r="G3" s="20">
        <v>5500</v>
      </c>
      <c r="H3" s="11"/>
      <c r="I3" s="18"/>
      <c r="J3" s="18" t="s">
        <v>10</v>
      </c>
      <c r="K3" s="20">
        <v>222.49</v>
      </c>
      <c r="L3" s="11"/>
      <c r="N3" s="18" t="s">
        <v>39</v>
      </c>
      <c r="O3" s="20">
        <v>8315.25</v>
      </c>
      <c r="P3" s="11"/>
      <c r="R3" s="220"/>
      <c r="S3" s="20"/>
      <c r="T3" s="11"/>
      <c r="V3" s="220"/>
      <c r="W3" s="20"/>
      <c r="X3" s="11"/>
    </row>
    <row r="4" spans="1:24">
      <c r="B4" s="18"/>
      <c r="C4" s="20"/>
      <c r="D4" s="11"/>
      <c r="E4" s="18"/>
      <c r="F4" s="39" t="s">
        <v>1026</v>
      </c>
      <c r="G4" s="20">
        <v>2100</v>
      </c>
      <c r="H4" s="11">
        <v>2100</v>
      </c>
      <c r="I4" s="18"/>
      <c r="J4" s="18" t="s">
        <v>1109</v>
      </c>
      <c r="K4" s="20"/>
      <c r="L4" s="11">
        <v>3300</v>
      </c>
      <c r="N4" s="18" t="s">
        <v>39</v>
      </c>
      <c r="O4" s="20">
        <v>8315.25</v>
      </c>
      <c r="P4" s="11"/>
      <c r="R4" s="221" t="s">
        <v>905</v>
      </c>
      <c r="S4" s="166"/>
      <c r="T4" s="11"/>
      <c r="V4" s="221"/>
      <c r="W4" s="166"/>
      <c r="X4" s="11"/>
    </row>
    <row r="5" spans="1:24">
      <c r="B5" s="18"/>
      <c r="C5" s="20"/>
      <c r="D5" s="11"/>
      <c r="E5" s="18"/>
      <c r="F5" s="39" t="s">
        <v>1081</v>
      </c>
      <c r="G5" s="20">
        <v>1500</v>
      </c>
      <c r="H5" s="11">
        <v>1500</v>
      </c>
      <c r="I5" s="18"/>
      <c r="J5" s="18"/>
      <c r="K5" s="20"/>
      <c r="L5" s="77"/>
      <c r="N5" s="18" t="s">
        <v>39</v>
      </c>
      <c r="O5" s="20">
        <v>597.32000000000005</v>
      </c>
      <c r="P5" s="11"/>
      <c r="R5" s="222"/>
      <c r="S5" s="20"/>
      <c r="T5" s="11"/>
      <c r="V5" s="222"/>
      <c r="W5" s="20"/>
      <c r="X5" s="11"/>
    </row>
    <row r="6" spans="1:24">
      <c r="B6" s="18" t="s">
        <v>76</v>
      </c>
      <c r="C6" s="20"/>
      <c r="D6" s="100">
        <v>1000</v>
      </c>
      <c r="E6" s="18"/>
      <c r="F6" s="39" t="s">
        <v>611</v>
      </c>
      <c r="G6" s="20"/>
      <c r="H6" s="100">
        <v>1500</v>
      </c>
      <c r="I6" s="76"/>
      <c r="J6" s="18" t="s">
        <v>773</v>
      </c>
      <c r="K6" s="20"/>
      <c r="L6" s="11">
        <v>18000</v>
      </c>
      <c r="N6" s="18" t="s">
        <v>1075</v>
      </c>
      <c r="O6" s="20"/>
      <c r="P6" s="100">
        <v>5500</v>
      </c>
      <c r="R6" s="219" t="s">
        <v>906</v>
      </c>
      <c r="S6" s="20"/>
      <c r="T6" s="11"/>
      <c r="V6" s="219"/>
      <c r="W6" s="20"/>
      <c r="X6" s="11"/>
    </row>
    <row r="7" spans="1:24">
      <c r="B7" s="18" t="s">
        <v>1077</v>
      </c>
      <c r="C7" s="20"/>
      <c r="D7" s="100">
        <v>900</v>
      </c>
      <c r="E7" s="76"/>
      <c r="F7" s="39" t="s">
        <v>1076</v>
      </c>
      <c r="G7" s="20"/>
      <c r="H7" s="100">
        <v>400</v>
      </c>
      <c r="I7" s="76"/>
      <c r="J7" s="18"/>
      <c r="K7" s="20"/>
      <c r="L7" s="77"/>
      <c r="N7" s="18" t="s">
        <v>1073</v>
      </c>
      <c r="O7" s="20"/>
      <c r="P7" s="100">
        <v>5500</v>
      </c>
      <c r="R7" s="219"/>
      <c r="S7" s="20">
        <v>1000</v>
      </c>
      <c r="T7" s="77"/>
      <c r="V7" s="219"/>
      <c r="W7" s="20"/>
      <c r="X7" s="77"/>
    </row>
    <row r="8" spans="1:24">
      <c r="B8" s="18" t="s">
        <v>810</v>
      </c>
      <c r="C8" s="20"/>
      <c r="D8" s="100">
        <v>1000</v>
      </c>
      <c r="E8" s="18"/>
      <c r="F8" s="39" t="s">
        <v>1092</v>
      </c>
      <c r="G8" s="20">
        <v>5000</v>
      </c>
      <c r="H8" s="11"/>
      <c r="I8" s="76"/>
      <c r="J8" s="18"/>
      <c r="K8" s="20"/>
      <c r="L8" s="77"/>
      <c r="N8" s="18" t="s">
        <v>76</v>
      </c>
      <c r="O8" s="20"/>
      <c r="P8" s="100">
        <v>1000</v>
      </c>
      <c r="R8" s="219" t="s">
        <v>907</v>
      </c>
      <c r="S8" s="20">
        <v>1000</v>
      </c>
      <c r="T8" s="39"/>
      <c r="V8" s="219"/>
      <c r="W8" s="20"/>
      <c r="X8" s="39"/>
    </row>
    <row r="9" spans="1:24">
      <c r="B9" s="39" t="s">
        <v>1091</v>
      </c>
      <c r="C9" s="169">
        <v>3301.99</v>
      </c>
      <c r="D9" s="11"/>
      <c r="E9" s="174"/>
      <c r="F9" s="39" t="s">
        <v>1093</v>
      </c>
      <c r="G9" s="20"/>
      <c r="H9" s="11">
        <v>8600</v>
      </c>
      <c r="I9" s="18"/>
      <c r="J9" s="18"/>
      <c r="K9" s="20"/>
      <c r="L9" s="77"/>
      <c r="N9" s="18" t="s">
        <v>1077</v>
      </c>
      <c r="O9" s="20"/>
      <c r="P9" s="100">
        <v>900</v>
      </c>
      <c r="R9" s="219"/>
      <c r="S9" s="19">
        <v>1000</v>
      </c>
      <c r="T9" s="18"/>
      <c r="V9" s="219"/>
      <c r="W9" s="19"/>
      <c r="X9" s="18"/>
    </row>
    <row r="10" spans="1:24">
      <c r="B10" s="39" t="s">
        <v>219</v>
      </c>
      <c r="C10" s="166"/>
      <c r="D10" s="100">
        <v>3290</v>
      </c>
      <c r="E10" s="138"/>
      <c r="F10" s="39"/>
      <c r="G10" s="20"/>
      <c r="H10" s="11"/>
      <c r="I10" s="18"/>
      <c r="J10" s="18"/>
      <c r="K10" s="20"/>
      <c r="L10" s="77"/>
      <c r="N10" s="18" t="s">
        <v>1087</v>
      </c>
      <c r="O10" s="20"/>
      <c r="P10" s="100">
        <v>941</v>
      </c>
      <c r="R10" s="219" t="s">
        <v>908</v>
      </c>
      <c r="S10" s="19">
        <v>1000</v>
      </c>
      <c r="T10" s="18"/>
      <c r="V10" s="219"/>
      <c r="W10" s="19"/>
      <c r="X10" s="18"/>
    </row>
    <row r="11" spans="1:24">
      <c r="B11" s="39" t="s">
        <v>1094</v>
      </c>
      <c r="C11" s="169">
        <v>426</v>
      </c>
      <c r="D11" s="11"/>
      <c r="E11" s="138"/>
      <c r="F11" s="39"/>
      <c r="G11" s="20"/>
      <c r="H11" s="11"/>
      <c r="I11" s="18"/>
      <c r="J11" s="18"/>
      <c r="K11" s="20"/>
      <c r="L11" s="77"/>
      <c r="N11" s="18" t="s">
        <v>1088</v>
      </c>
      <c r="O11" s="20"/>
      <c r="P11" s="100">
        <v>560</v>
      </c>
      <c r="R11" s="219"/>
      <c r="S11" s="19"/>
      <c r="T11" s="18"/>
      <c r="V11" s="219"/>
      <c r="W11" s="19"/>
      <c r="X11" s="18"/>
    </row>
    <row r="12" spans="1:24">
      <c r="A12" s="198"/>
      <c r="B12" s="39" t="s">
        <v>106</v>
      </c>
      <c r="C12" s="166"/>
      <c r="D12" s="100">
        <v>300</v>
      </c>
      <c r="E12" s="39"/>
      <c r="F12" s="39"/>
      <c r="G12" s="20"/>
      <c r="H12" s="11"/>
      <c r="I12" s="18"/>
      <c r="J12" s="18"/>
      <c r="K12" s="20"/>
      <c r="L12" s="77"/>
      <c r="N12" s="18" t="s">
        <v>1082</v>
      </c>
      <c r="O12" s="101">
        <v>679</v>
      </c>
      <c r="P12" s="11"/>
      <c r="R12" s="219"/>
      <c r="S12" s="19">
        <v>1000</v>
      </c>
      <c r="V12" s="219"/>
      <c r="W12" s="19"/>
    </row>
    <row r="13" spans="1:24">
      <c r="B13" s="39" t="s">
        <v>1097</v>
      </c>
      <c r="C13" s="166"/>
      <c r="D13" s="100">
        <v>180.44</v>
      </c>
      <c r="E13" s="39"/>
      <c r="F13" s="39"/>
      <c r="G13" s="20"/>
      <c r="H13" s="11"/>
      <c r="I13" s="16"/>
      <c r="J13" s="18"/>
      <c r="K13" s="20"/>
      <c r="L13" s="77"/>
      <c r="N13" s="18" t="s">
        <v>810</v>
      </c>
      <c r="O13" s="20"/>
      <c r="P13" s="100">
        <v>1000</v>
      </c>
      <c r="R13" s="219" t="s">
        <v>1001</v>
      </c>
      <c r="S13" s="19">
        <v>1000</v>
      </c>
      <c r="V13" s="219"/>
      <c r="W13" s="19"/>
    </row>
    <row r="14" spans="1:24">
      <c r="B14" s="39" t="s">
        <v>785</v>
      </c>
      <c r="C14" s="166">
        <v>18001.25</v>
      </c>
      <c r="D14" s="11"/>
      <c r="E14" s="39"/>
      <c r="F14" s="39"/>
      <c r="G14" s="20"/>
      <c r="H14" s="11"/>
      <c r="I14" s="18"/>
      <c r="J14" s="18"/>
      <c r="K14" s="20"/>
      <c r="L14" s="77"/>
      <c r="N14" s="18" t="s">
        <v>47</v>
      </c>
      <c r="O14" s="20"/>
      <c r="P14" s="100">
        <v>413</v>
      </c>
      <c r="Q14" t="s">
        <v>1086</v>
      </c>
      <c r="R14" s="219"/>
      <c r="S14" s="19">
        <v>1000</v>
      </c>
      <c r="V14" s="219"/>
      <c r="W14" s="19"/>
    </row>
    <row r="15" spans="1:24">
      <c r="B15" s="39" t="s">
        <v>106</v>
      </c>
      <c r="C15" s="166"/>
      <c r="D15" s="11">
        <v>7350</v>
      </c>
      <c r="E15" s="39"/>
      <c r="F15" s="39"/>
      <c r="G15" s="20"/>
      <c r="H15" s="11"/>
      <c r="I15" s="18"/>
      <c r="J15" s="18"/>
      <c r="K15" s="20"/>
      <c r="L15" s="77"/>
      <c r="M15" s="2"/>
      <c r="N15" s="18" t="s">
        <v>277</v>
      </c>
      <c r="O15" s="20"/>
      <c r="P15" s="100">
        <v>610</v>
      </c>
      <c r="R15" s="219" t="s">
        <v>1030</v>
      </c>
      <c r="S15" s="19">
        <v>1000</v>
      </c>
      <c r="V15" s="219"/>
      <c r="W15" s="19"/>
    </row>
    <row r="16" spans="1:24">
      <c r="B16" s="39" t="s">
        <v>106</v>
      </c>
      <c r="C16" s="166"/>
      <c r="D16" s="11">
        <v>11000</v>
      </c>
      <c r="E16" s="117"/>
      <c r="F16" s="39"/>
      <c r="G16" s="20"/>
      <c r="H16" s="11"/>
      <c r="I16" s="18"/>
      <c r="J16" s="91"/>
      <c r="K16" s="20"/>
      <c r="L16" s="77"/>
      <c r="N16" s="2" t="s">
        <v>1073</v>
      </c>
      <c r="O16" s="101">
        <v>8600</v>
      </c>
      <c r="P16" s="11"/>
      <c r="R16" s="219"/>
      <c r="S16" s="19">
        <v>1000</v>
      </c>
      <c r="V16" s="219"/>
      <c r="W16" s="19"/>
    </row>
    <row r="17" spans="2:27">
      <c r="B17" s="39" t="s">
        <v>1098</v>
      </c>
      <c r="C17" s="166">
        <v>1.37</v>
      </c>
      <c r="D17" s="11"/>
      <c r="E17" s="39"/>
      <c r="F17" s="39"/>
      <c r="G17" s="20"/>
      <c r="H17" s="11"/>
      <c r="I17" s="18"/>
      <c r="J17" s="18"/>
      <c r="K17" s="20"/>
      <c r="L17" s="77"/>
      <c r="N17" s="18" t="s">
        <v>1075</v>
      </c>
      <c r="O17" s="20"/>
      <c r="P17" s="100">
        <v>5000</v>
      </c>
      <c r="R17" s="219" t="s">
        <v>1051</v>
      </c>
      <c r="S17" s="19">
        <v>1000</v>
      </c>
      <c r="V17" s="219"/>
      <c r="W17" s="19"/>
    </row>
    <row r="18" spans="2:27">
      <c r="B18" s="39" t="s">
        <v>1099</v>
      </c>
      <c r="C18" s="166">
        <v>2000</v>
      </c>
      <c r="D18" s="11"/>
      <c r="E18" s="39"/>
      <c r="F18" s="39"/>
      <c r="G18" s="20"/>
      <c r="H18" s="11"/>
      <c r="I18" s="18"/>
      <c r="J18" s="18"/>
      <c r="K18" s="20"/>
      <c r="L18" s="77"/>
      <c r="M18" s="2"/>
      <c r="N18" s="18"/>
      <c r="O18" s="20"/>
      <c r="P18" s="11"/>
      <c r="R18" s="219"/>
      <c r="S18" s="19">
        <v>1000</v>
      </c>
      <c r="V18" s="219"/>
      <c r="W18" s="19"/>
    </row>
    <row r="19" spans="2:27">
      <c r="B19" s="39" t="s">
        <v>106</v>
      </c>
      <c r="C19" s="166"/>
      <c r="D19" s="11">
        <v>1700</v>
      </c>
      <c r="E19" s="39"/>
      <c r="F19" s="39"/>
      <c r="G19" s="20"/>
      <c r="H19" s="11"/>
      <c r="K19" s="20"/>
      <c r="L19" s="77"/>
      <c r="N19" s="18" t="s">
        <v>1026</v>
      </c>
      <c r="O19" s="20">
        <v>2100</v>
      </c>
      <c r="P19" s="11">
        <v>2100</v>
      </c>
      <c r="R19" t="s">
        <v>1064</v>
      </c>
      <c r="S19" s="19">
        <v>75</v>
      </c>
      <c r="W19" s="19"/>
    </row>
    <row r="20" spans="2:27">
      <c r="B20" s="39" t="s">
        <v>927</v>
      </c>
      <c r="C20" s="166">
        <v>7000</v>
      </c>
      <c r="D20" s="11"/>
      <c r="E20" s="96"/>
      <c r="F20" s="186"/>
      <c r="G20" s="20"/>
      <c r="H20" s="11" t="s">
        <v>80</v>
      </c>
      <c r="J20" s="2"/>
      <c r="K20" s="20"/>
      <c r="L20" s="77"/>
      <c r="M20" s="2"/>
      <c r="N20" s="18" t="s">
        <v>611</v>
      </c>
      <c r="O20" s="20">
        <v>1500</v>
      </c>
      <c r="P20" s="11">
        <v>1500</v>
      </c>
      <c r="R20" s="217" t="s">
        <v>1090</v>
      </c>
      <c r="S20" s="19">
        <v>1000</v>
      </c>
      <c r="V20" s="217"/>
      <c r="W20" s="19"/>
    </row>
    <row r="21" spans="2:27">
      <c r="B21" s="39" t="s">
        <v>144</v>
      </c>
      <c r="C21" s="166"/>
      <c r="D21" s="11">
        <v>301.37</v>
      </c>
      <c r="F21" s="39"/>
      <c r="G21" s="20"/>
      <c r="H21" s="11"/>
      <c r="K21" s="20"/>
      <c r="L21" s="77"/>
      <c r="N21" s="18"/>
      <c r="O21" s="20"/>
      <c r="P21" s="11"/>
      <c r="R21" s="217"/>
      <c r="V21" s="217"/>
    </row>
    <row r="22" spans="2:27">
      <c r="B22" s="39" t="s">
        <v>1126</v>
      </c>
      <c r="C22" s="166">
        <v>10000</v>
      </c>
      <c r="D22" s="11"/>
      <c r="F22" s="39"/>
      <c r="G22" s="20"/>
      <c r="H22" s="11"/>
      <c r="L22" s="77"/>
      <c r="N22" s="18" t="s">
        <v>1116</v>
      </c>
      <c r="O22" s="101">
        <v>40000</v>
      </c>
      <c r="P22" s="11"/>
    </row>
    <row r="23" spans="2:27">
      <c r="B23" s="39" t="s">
        <v>1127</v>
      </c>
      <c r="C23" s="166">
        <v>300</v>
      </c>
      <c r="D23" s="11"/>
      <c r="F23" s="39"/>
      <c r="G23" s="20"/>
      <c r="H23" s="11"/>
      <c r="L23" s="77"/>
      <c r="N23" s="18" t="s">
        <v>1117</v>
      </c>
      <c r="O23" s="20"/>
      <c r="P23" s="100">
        <v>9000</v>
      </c>
    </row>
    <row r="24" spans="2:27">
      <c r="B24" s="39"/>
      <c r="C24" s="166"/>
      <c r="D24" s="11"/>
      <c r="G24" s="20"/>
      <c r="H24" s="11"/>
      <c r="L24" s="77"/>
      <c r="N24" s="18" t="s">
        <v>1118</v>
      </c>
      <c r="O24" s="20"/>
      <c r="P24" s="100">
        <v>2000</v>
      </c>
    </row>
    <row r="25" spans="2:27">
      <c r="B25" s="39"/>
      <c r="C25" s="166"/>
      <c r="D25" s="11"/>
      <c r="G25" s="20"/>
      <c r="H25" s="11"/>
      <c r="L25" s="77"/>
      <c r="N25" s="18" t="s">
        <v>919</v>
      </c>
      <c r="O25" s="101">
        <v>397.7</v>
      </c>
      <c r="P25" s="11"/>
    </row>
    <row r="26" spans="2:27">
      <c r="B26" s="39"/>
      <c r="C26" s="166"/>
      <c r="D26" s="11"/>
      <c r="G26" s="20"/>
      <c r="H26" s="11"/>
      <c r="L26" s="77"/>
      <c r="N26" s="18" t="s">
        <v>1119</v>
      </c>
      <c r="O26" s="20"/>
      <c r="P26" s="11">
        <v>31200</v>
      </c>
    </row>
    <row r="27" spans="2:27">
      <c r="B27" s="39"/>
      <c r="C27" s="166"/>
      <c r="D27" s="11"/>
      <c r="G27" s="20"/>
      <c r="H27" s="11"/>
      <c r="I27">
        <f>9633.63-1900</f>
        <v>7733.6299999999992</v>
      </c>
      <c r="L27" s="77"/>
      <c r="N27" s="18" t="s">
        <v>1120</v>
      </c>
      <c r="O27" s="20"/>
      <c r="P27" s="11">
        <v>400</v>
      </c>
      <c r="R27" t="s">
        <v>80</v>
      </c>
      <c r="V27" t="s">
        <v>80</v>
      </c>
    </row>
    <row r="28" spans="2:27">
      <c r="B28" s="39"/>
      <c r="C28" s="166"/>
      <c r="D28" s="11"/>
      <c r="G28" s="20"/>
      <c r="H28" s="11"/>
      <c r="L28" s="77"/>
      <c r="N28" s="18" t="s">
        <v>1121</v>
      </c>
      <c r="O28" s="20"/>
      <c r="P28" s="100">
        <v>300</v>
      </c>
    </row>
    <row r="29" spans="2:27">
      <c r="B29" s="39"/>
      <c r="C29" s="166"/>
      <c r="D29" s="11"/>
      <c r="G29" s="20"/>
      <c r="H29" s="11"/>
      <c r="L29" s="77"/>
      <c r="N29" s="18"/>
      <c r="O29" s="20"/>
      <c r="P29" s="11"/>
    </row>
    <row r="30" spans="2:27" ht="15.75" thickBot="1">
      <c r="B30" s="39"/>
      <c r="C30" s="20"/>
      <c r="D30" s="11"/>
      <c r="G30" s="20"/>
      <c r="H30" s="11"/>
      <c r="L30" s="77"/>
      <c r="O30" s="20"/>
      <c r="P30" s="11"/>
    </row>
    <row r="31" spans="2:27">
      <c r="B31" s="39"/>
      <c r="C31" s="20"/>
      <c r="D31" s="11"/>
      <c r="G31" s="20"/>
      <c r="H31" s="19"/>
      <c r="Y31" t="s">
        <v>899</v>
      </c>
      <c r="AA31" s="179"/>
    </row>
    <row r="32" spans="2:27">
      <c r="B32" t="s">
        <v>2</v>
      </c>
      <c r="C32" s="2">
        <f>SUM(C2:C30)</f>
        <v>44321.81</v>
      </c>
      <c r="D32" s="2">
        <f>SUM(D5:D31)</f>
        <v>27021.809999999998</v>
      </c>
      <c r="F32" t="s">
        <v>2</v>
      </c>
      <c r="G32" s="2">
        <f>SUM(G2:G31)</f>
        <v>14100</v>
      </c>
      <c r="H32" s="2">
        <f>SUM(H3:H31)</f>
        <v>14100</v>
      </c>
      <c r="J32" t="s">
        <v>2</v>
      </c>
      <c r="K32" s="2">
        <f>SUM(K1:K10)</f>
        <v>47025.46</v>
      </c>
      <c r="L32" s="2">
        <f>SUM(L2:L10)</f>
        <v>21300</v>
      </c>
      <c r="N32" t="s">
        <v>2</v>
      </c>
      <c r="O32" s="2">
        <f>SUM(O1:O30)</f>
        <v>70902.22</v>
      </c>
      <c r="P32" s="2">
        <f>SUM(P2:P30)</f>
        <v>67924</v>
      </c>
      <c r="R32" t="s">
        <v>2</v>
      </c>
      <c r="S32" s="2">
        <f>SUM(S1:S29)</f>
        <v>13075</v>
      </c>
      <c r="T32" s="2">
        <f>SUM(T2:T10)</f>
        <v>0</v>
      </c>
      <c r="V32" t="s">
        <v>2</v>
      </c>
      <c r="W32" s="2">
        <f>SUM(W1:W30)</f>
        <v>0</v>
      </c>
      <c r="X32" s="2">
        <f>SUM(X2:X10)</f>
        <v>0</v>
      </c>
      <c r="AA32" s="177"/>
    </row>
    <row r="33" spans="1:27">
      <c r="D33" s="2">
        <f>C32-D32</f>
        <v>17300</v>
      </c>
      <c r="H33" s="2">
        <f>G32-H32</f>
        <v>0</v>
      </c>
      <c r="L33" s="2">
        <f>K32-L32</f>
        <v>25725.46</v>
      </c>
      <c r="P33" s="2">
        <f>O32-P32</f>
        <v>2978.2200000000012</v>
      </c>
      <c r="T33" s="2">
        <f>S32-T32</f>
        <v>13075</v>
      </c>
      <c r="X33" s="2">
        <f>W32-X32</f>
        <v>0</v>
      </c>
      <c r="AA33" s="177"/>
    </row>
    <row r="34" spans="1:27">
      <c r="A34">
        <v>1032.8900000000001</v>
      </c>
      <c r="AA34" s="177"/>
    </row>
    <row r="35" spans="1:27">
      <c r="A35" s="2">
        <f>A34-D33</f>
        <v>-16267.11</v>
      </c>
      <c r="V35" s="102">
        <v>43330</v>
      </c>
      <c r="AA35" s="177"/>
    </row>
    <row r="36" spans="1:27" ht="15.75" thickBot="1">
      <c r="C36" s="217" t="s">
        <v>12</v>
      </c>
      <c r="D36" s="217"/>
      <c r="G36" s="217" t="s">
        <v>16</v>
      </c>
      <c r="H36" s="217"/>
      <c r="K36" s="217" t="s">
        <v>77</v>
      </c>
      <c r="L36" s="217"/>
      <c r="O36" s="217" t="s">
        <v>90</v>
      </c>
      <c r="P36" s="217"/>
      <c r="S36" t="s">
        <v>163</v>
      </c>
      <c r="T36" t="s">
        <v>335</v>
      </c>
      <c r="U36" t="s">
        <v>165</v>
      </c>
      <c r="V36" t="s">
        <v>336</v>
      </c>
      <c r="W36" t="s">
        <v>337</v>
      </c>
      <c r="X36" t="s">
        <v>338</v>
      </c>
      <c r="AA36" s="178"/>
    </row>
    <row r="37" spans="1:27">
      <c r="B37" t="s">
        <v>0</v>
      </c>
      <c r="C37" s="3">
        <v>0</v>
      </c>
      <c r="D37" s="4"/>
      <c r="F37" t="s">
        <v>0</v>
      </c>
      <c r="G37" s="3"/>
      <c r="H37" s="11">
        <v>920.89</v>
      </c>
      <c r="J37" t="s">
        <v>979</v>
      </c>
      <c r="K37" s="3">
        <v>0</v>
      </c>
      <c r="L37" s="168">
        <v>539.6</v>
      </c>
      <c r="M37" s="33"/>
      <c r="N37" t="s">
        <v>0</v>
      </c>
      <c r="O37" s="3"/>
      <c r="P37" s="183">
        <v>6863.66</v>
      </c>
      <c r="R37" t="s">
        <v>1003</v>
      </c>
      <c r="S37" s="101">
        <v>-5869</v>
      </c>
      <c r="T37" s="118">
        <v>18</v>
      </c>
      <c r="U37" s="119">
        <f t="shared" ref="U37:U44" si="0">S37/T37</f>
        <v>-326.05555555555554</v>
      </c>
      <c r="V37" s="118">
        <v>3</v>
      </c>
      <c r="W37" s="119">
        <f>U37*V37</f>
        <v>-978.16666666666663</v>
      </c>
      <c r="X37" s="119">
        <f>S37-W37</f>
        <v>-4890.833333333333</v>
      </c>
      <c r="Y37" t="s">
        <v>437</v>
      </c>
    </row>
    <row r="38" spans="1:27">
      <c r="B38" s="39" t="s">
        <v>1078</v>
      </c>
      <c r="C38" s="1">
        <v>1672</v>
      </c>
      <c r="D38" s="1">
        <v>0</v>
      </c>
      <c r="F38" s="39" t="s">
        <v>427</v>
      </c>
      <c r="G38" s="1"/>
      <c r="H38" s="100">
        <v>799.25</v>
      </c>
      <c r="J38" t="s">
        <v>169</v>
      </c>
      <c r="K38" s="19">
        <v>560</v>
      </c>
      <c r="L38" s="11"/>
      <c r="M38" s="29"/>
      <c r="N38" t="s">
        <v>169</v>
      </c>
      <c r="O38" s="27">
        <v>499.28</v>
      </c>
      <c r="P38" s="11"/>
      <c r="Q38" s="93"/>
      <c r="S38" s="101"/>
      <c r="T38" s="118"/>
      <c r="U38" s="119"/>
      <c r="V38" s="118"/>
      <c r="W38" s="119"/>
      <c r="X38" s="119"/>
    </row>
    <row r="39" spans="1:27">
      <c r="B39" s="39" t="s">
        <v>1079</v>
      </c>
      <c r="C39" s="1">
        <v>1672</v>
      </c>
      <c r="D39" s="11"/>
      <c r="F39" s="39" t="s">
        <v>1083</v>
      </c>
      <c r="H39" s="100">
        <v>1018.92</v>
      </c>
      <c r="I39" s="8"/>
      <c r="J39" t="s">
        <v>47</v>
      </c>
      <c r="K39" s="19"/>
      <c r="L39" s="11">
        <v>413</v>
      </c>
      <c r="N39" t="s">
        <v>1065</v>
      </c>
      <c r="O39" s="19"/>
      <c r="P39" s="24">
        <v>53</v>
      </c>
      <c r="S39" s="101"/>
      <c r="T39" s="118"/>
      <c r="U39" s="119"/>
      <c r="V39" s="118"/>
      <c r="W39" s="119"/>
      <c r="X39" s="119"/>
    </row>
    <row r="40" spans="1:27">
      <c r="B40" s="39" t="s">
        <v>1080</v>
      </c>
      <c r="C40" s="1"/>
      <c r="D40" s="11">
        <v>3000</v>
      </c>
      <c r="F40" s="39" t="s">
        <v>20</v>
      </c>
      <c r="G40" s="1"/>
      <c r="H40" s="100">
        <v>149</v>
      </c>
      <c r="J40" t="s">
        <v>169</v>
      </c>
      <c r="K40" s="19">
        <v>413</v>
      </c>
      <c r="L40" s="11"/>
      <c r="N40" s="39" t="s">
        <v>391</v>
      </c>
      <c r="O40" s="19"/>
      <c r="P40" s="24">
        <v>149</v>
      </c>
      <c r="Q40" s="29"/>
      <c r="S40" s="101"/>
      <c r="T40" s="118"/>
      <c r="U40" s="119"/>
      <c r="V40" s="118"/>
      <c r="W40" s="119"/>
      <c r="X40" s="119"/>
    </row>
    <row r="41" spans="1:27">
      <c r="B41" s="39"/>
      <c r="C41" s="20"/>
      <c r="D41" s="11"/>
      <c r="F41" s="39" t="s">
        <v>1084</v>
      </c>
      <c r="G41" s="1"/>
      <c r="H41" s="100">
        <v>5018</v>
      </c>
      <c r="J41" t="s">
        <v>1021</v>
      </c>
      <c r="K41" s="19"/>
      <c r="L41" s="11">
        <v>520.5</v>
      </c>
      <c r="N41" s="39" t="s">
        <v>1066</v>
      </c>
      <c r="O41" s="19"/>
      <c r="P41" s="24">
        <v>699.93</v>
      </c>
      <c r="S41" s="101"/>
      <c r="T41" s="118"/>
      <c r="U41" s="119"/>
      <c r="V41" s="118"/>
      <c r="W41" s="119"/>
      <c r="X41" s="119"/>
    </row>
    <row r="42" spans="1:27">
      <c r="B42" s="39"/>
      <c r="C42" s="20"/>
      <c r="D42" s="11"/>
      <c r="F42" s="39" t="s">
        <v>1085</v>
      </c>
      <c r="G42" s="101">
        <v>1500</v>
      </c>
      <c r="H42" s="11"/>
      <c r="J42" t="s">
        <v>169</v>
      </c>
      <c r="K42" s="19">
        <v>300</v>
      </c>
      <c r="L42" s="11"/>
      <c r="M42" s="29"/>
      <c r="N42" s="39" t="s">
        <v>1066</v>
      </c>
      <c r="O42" s="19"/>
      <c r="P42" s="24">
        <v>1469.8</v>
      </c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ref="W42:W44" si="1">U42*V42</f>
        <v>0</v>
      </c>
      <c r="X42" s="119">
        <f t="shared" ref="X42:X44" si="2">S42-W42</f>
        <v>0</v>
      </c>
    </row>
    <row r="43" spans="1:27" ht="17.25">
      <c r="B43" s="39"/>
      <c r="C43" s="20"/>
      <c r="D43" s="11"/>
      <c r="F43" s="39" t="s">
        <v>169</v>
      </c>
      <c r="G43" s="101">
        <v>941</v>
      </c>
      <c r="H43" s="11"/>
      <c r="J43" t="s">
        <v>169</v>
      </c>
      <c r="K43" s="19">
        <v>301.37</v>
      </c>
      <c r="L43" s="11"/>
      <c r="M43" s="29"/>
      <c r="N43" s="39" t="s">
        <v>1061</v>
      </c>
      <c r="O43" s="19"/>
      <c r="P43" s="214">
        <v>1199.4000000000001</v>
      </c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F44" s="39" t="s">
        <v>169</v>
      </c>
      <c r="G44" s="101">
        <v>3290</v>
      </c>
      <c r="H44" s="11"/>
      <c r="J44" t="s">
        <v>1123</v>
      </c>
      <c r="K44" s="19"/>
      <c r="L44" s="11">
        <v>188.63</v>
      </c>
      <c r="N44" s="39" t="s">
        <v>169</v>
      </c>
      <c r="O44" s="215">
        <v>729.67</v>
      </c>
      <c r="P44" s="11"/>
      <c r="Q44" s="29"/>
      <c r="S44" s="101">
        <v>0</v>
      </c>
      <c r="T44" s="118">
        <v>1</v>
      </c>
      <c r="U44" s="119">
        <f t="shared" si="0"/>
        <v>0</v>
      </c>
      <c r="V44" s="118">
        <v>1</v>
      </c>
      <c r="W44" s="119">
        <f t="shared" si="1"/>
        <v>0</v>
      </c>
      <c r="X44" s="119">
        <f t="shared" si="2"/>
        <v>0</v>
      </c>
    </row>
    <row r="45" spans="1:27">
      <c r="B45" s="39"/>
      <c r="C45" s="20"/>
      <c r="D45" s="11"/>
      <c r="F45" s="39" t="s">
        <v>21</v>
      </c>
      <c r="H45" s="100">
        <v>198.99</v>
      </c>
      <c r="K45" s="19"/>
      <c r="L45" s="11"/>
      <c r="N45" s="39" t="s">
        <v>169</v>
      </c>
      <c r="O45" s="27">
        <v>1500</v>
      </c>
      <c r="P45" s="11"/>
      <c r="Q45" s="8"/>
      <c r="R45" t="s">
        <v>11</v>
      </c>
      <c r="S45" s="2">
        <f>SUM(S37:S44)</f>
        <v>-5869</v>
      </c>
      <c r="X45" s="2">
        <f>SUM(X37:X44)</f>
        <v>-4890.833333333333</v>
      </c>
    </row>
    <row r="46" spans="1:27">
      <c r="B46" s="39"/>
      <c r="C46" s="20"/>
      <c r="D46" s="11"/>
      <c r="F46" s="39" t="s">
        <v>1095</v>
      </c>
      <c r="G46" s="1"/>
      <c r="H46" s="100">
        <v>139</v>
      </c>
      <c r="K46" s="19"/>
      <c r="L46" s="11"/>
      <c r="N46" s="39" t="s">
        <v>1067</v>
      </c>
      <c r="O46" s="19"/>
      <c r="P46" s="113">
        <v>1222.6099999999999</v>
      </c>
    </row>
    <row r="47" spans="1:27">
      <c r="B47" s="39"/>
      <c r="C47" s="20"/>
      <c r="D47" s="11"/>
      <c r="F47" s="39" t="s">
        <v>1096</v>
      </c>
      <c r="G47" s="118">
        <v>180.44</v>
      </c>
      <c r="H47" s="11"/>
      <c r="K47" s="19"/>
      <c r="L47" s="11"/>
      <c r="N47" s="39" t="s">
        <v>169</v>
      </c>
      <c r="O47" s="27">
        <v>1900</v>
      </c>
      <c r="P47" s="11"/>
      <c r="Q47" s="33"/>
      <c r="S47" s="2"/>
    </row>
    <row r="48" spans="1:27">
      <c r="B48" s="12"/>
      <c r="C48" s="20"/>
      <c r="D48" s="11"/>
      <c r="E48" s="29"/>
      <c r="F48" s="39" t="s">
        <v>1124</v>
      </c>
      <c r="H48" s="100">
        <v>45</v>
      </c>
      <c r="K48" s="19"/>
      <c r="L48" s="11"/>
      <c r="N48" s="39"/>
      <c r="O48" s="19"/>
      <c r="P48" s="24">
        <v>705.18</v>
      </c>
      <c r="S48" s="2"/>
      <c r="Z48">
        <f>1000*(0.2699/365)*15</f>
        <v>11.091780821917807</v>
      </c>
    </row>
    <row r="49" spans="2:28">
      <c r="B49" s="12"/>
      <c r="C49" s="20"/>
      <c r="D49" s="11"/>
      <c r="E49" s="29"/>
      <c r="H49" s="14"/>
      <c r="K49" s="19"/>
      <c r="L49" s="11"/>
      <c r="N49" s="39" t="s">
        <v>94</v>
      </c>
      <c r="O49" s="19">
        <v>1890</v>
      </c>
      <c r="P49" s="11"/>
      <c r="S49" s="2"/>
    </row>
    <row r="50" spans="2:28">
      <c r="B50" s="12"/>
      <c r="C50" s="20"/>
      <c r="D50" s="11"/>
      <c r="H50" s="11"/>
      <c r="L50" s="11"/>
      <c r="N50" s="39" t="s">
        <v>169</v>
      </c>
      <c r="O50" s="19">
        <v>400</v>
      </c>
      <c r="P50" s="11"/>
      <c r="Q50" t="s">
        <v>1068</v>
      </c>
      <c r="R50">
        <v>2380.7399999999998</v>
      </c>
      <c r="S50" s="2"/>
    </row>
    <row r="51" spans="2:28">
      <c r="B51" s="12"/>
      <c r="C51" s="20"/>
      <c r="D51" s="11"/>
      <c r="E51" s="29"/>
      <c r="H51" s="14"/>
      <c r="L51" s="11"/>
      <c r="M51" s="33"/>
      <c r="N51" s="39" t="s">
        <v>1122</v>
      </c>
      <c r="O51" s="19"/>
      <c r="P51" s="11">
        <v>380</v>
      </c>
      <c r="S51" s="2"/>
    </row>
    <row r="52" spans="2:28">
      <c r="B52" s="12"/>
      <c r="C52" s="1"/>
      <c r="D52" s="11"/>
      <c r="E52" s="29"/>
      <c r="H52" s="11"/>
      <c r="L52" s="11"/>
      <c r="M52" s="33"/>
      <c r="N52" s="39" t="s">
        <v>165</v>
      </c>
      <c r="O52" s="19">
        <v>400</v>
      </c>
      <c r="P52" s="11"/>
      <c r="U52" s="29"/>
    </row>
    <row r="53" spans="2:28">
      <c r="B53" s="12"/>
      <c r="C53" s="1"/>
      <c r="D53" s="11"/>
      <c r="H53" s="14"/>
      <c r="L53" s="11"/>
      <c r="N53" s="39"/>
      <c r="O53" s="19"/>
      <c r="P53" s="11"/>
      <c r="U53" s="2"/>
      <c r="V53" s="2"/>
    </row>
    <row r="54" spans="2:28">
      <c r="B54" s="12"/>
      <c r="C54" s="1"/>
      <c r="D54" s="11"/>
      <c r="S54" s="1"/>
    </row>
    <row r="55" spans="2:28">
      <c r="B55" t="s">
        <v>2</v>
      </c>
      <c r="C55" s="2">
        <f>SUM(C37:C52)</f>
        <v>3344</v>
      </c>
      <c r="D55" s="2">
        <f>SUM(D38:D54)</f>
        <v>3000</v>
      </c>
      <c r="F55" t="s">
        <v>2</v>
      </c>
      <c r="G55" s="2">
        <f>SUM(G37:G54)</f>
        <v>5911.44</v>
      </c>
      <c r="H55" s="2">
        <f>SUM(H37:H53)</f>
        <v>8289.0499999999993</v>
      </c>
      <c r="J55" t="s">
        <v>2</v>
      </c>
      <c r="K55" s="2">
        <f>SUM(K37:K52)</f>
        <v>1574.37</v>
      </c>
      <c r="L55" s="2">
        <f>SUM(L37:L51)</f>
        <v>1661.73</v>
      </c>
      <c r="N55" t="s">
        <v>2</v>
      </c>
      <c r="O55" s="2">
        <f>SUM(O37:O54)</f>
        <v>7318.95</v>
      </c>
      <c r="P55" s="2">
        <f>SUM(P37:P54)</f>
        <v>12742.58</v>
      </c>
      <c r="S55" s="1"/>
      <c r="T55" s="33"/>
      <c r="U55" s="2"/>
      <c r="V55" s="2"/>
    </row>
    <row r="56" spans="2:28">
      <c r="D56" s="2">
        <f>C55-D55</f>
        <v>344</v>
      </c>
      <c r="H56" s="2">
        <f>G55-H55</f>
        <v>-2377.6099999999997</v>
      </c>
      <c r="L56" s="2">
        <f>K55-L55</f>
        <v>-87.360000000000127</v>
      </c>
      <c r="M56" t="s">
        <v>879</v>
      </c>
      <c r="N56" s="2">
        <f>X38</f>
        <v>0</v>
      </c>
      <c r="P56" s="2">
        <f>O55-P55</f>
        <v>-5423.63</v>
      </c>
      <c r="Q56" t="s">
        <v>1012</v>
      </c>
      <c r="R56" s="2">
        <f>X45</f>
        <v>-4890.833333333333</v>
      </c>
      <c r="S56" s="1"/>
      <c r="AA56" t="s">
        <v>239</v>
      </c>
      <c r="AB56" s="1">
        <v>10261.049999999999</v>
      </c>
    </row>
    <row r="57" spans="2:28">
      <c r="L57" s="2">
        <f>L56-N56</f>
        <v>-87.360000000000127</v>
      </c>
      <c r="P57" s="2">
        <f>P56-R56</f>
        <v>-532.79666666666708</v>
      </c>
      <c r="S57" s="1"/>
      <c r="U57" s="165"/>
      <c r="V57" s="143"/>
      <c r="W57" s="93"/>
      <c r="AA57" t="s">
        <v>240</v>
      </c>
      <c r="AB57" s="1">
        <v>7081.32</v>
      </c>
    </row>
    <row r="58" spans="2:28">
      <c r="B58" t="s">
        <v>282</v>
      </c>
      <c r="R58" s="2"/>
      <c r="S58" s="1"/>
      <c r="AA58" t="s">
        <v>241</v>
      </c>
      <c r="AB58" s="1">
        <f>AB56-AB57</f>
        <v>3179.7299999999996</v>
      </c>
    </row>
    <row r="59" spans="2:28">
      <c r="E59" t="s">
        <v>235</v>
      </c>
      <c r="H59" s="2">
        <v>2640.29</v>
      </c>
      <c r="L59" s="2">
        <v>620</v>
      </c>
      <c r="P59" s="2">
        <v>0</v>
      </c>
      <c r="S59" s="1"/>
      <c r="AA59" t="s">
        <v>242</v>
      </c>
      <c r="AB59" s="2">
        <f>AB58/2</f>
        <v>1589.8649999999998</v>
      </c>
    </row>
    <row r="61" spans="2:28">
      <c r="D61" t="s">
        <v>138</v>
      </c>
      <c r="E61" s="34" t="s">
        <v>120</v>
      </c>
      <c r="F61" s="41"/>
      <c r="G61" s="41"/>
      <c r="H61" s="51">
        <v>0</v>
      </c>
      <c r="I61" s="41"/>
      <c r="J61" s="41"/>
      <c r="K61" s="41"/>
      <c r="L61" s="51">
        <v>1590</v>
      </c>
      <c r="M61" s="41"/>
      <c r="N61" s="41"/>
      <c r="O61" s="41"/>
      <c r="P61" s="51"/>
      <c r="V61" t="s">
        <v>114</v>
      </c>
      <c r="W61" t="s">
        <v>115</v>
      </c>
      <c r="X61" t="s">
        <v>116</v>
      </c>
    </row>
    <row r="62" spans="2:28">
      <c r="E62" s="36" t="s">
        <v>121</v>
      </c>
      <c r="F62" s="22"/>
      <c r="G62" s="22"/>
      <c r="H62" s="43">
        <v>0</v>
      </c>
      <c r="I62" s="22"/>
      <c r="J62" s="22"/>
      <c r="K62" s="22"/>
      <c r="L62" s="43">
        <v>706.66</v>
      </c>
      <c r="M62" s="22"/>
      <c r="N62" s="22"/>
      <c r="O62" s="22"/>
      <c r="P62" s="43"/>
      <c r="Z62" t="s">
        <v>119</v>
      </c>
      <c r="AA62" t="s">
        <v>11</v>
      </c>
    </row>
    <row r="63" spans="2:28">
      <c r="E63" s="37" t="s">
        <v>122</v>
      </c>
      <c r="F63" s="44"/>
      <c r="G63" s="44"/>
      <c r="H63" s="45">
        <f>H61+H59</f>
        <v>2640.29</v>
      </c>
      <c r="I63" s="44"/>
      <c r="J63" s="44"/>
      <c r="K63" s="44"/>
      <c r="L63" s="45">
        <f>L61+L59</f>
        <v>2210</v>
      </c>
      <c r="M63" s="44"/>
      <c r="N63" s="44"/>
      <c r="O63" s="44"/>
      <c r="P63" s="45"/>
      <c r="T63" t="s">
        <v>98</v>
      </c>
      <c r="V63" s="1">
        <f>Z63-Z64</f>
        <v>0</v>
      </c>
      <c r="W63" s="2">
        <f>S64-V63</f>
        <v>3260.29</v>
      </c>
      <c r="X63" s="2">
        <f>W63/2</f>
        <v>1630.145</v>
      </c>
      <c r="Z63" s="1">
        <v>2100</v>
      </c>
      <c r="AA63" s="2">
        <f>X65+Z63</f>
        <v>3730.145</v>
      </c>
    </row>
    <row r="64" spans="2:28">
      <c r="E64" s="22"/>
      <c r="F64" s="22"/>
      <c r="G64" s="22"/>
      <c r="H64" s="25"/>
      <c r="I64" s="22"/>
      <c r="J64" s="22"/>
      <c r="K64" s="22"/>
      <c r="L64" s="25"/>
      <c r="M64" s="22"/>
      <c r="N64" s="22"/>
      <c r="O64" s="22"/>
      <c r="P64" s="25"/>
      <c r="S64" s="1">
        <f>ABS(H59+L59+P59)</f>
        <v>3260.29</v>
      </c>
      <c r="Z64" s="1">
        <v>2100</v>
      </c>
      <c r="AA64" s="2">
        <f>X66+Z64</f>
        <v>3730.145</v>
      </c>
    </row>
    <row r="65" spans="4:26">
      <c r="D65" t="s">
        <v>139</v>
      </c>
      <c r="H65" s="2"/>
      <c r="L65" s="2"/>
      <c r="P65" s="2"/>
      <c r="S65" s="1"/>
      <c r="W65" t="s">
        <v>117</v>
      </c>
      <c r="X65" s="2">
        <f>ABS(X63)</f>
        <v>1630.145</v>
      </c>
    </row>
    <row r="66" spans="4:26">
      <c r="E66" s="34" t="s">
        <v>169</v>
      </c>
      <c r="F66" s="41"/>
      <c r="G66" s="41"/>
      <c r="H66" s="51"/>
      <c r="I66" s="41"/>
      <c r="J66" s="41"/>
      <c r="K66" s="41"/>
      <c r="L66" s="51"/>
      <c r="M66" s="41"/>
      <c r="N66" s="41"/>
      <c r="O66" s="41"/>
      <c r="P66" s="53"/>
      <c r="W66" t="s">
        <v>118</v>
      </c>
      <c r="X66" s="1">
        <f>V63+ABS(X63)</f>
        <v>1630.145</v>
      </c>
      <c r="Z66" s="2"/>
    </row>
    <row r="67" spans="4:26">
      <c r="E67" s="36" t="s">
        <v>244</v>
      </c>
      <c r="F67" s="22"/>
      <c r="G67" s="22"/>
      <c r="H67" s="43"/>
      <c r="I67" s="22"/>
      <c r="J67" s="22"/>
      <c r="K67" s="22"/>
      <c r="L67" s="43"/>
      <c r="M67" s="22"/>
      <c r="N67" s="22"/>
      <c r="O67" s="22"/>
      <c r="P67" s="43"/>
      <c r="T67" s="2"/>
    </row>
    <row r="68" spans="4:26">
      <c r="E68" s="37" t="s">
        <v>122</v>
      </c>
      <c r="F68" s="44"/>
      <c r="G68" s="44"/>
      <c r="H68" s="45"/>
      <c r="I68" s="44"/>
      <c r="J68" s="44"/>
      <c r="K68" s="44"/>
      <c r="L68" s="45"/>
      <c r="M68" s="44"/>
      <c r="N68" s="44"/>
      <c r="O68" s="44"/>
      <c r="P68" s="45"/>
    </row>
    <row r="69" spans="4:26">
      <c r="L69" s="60"/>
      <c r="P69" s="27"/>
    </row>
    <row r="70" spans="4:26">
      <c r="X70" s="1"/>
    </row>
    <row r="71" spans="4:26">
      <c r="X71" s="2"/>
    </row>
    <row r="74" spans="4:26">
      <c r="F74" s="2">
        <f>13338.18+H56</f>
        <v>10960.57</v>
      </c>
    </row>
    <row r="83" spans="2:19">
      <c r="S83">
        <f>2032.67*3</f>
        <v>6098.01</v>
      </c>
    </row>
    <row r="88" spans="2:19">
      <c r="B88">
        <f>879+179</f>
        <v>1058</v>
      </c>
    </row>
    <row r="92" spans="2:19">
      <c r="C92">
        <v>5003.9399999999996</v>
      </c>
    </row>
    <row r="93" spans="2:19">
      <c r="C93">
        <v>-950</v>
      </c>
    </row>
    <row r="94" spans="2:19">
      <c r="C94">
        <v>-3349.1</v>
      </c>
    </row>
  </sheetData>
  <mergeCells count="28">
    <mergeCell ref="V10:V12"/>
    <mergeCell ref="V13:V14"/>
    <mergeCell ref="V15:V16"/>
    <mergeCell ref="V17:V18"/>
    <mergeCell ref="C36:D36"/>
    <mergeCell ref="G36:H36"/>
    <mergeCell ref="K36:L36"/>
    <mergeCell ref="O36:P36"/>
    <mergeCell ref="V20:V21"/>
    <mergeCell ref="R13:R14"/>
    <mergeCell ref="R15:R16"/>
    <mergeCell ref="R17:R18"/>
    <mergeCell ref="R20:R21"/>
    <mergeCell ref="R10:R12"/>
    <mergeCell ref="V2:V3"/>
    <mergeCell ref="V4:V5"/>
    <mergeCell ref="R6:R7"/>
    <mergeCell ref="V6:V7"/>
    <mergeCell ref="R8:R9"/>
    <mergeCell ref="V8:V9"/>
    <mergeCell ref="R2:R3"/>
    <mergeCell ref="R4:R5"/>
    <mergeCell ref="W1:X1"/>
    <mergeCell ref="C1:D1"/>
    <mergeCell ref="G1:H1"/>
    <mergeCell ref="K1:L1"/>
    <mergeCell ref="O1:P1"/>
    <mergeCell ref="S1:T1"/>
  </mergeCells>
  <conditionalFormatting sqref="P56 L56 H33 L33 D56 H56 D33 P33 T33 X33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B94"/>
  <sheetViews>
    <sheetView tabSelected="1" topLeftCell="G1" workbookViewId="0">
      <selection activeCell="H11" sqref="H11"/>
    </sheetView>
  </sheetViews>
  <sheetFormatPr baseColWidth="10" defaultRowHeight="15"/>
  <cols>
    <col min="3" max="3" width="19.5703125" customWidth="1"/>
    <col min="4" max="4" width="16.140625" customWidth="1"/>
    <col min="5" max="5" width="11.85546875" bestFit="1" customWidth="1"/>
    <col min="7" max="7" width="15.42578125" customWidth="1"/>
    <col min="8" max="8" width="16.7109375" customWidth="1"/>
    <col min="10" max="10" width="11.85546875" bestFit="1" customWidth="1"/>
    <col min="11" max="11" width="12.7109375" bestFit="1" customWidth="1"/>
    <col min="12" max="12" width="11.5703125" bestFit="1" customWidth="1"/>
    <col min="15" max="15" width="12.7109375" bestFit="1" customWidth="1"/>
    <col min="16" max="16" width="12.5703125" bestFit="1" customWidth="1"/>
    <col min="17" max="17" width="11.5703125" bestFit="1" customWidth="1"/>
    <col min="19" max="19" width="11.5703125" bestFit="1" customWidth="1"/>
    <col min="21" max="21" width="11.5703125" bestFit="1" customWidth="1"/>
    <col min="23" max="24" width="11.5703125" bestFit="1" customWidth="1"/>
    <col min="28" max="28" width="11.5703125" bestFit="1" customWidth="1"/>
  </cols>
  <sheetData>
    <row r="1" spans="1:24">
      <c r="C1" s="217" t="s">
        <v>6</v>
      </c>
      <c r="D1" s="217"/>
      <c r="G1" s="225" t="s">
        <v>1128</v>
      </c>
      <c r="H1" s="225"/>
      <c r="K1" s="218" t="s">
        <v>226</v>
      </c>
      <c r="L1" s="218"/>
      <c r="O1" s="218" t="s">
        <v>1072</v>
      </c>
      <c r="P1" s="218"/>
      <c r="S1" s="218" t="s">
        <v>1048</v>
      </c>
      <c r="T1" s="218"/>
      <c r="W1" s="218" t="s">
        <v>1048</v>
      </c>
      <c r="X1" s="218"/>
    </row>
    <row r="2" spans="1:24">
      <c r="B2" s="18" t="s">
        <v>0</v>
      </c>
      <c r="C2" s="94">
        <v>17300</v>
      </c>
      <c r="D2" s="74"/>
      <c r="E2" s="18"/>
      <c r="F2" s="18" t="s">
        <v>0</v>
      </c>
      <c r="G2" s="75">
        <v>0</v>
      </c>
      <c r="H2" s="74">
        <v>40000</v>
      </c>
      <c r="I2" s="18"/>
      <c r="J2" s="18" t="s">
        <v>0</v>
      </c>
      <c r="K2" s="73">
        <v>25725.46</v>
      </c>
      <c r="L2" s="74"/>
      <c r="M2" s="2"/>
      <c r="N2" s="18"/>
      <c r="O2" s="73">
        <v>24178.22</v>
      </c>
      <c r="P2" s="97"/>
      <c r="R2" s="220" t="s">
        <v>904</v>
      </c>
      <c r="S2" s="73">
        <v>1000</v>
      </c>
      <c r="T2" s="97"/>
      <c r="V2" s="220"/>
      <c r="W2" s="73"/>
      <c r="X2" s="97"/>
    </row>
    <row r="3" spans="1:24">
      <c r="B3" s="18" t="s">
        <v>106</v>
      </c>
      <c r="C3" s="166"/>
      <c r="D3" s="11">
        <v>7500</v>
      </c>
      <c r="E3" s="76"/>
      <c r="F3" s="39" t="s">
        <v>1137</v>
      </c>
      <c r="G3" s="20">
        <v>5000</v>
      </c>
      <c r="H3" s="11"/>
      <c r="I3" s="18"/>
      <c r="J3" s="18" t="s">
        <v>1143</v>
      </c>
      <c r="K3" s="20">
        <v>120.8</v>
      </c>
      <c r="L3" s="11"/>
      <c r="N3" s="18" t="s">
        <v>39</v>
      </c>
      <c r="O3" s="20">
        <v>8332.35</v>
      </c>
      <c r="P3" s="11"/>
      <c r="R3" s="220"/>
      <c r="S3" s="20"/>
      <c r="T3" s="11"/>
      <c r="V3" s="220"/>
      <c r="W3" s="20"/>
      <c r="X3" s="11"/>
    </row>
    <row r="4" spans="1:24">
      <c r="B4" s="18" t="s">
        <v>1144</v>
      </c>
      <c r="C4" s="166"/>
      <c r="D4" s="11">
        <v>80</v>
      </c>
      <c r="E4" s="18"/>
      <c r="F4" s="39" t="s">
        <v>1138</v>
      </c>
      <c r="G4" s="20">
        <v>5000</v>
      </c>
      <c r="H4" s="11"/>
      <c r="I4" s="18"/>
      <c r="J4" s="18"/>
      <c r="K4" s="20"/>
      <c r="L4" s="11"/>
      <c r="N4" s="18" t="s">
        <v>39</v>
      </c>
      <c r="O4" s="20">
        <v>8332.35</v>
      </c>
      <c r="P4" s="11"/>
      <c r="R4" s="221" t="s">
        <v>905</v>
      </c>
      <c r="S4" s="166"/>
      <c r="T4" s="11"/>
      <c r="V4" s="221"/>
      <c r="W4" s="166"/>
      <c r="X4" s="11"/>
    </row>
    <row r="5" spans="1:24">
      <c r="B5" s="18" t="s">
        <v>1134</v>
      </c>
      <c r="C5" s="166"/>
      <c r="D5" s="100">
        <v>2000</v>
      </c>
      <c r="E5" s="18"/>
      <c r="F5" s="39" t="s">
        <v>1135</v>
      </c>
      <c r="G5" s="20">
        <v>7000</v>
      </c>
      <c r="H5" s="11"/>
      <c r="I5" s="18"/>
      <c r="J5" s="18"/>
      <c r="K5" s="20"/>
      <c r="L5" s="77"/>
      <c r="N5" s="18" t="s">
        <v>39</v>
      </c>
      <c r="O5" s="20">
        <v>735.02</v>
      </c>
      <c r="P5" s="11"/>
      <c r="R5" s="222"/>
      <c r="S5" s="20"/>
      <c r="T5" s="11"/>
      <c r="V5" s="222"/>
      <c r="W5" s="20"/>
      <c r="X5" s="11"/>
    </row>
    <row r="6" spans="1:24">
      <c r="B6" s="18" t="s">
        <v>883</v>
      </c>
      <c r="C6" s="166"/>
      <c r="D6" s="100">
        <v>1000</v>
      </c>
      <c r="E6" s="18"/>
      <c r="F6" s="39" t="s">
        <v>1139</v>
      </c>
      <c r="G6" s="20">
        <v>5000</v>
      </c>
      <c r="H6" s="11"/>
      <c r="I6" s="76"/>
      <c r="J6" s="18"/>
      <c r="K6" s="20"/>
      <c r="L6" s="11"/>
      <c r="N6" s="18" t="s">
        <v>1142</v>
      </c>
      <c r="O6" s="20">
        <v>1500</v>
      </c>
      <c r="P6" s="11">
        <v>1500</v>
      </c>
      <c r="R6" s="219" t="s">
        <v>906</v>
      </c>
      <c r="S6" s="20"/>
      <c r="T6" s="11"/>
      <c r="V6" s="219"/>
      <c r="W6" s="20"/>
      <c r="X6" s="11"/>
    </row>
    <row r="7" spans="1:24">
      <c r="B7" s="18"/>
      <c r="C7" s="166"/>
      <c r="D7" s="11"/>
      <c r="E7" s="76"/>
      <c r="F7" s="39" t="s">
        <v>1140</v>
      </c>
      <c r="G7" s="20">
        <v>5000</v>
      </c>
      <c r="H7" s="11"/>
      <c r="I7" s="76"/>
      <c r="J7" s="18"/>
      <c r="K7" s="20"/>
      <c r="L7" s="77"/>
      <c r="N7" s="18" t="s">
        <v>76</v>
      </c>
      <c r="O7" s="20"/>
      <c r="P7" s="11">
        <v>0</v>
      </c>
      <c r="R7" s="219"/>
      <c r="S7" s="20">
        <v>1000</v>
      </c>
      <c r="T7" s="77"/>
      <c r="V7" s="219"/>
      <c r="W7" s="20"/>
      <c r="X7" s="77"/>
    </row>
    <row r="8" spans="1:24">
      <c r="B8" s="18"/>
      <c r="C8" s="166"/>
      <c r="D8" s="11"/>
      <c r="E8" s="18"/>
      <c r="F8" s="39" t="s">
        <v>1136</v>
      </c>
      <c r="G8" s="20">
        <v>6000</v>
      </c>
      <c r="H8" s="11"/>
      <c r="I8" s="76"/>
      <c r="J8" s="18"/>
      <c r="K8" s="20"/>
      <c r="L8" s="77"/>
      <c r="N8" s="18" t="s">
        <v>43</v>
      </c>
      <c r="O8" s="20"/>
      <c r="P8" s="11">
        <v>0</v>
      </c>
      <c r="R8" s="219" t="s">
        <v>907</v>
      </c>
      <c r="S8" s="20">
        <v>1000</v>
      </c>
      <c r="T8" s="39"/>
      <c r="V8" s="219"/>
      <c r="W8" s="20"/>
      <c r="X8" s="39"/>
    </row>
    <row r="9" spans="1:24">
      <c r="B9" s="39"/>
      <c r="C9" s="166"/>
      <c r="D9" s="11"/>
      <c r="E9" s="174"/>
      <c r="F9" s="39" t="s">
        <v>1141</v>
      </c>
      <c r="G9" s="20">
        <v>5000</v>
      </c>
      <c r="H9" s="11"/>
      <c r="I9" s="18"/>
      <c r="J9" s="18"/>
      <c r="K9" s="20"/>
      <c r="L9" s="77"/>
      <c r="N9" s="18" t="s">
        <v>1130</v>
      </c>
      <c r="O9" s="20"/>
      <c r="P9" s="11">
        <v>32000</v>
      </c>
      <c r="R9" s="219"/>
      <c r="S9" s="19">
        <v>1000</v>
      </c>
      <c r="T9" s="18"/>
      <c r="V9" s="219"/>
      <c r="W9" s="19"/>
      <c r="X9" s="18"/>
    </row>
    <row r="10" spans="1:24">
      <c r="B10" s="39"/>
      <c r="C10" s="166"/>
      <c r="D10" s="11"/>
      <c r="E10" s="138"/>
      <c r="F10" s="39"/>
      <c r="G10" s="20"/>
      <c r="H10" s="11"/>
      <c r="I10" s="18"/>
      <c r="J10" s="18"/>
      <c r="K10" s="20"/>
      <c r="L10" s="77"/>
      <c r="N10" s="18" t="s">
        <v>961</v>
      </c>
      <c r="O10" s="20">
        <v>800</v>
      </c>
      <c r="P10" s="11">
        <v>800</v>
      </c>
      <c r="R10" s="219" t="s">
        <v>908</v>
      </c>
      <c r="S10" s="19">
        <v>1000</v>
      </c>
      <c r="T10" s="18"/>
      <c r="V10" s="219"/>
      <c r="W10" s="19"/>
      <c r="X10" s="18"/>
    </row>
    <row r="11" spans="1:24">
      <c r="B11" s="39"/>
      <c r="C11" s="166"/>
      <c r="D11" s="11"/>
      <c r="E11" s="138"/>
      <c r="F11" s="39"/>
      <c r="G11" s="20"/>
      <c r="H11" s="11"/>
      <c r="I11" s="18"/>
      <c r="J11" s="18"/>
      <c r="K11" s="20"/>
      <c r="L11" s="77"/>
      <c r="N11" s="18" t="s">
        <v>961</v>
      </c>
      <c r="O11" s="20">
        <v>800</v>
      </c>
      <c r="P11" s="11">
        <v>800</v>
      </c>
      <c r="R11" s="219"/>
      <c r="S11" s="19"/>
      <c r="T11" s="18"/>
      <c r="V11" s="219"/>
      <c r="W11" s="19"/>
      <c r="X11" s="18"/>
    </row>
    <row r="12" spans="1:24">
      <c r="A12" s="198"/>
      <c r="B12" s="39"/>
      <c r="C12" s="166"/>
      <c r="D12" s="11"/>
      <c r="E12" s="39"/>
      <c r="F12" s="39"/>
      <c r="G12" s="20"/>
      <c r="H12" s="11"/>
      <c r="I12" s="18"/>
      <c r="J12" s="18"/>
      <c r="K12" s="20"/>
      <c r="L12" s="77"/>
      <c r="N12" s="18"/>
      <c r="O12" s="20"/>
      <c r="P12" s="11"/>
      <c r="R12" s="219"/>
      <c r="S12" s="19">
        <v>1000</v>
      </c>
      <c r="V12" s="219"/>
      <c r="W12" s="19"/>
    </row>
    <row r="13" spans="1:24">
      <c r="B13" s="39"/>
      <c r="C13" s="166"/>
      <c r="D13" s="11"/>
      <c r="E13" s="39"/>
      <c r="F13" s="39"/>
      <c r="G13" s="20"/>
      <c r="H13" s="11"/>
      <c r="I13" s="16"/>
      <c r="J13" s="18"/>
      <c r="K13" s="20"/>
      <c r="L13" s="77"/>
      <c r="N13" s="18" t="s">
        <v>1145</v>
      </c>
      <c r="O13" s="20">
        <v>5000</v>
      </c>
      <c r="P13" s="11">
        <v>5000</v>
      </c>
      <c r="R13" s="219" t="s">
        <v>1001</v>
      </c>
      <c r="S13" s="19">
        <v>1000</v>
      </c>
      <c r="V13" s="219"/>
      <c r="W13" s="19"/>
    </row>
    <row r="14" spans="1:24">
      <c r="B14" s="39"/>
      <c r="C14" s="166"/>
      <c r="D14" s="11"/>
      <c r="E14" s="39"/>
      <c r="F14" s="39"/>
      <c r="G14" s="20"/>
      <c r="H14" s="11"/>
      <c r="I14" s="18"/>
      <c r="J14" s="18"/>
      <c r="K14" s="20"/>
      <c r="L14" s="77"/>
      <c r="N14" s="18"/>
      <c r="O14" s="20"/>
      <c r="P14" s="11"/>
      <c r="Q14" t="s">
        <v>1086</v>
      </c>
      <c r="R14" s="219"/>
      <c r="S14" s="19">
        <v>1000</v>
      </c>
      <c r="V14" s="219"/>
      <c r="W14" s="19"/>
    </row>
    <row r="15" spans="1:24">
      <c r="B15" s="39"/>
      <c r="C15" s="166"/>
      <c r="D15" s="11"/>
      <c r="E15" s="39"/>
      <c r="F15" s="39"/>
      <c r="G15" s="20"/>
      <c r="H15" s="11"/>
      <c r="I15" s="18"/>
      <c r="J15" s="18"/>
      <c r="K15" s="20"/>
      <c r="L15" s="77"/>
      <c r="M15" s="2"/>
      <c r="N15" s="18"/>
      <c r="O15" s="20"/>
      <c r="P15" s="11"/>
      <c r="R15" s="219" t="s">
        <v>1030</v>
      </c>
      <c r="S15" s="19">
        <v>1000</v>
      </c>
      <c r="V15" s="219"/>
      <c r="W15" s="19"/>
    </row>
    <row r="16" spans="1:24">
      <c r="B16" s="39"/>
      <c r="C16" s="166"/>
      <c r="D16" s="11"/>
      <c r="E16" s="117"/>
      <c r="F16" s="39"/>
      <c r="G16" s="20"/>
      <c r="H16" s="11"/>
      <c r="I16" s="18"/>
      <c r="J16" s="91"/>
      <c r="K16" s="20"/>
      <c r="L16" s="77"/>
      <c r="M16" s="2"/>
      <c r="N16" s="2"/>
      <c r="O16" s="20"/>
      <c r="P16" s="11"/>
      <c r="R16" s="219"/>
      <c r="S16" s="19">
        <v>1000</v>
      </c>
      <c r="V16" s="219"/>
      <c r="W16" s="19"/>
    </row>
    <row r="17" spans="2:27">
      <c r="B17" s="39"/>
      <c r="C17" s="166"/>
      <c r="D17" s="11"/>
      <c r="E17" s="39"/>
      <c r="F17" s="39"/>
      <c r="G17" s="20"/>
      <c r="H17" s="11"/>
      <c r="I17" s="18"/>
      <c r="J17" s="18"/>
      <c r="K17" s="20"/>
      <c r="L17" s="77"/>
      <c r="N17" s="18"/>
      <c r="O17" s="20"/>
      <c r="P17" s="11"/>
      <c r="R17" s="219" t="s">
        <v>1051</v>
      </c>
      <c r="S17" s="19">
        <v>1000</v>
      </c>
      <c r="V17" s="219"/>
      <c r="W17" s="19"/>
    </row>
    <row r="18" spans="2:27">
      <c r="B18" s="39"/>
      <c r="C18" s="166"/>
      <c r="D18" s="11"/>
      <c r="E18" s="39"/>
      <c r="F18" s="39"/>
      <c r="G18" s="20"/>
      <c r="H18" s="11"/>
      <c r="I18" s="18"/>
      <c r="J18" s="18"/>
      <c r="K18" s="20"/>
      <c r="L18" s="77"/>
      <c r="M18" s="2"/>
      <c r="N18" s="18"/>
      <c r="O18" s="20"/>
      <c r="P18" s="11"/>
      <c r="R18" s="219"/>
      <c r="S18" s="19">
        <v>1000</v>
      </c>
      <c r="V18" s="219"/>
      <c r="W18" s="19"/>
    </row>
    <row r="19" spans="2:27">
      <c r="B19" s="39"/>
      <c r="C19" s="166"/>
      <c r="D19" s="11"/>
      <c r="E19" s="39"/>
      <c r="F19" s="39"/>
      <c r="G19" s="20"/>
      <c r="H19" s="11"/>
      <c r="K19" s="20"/>
      <c r="L19" s="77"/>
      <c r="N19" s="18"/>
      <c r="O19" s="20"/>
      <c r="P19" s="11"/>
      <c r="R19" t="s">
        <v>1064</v>
      </c>
      <c r="S19" s="19">
        <v>74.37</v>
      </c>
      <c r="W19" s="19"/>
    </row>
    <row r="20" spans="2:27">
      <c r="B20" s="39"/>
      <c r="C20" s="166"/>
      <c r="D20" s="11"/>
      <c r="E20" s="96"/>
      <c r="F20" s="186"/>
      <c r="G20" s="20"/>
      <c r="H20" s="11" t="s">
        <v>80</v>
      </c>
      <c r="J20" s="2"/>
      <c r="K20" s="20"/>
      <c r="L20" s="77"/>
      <c r="M20" s="2"/>
      <c r="N20" s="18"/>
      <c r="O20" s="20"/>
      <c r="P20" s="11"/>
      <c r="R20" s="217" t="s">
        <v>1090</v>
      </c>
      <c r="S20" s="19">
        <v>1000</v>
      </c>
      <c r="V20" s="217"/>
      <c r="W20" s="19"/>
    </row>
    <row r="21" spans="2:27">
      <c r="B21" s="39"/>
      <c r="C21" s="166"/>
      <c r="D21" s="11"/>
      <c r="F21" s="39"/>
      <c r="G21" s="20"/>
      <c r="H21" s="11"/>
      <c r="K21" s="20"/>
      <c r="L21" s="77"/>
      <c r="N21" s="18"/>
      <c r="O21" s="20"/>
      <c r="P21" s="11"/>
      <c r="R21" s="217"/>
      <c r="S21" s="19">
        <v>1000</v>
      </c>
      <c r="V21" s="217"/>
    </row>
    <row r="22" spans="2:27">
      <c r="B22" s="39"/>
      <c r="C22" s="166"/>
      <c r="D22" s="11"/>
      <c r="F22" s="39"/>
      <c r="G22" s="20"/>
      <c r="H22" s="11"/>
      <c r="L22" s="77"/>
      <c r="N22" s="18"/>
      <c r="O22" s="20"/>
      <c r="P22" s="11"/>
      <c r="R22" t="s">
        <v>37</v>
      </c>
      <c r="S22" s="19">
        <v>98.18</v>
      </c>
    </row>
    <row r="23" spans="2:27">
      <c r="B23" s="39"/>
      <c r="C23" s="166"/>
      <c r="D23" s="11"/>
      <c r="F23" s="39"/>
      <c r="G23" s="20"/>
      <c r="H23" s="11"/>
      <c r="L23" s="77"/>
      <c r="N23" s="18"/>
      <c r="O23" s="20"/>
      <c r="P23" s="11"/>
    </row>
    <row r="24" spans="2:27">
      <c r="B24" s="39"/>
      <c r="C24" s="166"/>
      <c r="D24" s="11"/>
      <c r="G24" s="20"/>
      <c r="H24" s="11"/>
      <c r="L24" s="77"/>
      <c r="N24" s="18"/>
      <c r="O24" s="20"/>
      <c r="P24" s="11"/>
    </row>
    <row r="25" spans="2:27">
      <c r="B25" s="39"/>
      <c r="C25" s="166"/>
      <c r="D25" s="11"/>
      <c r="G25" s="20"/>
      <c r="H25" s="11"/>
      <c r="L25" s="77"/>
      <c r="N25" s="18"/>
      <c r="O25" s="20"/>
      <c r="P25" s="11"/>
    </row>
    <row r="26" spans="2:27">
      <c r="B26" s="39"/>
      <c r="C26" s="166"/>
      <c r="D26" s="11"/>
      <c r="G26" s="20"/>
      <c r="H26" s="11"/>
      <c r="L26" s="77"/>
      <c r="N26" s="18"/>
      <c r="O26" s="20"/>
      <c r="P26" s="11"/>
    </row>
    <row r="27" spans="2:27">
      <c r="B27" s="39"/>
      <c r="C27" s="166"/>
      <c r="D27" s="11"/>
      <c r="G27" s="20"/>
      <c r="H27" s="11"/>
      <c r="I27">
        <f>9633.63-1900</f>
        <v>7733.6299999999992</v>
      </c>
      <c r="L27" s="77"/>
      <c r="N27" s="18"/>
      <c r="O27" s="20"/>
      <c r="P27" s="11"/>
      <c r="R27" t="s">
        <v>80</v>
      </c>
      <c r="V27" t="s">
        <v>80</v>
      </c>
    </row>
    <row r="28" spans="2:27">
      <c r="B28" s="39"/>
      <c r="C28" s="166"/>
      <c r="D28" s="11"/>
      <c r="G28" s="20"/>
      <c r="H28" s="11"/>
      <c r="L28" s="77"/>
      <c r="N28" s="18"/>
      <c r="O28" s="20"/>
      <c r="P28" s="11"/>
    </row>
    <row r="29" spans="2:27">
      <c r="B29" s="39"/>
      <c r="C29" s="166"/>
      <c r="D29" s="11"/>
      <c r="G29" s="20"/>
      <c r="H29" s="11"/>
      <c r="L29" s="77"/>
      <c r="N29" s="18"/>
      <c r="O29" s="20"/>
      <c r="P29" s="11"/>
    </row>
    <row r="30" spans="2:27" ht="15.75" thickBot="1">
      <c r="B30" s="39"/>
      <c r="C30" s="20"/>
      <c r="D30" s="11"/>
      <c r="G30" s="20"/>
      <c r="H30" s="11"/>
      <c r="L30" s="77"/>
      <c r="O30" s="20"/>
      <c r="P30" s="11"/>
    </row>
    <row r="31" spans="2:27">
      <c r="B31" s="39"/>
      <c r="C31" s="20"/>
      <c r="D31" s="11"/>
      <c r="G31" s="20"/>
      <c r="H31" s="19"/>
      <c r="Y31" t="s">
        <v>899</v>
      </c>
      <c r="AA31" s="179"/>
    </row>
    <row r="32" spans="2:27">
      <c r="B32" t="s">
        <v>2</v>
      </c>
      <c r="C32" s="2">
        <f>SUM(C2:C30)</f>
        <v>17300</v>
      </c>
      <c r="D32" s="2">
        <f>SUM(D3:D31)</f>
        <v>10580</v>
      </c>
      <c r="F32" t="s">
        <v>2</v>
      </c>
      <c r="G32" s="2">
        <f>SUM(G2:G31)</f>
        <v>38000</v>
      </c>
      <c r="H32" s="2">
        <f>SUM(H2:H31)</f>
        <v>40000</v>
      </c>
      <c r="J32" t="s">
        <v>2</v>
      </c>
      <c r="K32" s="2">
        <f>SUM(K1:K10)</f>
        <v>25846.26</v>
      </c>
      <c r="L32" s="2">
        <f>SUM(L2:L10)</f>
        <v>0</v>
      </c>
      <c r="N32" t="s">
        <v>2</v>
      </c>
      <c r="O32" s="2">
        <f>SUM(O1:O30)</f>
        <v>49677.939999999995</v>
      </c>
      <c r="P32" s="2">
        <f>SUM(P2:P30)</f>
        <v>40100</v>
      </c>
      <c r="R32" t="s">
        <v>2</v>
      </c>
      <c r="S32" s="2">
        <f>SUM(S1:S29)</f>
        <v>14172.550000000001</v>
      </c>
      <c r="T32" s="2">
        <f>SUM(T2:T10)</f>
        <v>0</v>
      </c>
      <c r="V32" t="s">
        <v>2</v>
      </c>
      <c r="W32" s="2">
        <f>SUM(W1:W30)</f>
        <v>0</v>
      </c>
      <c r="X32" s="2">
        <f>SUM(X2:X10)</f>
        <v>0</v>
      </c>
      <c r="AA32" s="177"/>
    </row>
    <row r="33" spans="1:27">
      <c r="D33" s="2">
        <f>C32-D32</f>
        <v>6720</v>
      </c>
      <c r="H33" s="2">
        <f>G32-H32</f>
        <v>-2000</v>
      </c>
      <c r="L33" s="2">
        <f>K32-L32</f>
        <v>25846.26</v>
      </c>
      <c r="P33" s="2">
        <f>O32-P32</f>
        <v>9577.9399999999951</v>
      </c>
      <c r="T33" s="2">
        <f>S32-T32</f>
        <v>14172.550000000001</v>
      </c>
      <c r="X33" s="2">
        <f>W32-X32</f>
        <v>0</v>
      </c>
      <c r="AA33" s="177"/>
    </row>
    <row r="34" spans="1:27">
      <c r="A34">
        <v>1032.8900000000001</v>
      </c>
      <c r="AA34" s="177"/>
    </row>
    <row r="35" spans="1:27">
      <c r="A35" s="2">
        <f>A34-D33</f>
        <v>-5687.11</v>
      </c>
      <c r="V35" s="102">
        <v>43361</v>
      </c>
      <c r="AA35" s="177"/>
    </row>
    <row r="36" spans="1:27" ht="15.75" thickBot="1">
      <c r="C36" s="217" t="s">
        <v>12</v>
      </c>
      <c r="D36" s="217"/>
      <c r="G36" s="217" t="s">
        <v>16</v>
      </c>
      <c r="H36" s="217"/>
      <c r="K36" s="217" t="s">
        <v>77</v>
      </c>
      <c r="L36" s="217"/>
      <c r="O36" s="217" t="s">
        <v>90</v>
      </c>
      <c r="P36" s="217"/>
      <c r="S36" t="s">
        <v>163</v>
      </c>
      <c r="T36" t="s">
        <v>335</v>
      </c>
      <c r="U36" t="s">
        <v>165</v>
      </c>
      <c r="V36" t="s">
        <v>336</v>
      </c>
      <c r="W36" t="s">
        <v>337</v>
      </c>
      <c r="X36" t="s">
        <v>338</v>
      </c>
      <c r="AA36" s="178"/>
    </row>
    <row r="37" spans="1:27">
      <c r="B37" t="s">
        <v>1129</v>
      </c>
      <c r="C37" s="3">
        <v>8800</v>
      </c>
      <c r="D37" s="4"/>
      <c r="F37" t="s">
        <v>0</v>
      </c>
      <c r="G37" s="3"/>
      <c r="H37" s="11">
        <v>2377.61</v>
      </c>
      <c r="J37" t="s">
        <v>979</v>
      </c>
      <c r="K37" s="3">
        <v>0</v>
      </c>
      <c r="L37" s="168">
        <v>87.36</v>
      </c>
      <c r="M37" s="33"/>
      <c r="N37" t="s">
        <v>0</v>
      </c>
      <c r="O37" s="3"/>
      <c r="P37" s="183">
        <v>12648.71</v>
      </c>
      <c r="R37" t="s">
        <v>1003</v>
      </c>
      <c r="S37" s="101">
        <v>-5869</v>
      </c>
      <c r="T37" s="118">
        <v>18</v>
      </c>
      <c r="U37" s="119">
        <f t="shared" ref="U37:U44" si="0">S37/T37</f>
        <v>-326.05555555555554</v>
      </c>
      <c r="V37" s="118">
        <v>4</v>
      </c>
      <c r="W37" s="119">
        <f>U37*V37</f>
        <v>-1304.2222222222222</v>
      </c>
      <c r="X37" s="119">
        <f>S37-W37</f>
        <v>-4564.7777777777774</v>
      </c>
      <c r="Y37" t="s">
        <v>437</v>
      </c>
    </row>
    <row r="38" spans="1:27">
      <c r="B38" s="39" t="s">
        <v>106</v>
      </c>
      <c r="C38" s="1">
        <v>7500</v>
      </c>
      <c r="D38" s="1">
        <v>0</v>
      </c>
      <c r="F38" s="39"/>
      <c r="H38" s="11"/>
      <c r="K38" s="19"/>
      <c r="L38" s="11"/>
      <c r="M38" s="29"/>
      <c r="N38" t="s">
        <v>169</v>
      </c>
      <c r="O38" s="19">
        <f>1179.22-400-400</f>
        <v>379.22</v>
      </c>
      <c r="P38" s="11"/>
      <c r="Q38" s="93"/>
      <c r="R38" t="s">
        <v>1125</v>
      </c>
      <c r="S38" s="101">
        <v>-7700</v>
      </c>
      <c r="T38" s="118">
        <v>18</v>
      </c>
      <c r="U38" s="119">
        <f t="shared" si="0"/>
        <v>-427.77777777777777</v>
      </c>
      <c r="V38" s="118">
        <v>1</v>
      </c>
      <c r="W38" s="119">
        <f>U38*V38</f>
        <v>-427.77777777777777</v>
      </c>
      <c r="X38" s="119">
        <f>S38-W38</f>
        <v>-7272.2222222222226</v>
      </c>
    </row>
    <row r="39" spans="1:27">
      <c r="B39" s="39"/>
      <c r="C39" s="1"/>
      <c r="D39" s="11"/>
      <c r="F39" s="39"/>
      <c r="H39" s="11"/>
      <c r="I39" s="8"/>
      <c r="K39" s="19"/>
      <c r="L39" s="11"/>
      <c r="N39" t="s">
        <v>120</v>
      </c>
      <c r="O39" s="19">
        <v>400</v>
      </c>
      <c r="P39" s="11"/>
      <c r="S39" s="101"/>
      <c r="T39" s="118"/>
      <c r="U39" s="119"/>
      <c r="V39" s="118"/>
      <c r="W39" s="119"/>
      <c r="X39" s="119"/>
    </row>
    <row r="40" spans="1:27">
      <c r="B40" s="39"/>
      <c r="C40" s="1"/>
      <c r="D40" s="11"/>
      <c r="F40" s="39"/>
      <c r="H40" s="11"/>
      <c r="K40" s="19"/>
      <c r="L40" s="11"/>
      <c r="N40" s="39"/>
      <c r="O40" s="19"/>
      <c r="P40" s="11"/>
      <c r="Q40" s="29"/>
      <c r="S40" s="101"/>
      <c r="T40" s="118"/>
      <c r="U40" s="119"/>
      <c r="V40" s="118"/>
      <c r="W40" s="119"/>
      <c r="X40" s="119"/>
    </row>
    <row r="41" spans="1:27">
      <c r="B41" s="39"/>
      <c r="C41" s="20"/>
      <c r="D41" s="11"/>
      <c r="F41" s="39"/>
      <c r="H41" s="11"/>
      <c r="K41" s="19"/>
      <c r="L41" s="11"/>
      <c r="N41" s="39"/>
      <c r="O41" s="19"/>
      <c r="P41" s="11"/>
      <c r="S41" s="101"/>
      <c r="T41" s="118"/>
      <c r="U41" s="119"/>
      <c r="V41" s="118"/>
      <c r="W41" s="119"/>
      <c r="X41" s="119"/>
    </row>
    <row r="42" spans="1:27">
      <c r="B42" s="39"/>
      <c r="C42" s="20"/>
      <c r="D42" s="11"/>
      <c r="F42" s="39"/>
      <c r="H42" s="11"/>
      <c r="K42" s="19"/>
      <c r="L42" s="11"/>
      <c r="M42" s="29"/>
      <c r="N42" s="39"/>
      <c r="O42" s="19"/>
      <c r="P42" s="11"/>
      <c r="Q42" s="29"/>
      <c r="S42" s="101">
        <v>0</v>
      </c>
      <c r="T42" s="118">
        <v>1</v>
      </c>
      <c r="U42" s="119">
        <f t="shared" si="0"/>
        <v>0</v>
      </c>
      <c r="V42" s="118">
        <v>1</v>
      </c>
      <c r="W42" s="119">
        <f t="shared" ref="W42:W44" si="1">U42*V42</f>
        <v>0</v>
      </c>
      <c r="X42" s="119">
        <f t="shared" ref="X42:X44" si="2">S42-W42</f>
        <v>0</v>
      </c>
    </row>
    <row r="43" spans="1:27">
      <c r="B43" s="39"/>
      <c r="C43" s="20"/>
      <c r="D43" s="11"/>
      <c r="F43" s="39"/>
      <c r="H43" s="11"/>
      <c r="K43" s="19"/>
      <c r="L43" s="11"/>
      <c r="M43" s="29"/>
      <c r="N43" s="39"/>
      <c r="O43" s="19"/>
      <c r="P43" s="11"/>
      <c r="Q43" s="29"/>
      <c r="S43" s="101">
        <v>0</v>
      </c>
      <c r="T43" s="118">
        <v>1</v>
      </c>
      <c r="U43" s="119">
        <f t="shared" si="0"/>
        <v>0</v>
      </c>
      <c r="V43" s="118">
        <v>1</v>
      </c>
      <c r="W43" s="119">
        <f t="shared" si="1"/>
        <v>0</v>
      </c>
      <c r="X43" s="119">
        <f t="shared" si="2"/>
        <v>0</v>
      </c>
    </row>
    <row r="44" spans="1:27">
      <c r="B44" s="39"/>
      <c r="C44" s="20"/>
      <c r="D44" s="11"/>
      <c r="F44" s="39"/>
      <c r="G44" s="1"/>
      <c r="H44" s="11"/>
      <c r="K44" s="19"/>
      <c r="L44" s="11"/>
      <c r="N44" s="39"/>
      <c r="O44" s="19"/>
      <c r="P44" s="11"/>
      <c r="Q44" s="29"/>
      <c r="S44" s="101">
        <v>0</v>
      </c>
      <c r="T44" s="118">
        <v>1</v>
      </c>
      <c r="U44" s="119">
        <f t="shared" si="0"/>
        <v>0</v>
      </c>
      <c r="V44" s="118">
        <v>1</v>
      </c>
      <c r="W44" s="119">
        <f t="shared" si="1"/>
        <v>0</v>
      </c>
      <c r="X44" s="119">
        <f t="shared" si="2"/>
        <v>0</v>
      </c>
    </row>
    <row r="45" spans="1:27">
      <c r="B45" s="39"/>
      <c r="C45" s="20"/>
      <c r="D45" s="11"/>
      <c r="F45" s="39"/>
      <c r="H45" s="11"/>
      <c r="K45" s="19"/>
      <c r="L45" s="11"/>
      <c r="N45" s="39"/>
      <c r="O45" s="19"/>
      <c r="P45" s="11"/>
      <c r="Q45" s="8"/>
      <c r="R45" t="s">
        <v>11</v>
      </c>
      <c r="S45" s="2">
        <f>SUM(S37:S44)</f>
        <v>-13569</v>
      </c>
      <c r="U45" s="2">
        <f>SUM(U37:U44)</f>
        <v>-753.83333333333326</v>
      </c>
      <c r="W45" s="2">
        <f>SUM(W37:W44)</f>
        <v>-1732</v>
      </c>
      <c r="X45" s="2">
        <f>SUM(X37:X44)</f>
        <v>-11837</v>
      </c>
    </row>
    <row r="46" spans="1:27">
      <c r="B46" s="39"/>
      <c r="C46" s="20"/>
      <c r="D46" s="11"/>
      <c r="F46" s="39"/>
      <c r="G46" s="1"/>
      <c r="H46" s="11"/>
      <c r="K46" s="19"/>
      <c r="L46" s="11"/>
      <c r="N46" s="39"/>
      <c r="O46" s="19"/>
      <c r="P46" s="11"/>
    </row>
    <row r="47" spans="1:27">
      <c r="B47" s="39"/>
      <c r="C47" s="20"/>
      <c r="D47" s="11"/>
      <c r="F47" s="39"/>
      <c r="H47" s="11"/>
      <c r="K47" s="19"/>
      <c r="L47" s="11"/>
      <c r="N47" s="39"/>
      <c r="O47" s="19"/>
      <c r="P47" s="11"/>
      <c r="Q47" s="33"/>
      <c r="S47" s="2"/>
    </row>
    <row r="48" spans="1:27">
      <c r="B48" s="12"/>
      <c r="C48" s="20"/>
      <c r="D48" s="11"/>
      <c r="E48" s="29"/>
      <c r="H48" s="11"/>
      <c r="K48" s="19"/>
      <c r="L48" s="11"/>
      <c r="N48" s="39"/>
      <c r="O48" s="19"/>
      <c r="P48" s="11"/>
      <c r="S48" s="2"/>
      <c r="Z48">
        <f>1000*(0.2699/365)*15</f>
        <v>11.091780821917807</v>
      </c>
    </row>
    <row r="49" spans="2:28">
      <c r="B49" s="12"/>
      <c r="C49" s="20"/>
      <c r="D49" s="11"/>
      <c r="E49" s="29"/>
      <c r="H49" s="14"/>
      <c r="K49" s="19"/>
      <c r="L49" s="11"/>
      <c r="N49" s="39"/>
      <c r="O49" s="19"/>
      <c r="P49" s="11"/>
      <c r="S49" s="2"/>
    </row>
    <row r="50" spans="2:28">
      <c r="B50" s="12"/>
      <c r="C50" s="20"/>
      <c r="D50" s="11"/>
      <c r="H50" s="11"/>
      <c r="L50" s="11"/>
      <c r="N50" s="39"/>
      <c r="O50" s="19"/>
      <c r="P50" s="11"/>
      <c r="Q50" t="s">
        <v>1068</v>
      </c>
      <c r="R50">
        <v>2380.7399999999998</v>
      </c>
      <c r="S50" s="2"/>
    </row>
    <row r="51" spans="2:28">
      <c r="B51" s="12"/>
      <c r="C51" s="20"/>
      <c r="D51" s="11"/>
      <c r="E51" s="29"/>
      <c r="H51" s="14"/>
      <c r="L51" s="11"/>
      <c r="M51" s="33"/>
      <c r="N51" s="39"/>
      <c r="O51" s="19"/>
      <c r="P51" s="11"/>
      <c r="S51" s="2"/>
    </row>
    <row r="52" spans="2:28">
      <c r="B52" s="12"/>
      <c r="C52" s="1"/>
      <c r="D52" s="11"/>
      <c r="E52" s="29"/>
      <c r="H52" s="11"/>
      <c r="L52" s="11"/>
      <c r="M52" s="33"/>
      <c r="N52" s="39"/>
      <c r="O52" s="19"/>
      <c r="P52" s="11"/>
      <c r="U52" s="29"/>
    </row>
    <row r="53" spans="2:28">
      <c r="B53" s="12"/>
      <c r="C53" s="1"/>
      <c r="D53" s="11"/>
      <c r="H53" s="14"/>
      <c r="L53" s="11"/>
      <c r="N53" s="39"/>
      <c r="O53" s="19"/>
      <c r="P53" s="11"/>
      <c r="U53" s="2"/>
      <c r="V53" s="2"/>
    </row>
    <row r="54" spans="2:28">
      <c r="B54" s="12"/>
      <c r="C54" s="1"/>
      <c r="D54" s="11"/>
      <c r="S54" s="1"/>
    </row>
    <row r="55" spans="2:28">
      <c r="B55" t="s">
        <v>2</v>
      </c>
      <c r="C55" s="2">
        <f>SUM(C37:C52)</f>
        <v>16300</v>
      </c>
      <c r="D55" s="2">
        <f>SUM(D38:D54)</f>
        <v>0</v>
      </c>
      <c r="F55" t="s">
        <v>2</v>
      </c>
      <c r="G55" s="2">
        <f>SUM(G37:G54)</f>
        <v>0</v>
      </c>
      <c r="H55" s="2">
        <f>SUM(H37:H53)</f>
        <v>2377.61</v>
      </c>
      <c r="J55" t="s">
        <v>2</v>
      </c>
      <c r="K55" s="2">
        <f>SUM(K37:K52)</f>
        <v>0</v>
      </c>
      <c r="L55" s="2">
        <f>SUM(L37:L51)</f>
        <v>87.36</v>
      </c>
      <c r="N55" t="s">
        <v>2</v>
      </c>
      <c r="O55" s="2">
        <f>SUM(O37:O54)</f>
        <v>779.22</v>
      </c>
      <c r="P55" s="2">
        <f>SUM(P37:P54)</f>
        <v>12648.71</v>
      </c>
      <c r="S55" s="1"/>
      <c r="T55" s="33"/>
      <c r="U55" s="2"/>
      <c r="V55" s="2"/>
    </row>
    <row r="56" spans="2:28">
      <c r="D56" s="2">
        <f>C55-D55</f>
        <v>16300</v>
      </c>
      <c r="H56" s="2">
        <f>G55-H55</f>
        <v>-2377.61</v>
      </c>
      <c r="L56" s="2">
        <f>K55-L55</f>
        <v>-87.36</v>
      </c>
      <c r="M56" t="s">
        <v>879</v>
      </c>
      <c r="N56" s="2">
        <f>X38</f>
        <v>-7272.2222222222226</v>
      </c>
      <c r="P56" s="2">
        <f>O55-P55</f>
        <v>-11869.49</v>
      </c>
      <c r="Q56" t="s">
        <v>1012</v>
      </c>
      <c r="R56" s="2">
        <f>X45</f>
        <v>-11837</v>
      </c>
      <c r="S56" s="1"/>
      <c r="AA56" t="s">
        <v>239</v>
      </c>
      <c r="AB56" s="1">
        <v>10261.049999999999</v>
      </c>
    </row>
    <row r="57" spans="2:28">
      <c r="L57" s="2">
        <f>L56-N56</f>
        <v>7184.862222222223</v>
      </c>
      <c r="P57" s="2">
        <f>P56-R56</f>
        <v>-32.489999999999782</v>
      </c>
      <c r="S57" s="1"/>
      <c r="U57" s="165"/>
      <c r="V57" s="143"/>
      <c r="W57" s="93"/>
      <c r="AA57" t="s">
        <v>240</v>
      </c>
      <c r="AB57" s="1">
        <v>7081.32</v>
      </c>
    </row>
    <row r="58" spans="2:28">
      <c r="B58" t="s">
        <v>282</v>
      </c>
      <c r="R58" s="2"/>
      <c r="S58" s="1"/>
      <c r="AA58" t="s">
        <v>241</v>
      </c>
      <c r="AB58" s="1">
        <f>AB56-AB57</f>
        <v>3179.7299999999996</v>
      </c>
    </row>
    <row r="59" spans="2:28">
      <c r="E59" t="s">
        <v>235</v>
      </c>
      <c r="H59" s="2">
        <v>2640.29</v>
      </c>
      <c r="L59" s="2">
        <v>620</v>
      </c>
      <c r="P59" s="2">
        <v>0</v>
      </c>
      <c r="S59" s="1"/>
      <c r="AA59" t="s">
        <v>242</v>
      </c>
      <c r="AB59" s="2">
        <f>AB58/2</f>
        <v>1589.8649999999998</v>
      </c>
    </row>
    <row r="61" spans="2:28">
      <c r="D61" t="s">
        <v>138</v>
      </c>
      <c r="E61" s="34" t="s">
        <v>120</v>
      </c>
      <c r="F61" s="41"/>
      <c r="G61" s="41"/>
      <c r="H61" s="51">
        <v>0</v>
      </c>
      <c r="I61" s="41"/>
      <c r="J61" s="41"/>
      <c r="K61" s="41"/>
      <c r="L61" s="51">
        <v>1590</v>
      </c>
      <c r="M61" s="41"/>
      <c r="N61" s="41"/>
      <c r="O61" s="41"/>
      <c r="P61" s="51"/>
      <c r="V61" t="s">
        <v>114</v>
      </c>
      <c r="W61" t="s">
        <v>115</v>
      </c>
      <c r="X61" t="s">
        <v>116</v>
      </c>
    </row>
    <row r="62" spans="2:28">
      <c r="E62" s="36" t="s">
        <v>121</v>
      </c>
      <c r="F62" s="22"/>
      <c r="G62" s="22"/>
      <c r="H62" s="43">
        <v>0</v>
      </c>
      <c r="I62" s="22"/>
      <c r="J62" s="22"/>
      <c r="K62" s="22"/>
      <c r="L62" s="43">
        <v>706.66</v>
      </c>
      <c r="M62" s="22"/>
      <c r="N62" s="22"/>
      <c r="O62" s="22"/>
      <c r="P62" s="43"/>
      <c r="Z62" t="s">
        <v>119</v>
      </c>
      <c r="AA62" t="s">
        <v>11</v>
      </c>
    </row>
    <row r="63" spans="2:28">
      <c r="E63" s="37" t="s">
        <v>122</v>
      </c>
      <c r="F63" s="44"/>
      <c r="G63" s="44"/>
      <c r="H63" s="45">
        <f>H61+H59</f>
        <v>2640.29</v>
      </c>
      <c r="I63" s="44"/>
      <c r="J63" s="44"/>
      <c r="K63" s="44"/>
      <c r="L63" s="45">
        <f>L61+L59</f>
        <v>2210</v>
      </c>
      <c r="M63" s="44"/>
      <c r="N63" s="44"/>
      <c r="O63" s="44"/>
      <c r="P63" s="45"/>
      <c r="T63" t="s">
        <v>98</v>
      </c>
      <c r="V63" s="1">
        <f>Z63-Z64</f>
        <v>0</v>
      </c>
      <c r="W63" s="2">
        <f>S64-V63</f>
        <v>3260.29</v>
      </c>
      <c r="X63" s="2">
        <f>W63/2</f>
        <v>1630.145</v>
      </c>
      <c r="Z63" s="1">
        <v>2100</v>
      </c>
      <c r="AA63" s="2">
        <f>X65+Z63</f>
        <v>3730.145</v>
      </c>
    </row>
    <row r="64" spans="2:28">
      <c r="E64" s="22"/>
      <c r="F64" s="22"/>
      <c r="G64" s="22"/>
      <c r="H64" s="25"/>
      <c r="I64" s="22"/>
      <c r="J64" s="22"/>
      <c r="K64" s="22"/>
      <c r="L64" s="25"/>
      <c r="M64" s="22"/>
      <c r="N64" s="22"/>
      <c r="O64" s="22"/>
      <c r="P64" s="25"/>
      <c r="S64" s="1">
        <f>ABS(H59+L59+P59)</f>
        <v>3260.29</v>
      </c>
      <c r="Z64" s="1">
        <v>2100</v>
      </c>
      <c r="AA64" s="2">
        <f>X66+Z64</f>
        <v>3730.145</v>
      </c>
    </row>
    <row r="65" spans="4:26">
      <c r="D65" t="s">
        <v>139</v>
      </c>
      <c r="H65" s="2"/>
      <c r="L65" s="2"/>
      <c r="P65" s="2"/>
      <c r="S65" s="1"/>
      <c r="W65" t="s">
        <v>117</v>
      </c>
      <c r="X65" s="2">
        <f>ABS(X63)</f>
        <v>1630.145</v>
      </c>
    </row>
    <row r="66" spans="4:26">
      <c r="E66" s="34" t="s">
        <v>169</v>
      </c>
      <c r="F66" s="41"/>
      <c r="G66" s="41"/>
      <c r="H66" s="51"/>
      <c r="I66" s="41"/>
      <c r="J66" s="41"/>
      <c r="K66" s="41"/>
      <c r="L66" s="51"/>
      <c r="M66" s="41"/>
      <c r="N66" s="41"/>
      <c r="O66" s="41"/>
      <c r="P66" s="53"/>
      <c r="W66" t="s">
        <v>118</v>
      </c>
      <c r="X66" s="1">
        <f>V63+ABS(X63)</f>
        <v>1630.145</v>
      </c>
      <c r="Z66" s="2"/>
    </row>
    <row r="67" spans="4:26">
      <c r="E67" s="36" t="s">
        <v>244</v>
      </c>
      <c r="F67" s="22"/>
      <c r="G67" s="22"/>
      <c r="H67" s="43"/>
      <c r="I67" s="22"/>
      <c r="J67" s="22"/>
      <c r="K67" s="22"/>
      <c r="L67" s="43"/>
      <c r="M67" s="22"/>
      <c r="N67" s="22"/>
      <c r="O67" s="22"/>
      <c r="P67" s="43"/>
      <c r="T67" s="2"/>
    </row>
    <row r="68" spans="4:26">
      <c r="E68" s="37" t="s">
        <v>122</v>
      </c>
      <c r="F68" s="44"/>
      <c r="G68" s="44"/>
      <c r="H68" s="45"/>
      <c r="I68" s="44"/>
      <c r="J68" s="44"/>
      <c r="K68" s="44"/>
      <c r="L68" s="45"/>
      <c r="M68" s="44"/>
      <c r="N68" s="44"/>
      <c r="O68" s="44"/>
      <c r="P68" s="45"/>
    </row>
    <row r="69" spans="4:26">
      <c r="L69" s="60"/>
      <c r="P69" s="27"/>
    </row>
    <row r="70" spans="4:26">
      <c r="X70" s="1"/>
    </row>
    <row r="71" spans="4:26">
      <c r="X71" s="2"/>
    </row>
    <row r="74" spans="4:26">
      <c r="F74" s="2">
        <f>13338.18+H56</f>
        <v>10960.57</v>
      </c>
    </row>
    <row r="83" spans="2:19">
      <c r="S83">
        <f>2032.67*3</f>
        <v>6098.01</v>
      </c>
    </row>
    <row r="88" spans="2:19">
      <c r="B88">
        <f>879+179</f>
        <v>1058</v>
      </c>
    </row>
    <row r="92" spans="2:19">
      <c r="C92">
        <v>5003.9399999999996</v>
      </c>
    </row>
    <row r="93" spans="2:19">
      <c r="C93">
        <v>-950</v>
      </c>
    </row>
    <row r="94" spans="2:19">
      <c r="C94">
        <v>-3349.1</v>
      </c>
    </row>
  </sheetData>
  <mergeCells count="28">
    <mergeCell ref="W1:X1"/>
    <mergeCell ref="C1:D1"/>
    <mergeCell ref="G1:H1"/>
    <mergeCell ref="K1:L1"/>
    <mergeCell ref="O1:P1"/>
    <mergeCell ref="S1:T1"/>
    <mergeCell ref="R2:R3"/>
    <mergeCell ref="V2:V3"/>
    <mergeCell ref="R4:R5"/>
    <mergeCell ref="V4:V5"/>
    <mergeCell ref="R6:R7"/>
    <mergeCell ref="V6:V7"/>
    <mergeCell ref="R8:R9"/>
    <mergeCell ref="V8:V9"/>
    <mergeCell ref="R10:R12"/>
    <mergeCell ref="V10:V12"/>
    <mergeCell ref="R13:R14"/>
    <mergeCell ref="V13:V14"/>
    <mergeCell ref="V15:V16"/>
    <mergeCell ref="R17:R18"/>
    <mergeCell ref="V17:V18"/>
    <mergeCell ref="R20:R21"/>
    <mergeCell ref="V20:V21"/>
    <mergeCell ref="C36:D36"/>
    <mergeCell ref="G36:H36"/>
    <mergeCell ref="K36:L36"/>
    <mergeCell ref="O36:P36"/>
    <mergeCell ref="R15:R16"/>
  </mergeCells>
  <conditionalFormatting sqref="P56 L56 H33 L33 D56 H56 D33 P33 T33 X3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>
  <dimension ref="A2:R27"/>
  <sheetViews>
    <sheetView workbookViewId="0">
      <selection activeCell="R17" sqref="R17"/>
    </sheetView>
  </sheetViews>
  <sheetFormatPr baseColWidth="10" defaultRowHeight="15"/>
  <cols>
    <col min="2" max="3" width="11.5703125" bestFit="1" customWidth="1"/>
    <col min="7" max="7" width="11.5703125" bestFit="1" customWidth="1"/>
    <col min="8" max="8" width="12.5703125" bestFit="1" customWidth="1"/>
    <col min="11" max="12" width="11.5703125" bestFit="1" customWidth="1"/>
    <col min="15" max="15" width="11.5703125" bestFit="1" customWidth="1"/>
    <col min="18" max="18" width="11.5703125" bestFit="1" customWidth="1"/>
  </cols>
  <sheetData>
    <row r="2" spans="1:18">
      <c r="B2" t="s">
        <v>1100</v>
      </c>
    </row>
    <row r="3" spans="1:18">
      <c r="B3" s="224" t="s">
        <v>1101</v>
      </c>
      <c r="C3" s="224"/>
      <c r="G3" s="224" t="s">
        <v>503</v>
      </c>
      <c r="H3" s="224"/>
      <c r="K3" s="224" t="s">
        <v>1105</v>
      </c>
      <c r="L3" s="224"/>
    </row>
    <row r="4" spans="1:18">
      <c r="C4" s="168">
        <v>35000</v>
      </c>
      <c r="H4" s="168">
        <v>65000</v>
      </c>
      <c r="J4" t="s">
        <v>1104</v>
      </c>
      <c r="L4" s="168">
        <v>40000</v>
      </c>
    </row>
    <row r="5" spans="1:18">
      <c r="A5" s="8">
        <v>43358</v>
      </c>
      <c r="B5" s="1">
        <v>5000</v>
      </c>
      <c r="C5" s="5"/>
      <c r="D5" t="s">
        <v>1102</v>
      </c>
      <c r="F5" s="8">
        <v>43000</v>
      </c>
      <c r="G5" s="1">
        <v>17000</v>
      </c>
      <c r="H5" s="5"/>
      <c r="J5" t="s">
        <v>1106</v>
      </c>
      <c r="L5" s="5">
        <v>7000</v>
      </c>
    </row>
    <row r="6" spans="1:18">
      <c r="A6" s="8">
        <v>43365</v>
      </c>
      <c r="B6" s="1">
        <v>5000</v>
      </c>
      <c r="C6" s="5"/>
      <c r="F6" s="8" t="s">
        <v>1132</v>
      </c>
      <c r="G6" s="1">
        <v>48000</v>
      </c>
      <c r="H6" s="5"/>
      <c r="J6" t="s">
        <v>1107</v>
      </c>
      <c r="L6" s="5">
        <v>5000</v>
      </c>
    </row>
    <row r="7" spans="1:18">
      <c r="A7" s="8">
        <v>43372</v>
      </c>
      <c r="B7" s="1">
        <v>10000</v>
      </c>
      <c r="C7" s="5"/>
      <c r="H7" s="5">
        <v>48000</v>
      </c>
      <c r="J7" t="s">
        <v>1108</v>
      </c>
      <c r="L7" s="5">
        <v>47000</v>
      </c>
    </row>
    <row r="8" spans="1:18">
      <c r="C8" s="7"/>
      <c r="H8" s="7"/>
      <c r="J8" t="s">
        <v>1111</v>
      </c>
      <c r="K8" s="1">
        <v>10000</v>
      </c>
      <c r="L8" s="7"/>
    </row>
    <row r="9" spans="1:18">
      <c r="C9" s="7"/>
      <c r="H9" s="7"/>
      <c r="J9" t="s">
        <v>1110</v>
      </c>
      <c r="K9" s="1">
        <v>17000</v>
      </c>
      <c r="L9" s="7"/>
    </row>
    <row r="10" spans="1:18">
      <c r="C10" s="7"/>
      <c r="H10" s="7"/>
      <c r="J10" t="s">
        <v>1131</v>
      </c>
      <c r="K10" s="1">
        <v>10000</v>
      </c>
      <c r="L10" s="7"/>
    </row>
    <row r="11" spans="1:18">
      <c r="C11" s="7"/>
      <c r="H11" s="7"/>
      <c r="L11" s="7"/>
    </row>
    <row r="12" spans="1:18">
      <c r="C12" s="7"/>
      <c r="H12" s="7"/>
      <c r="L12" s="7"/>
    </row>
    <row r="13" spans="1:18">
      <c r="C13" s="7"/>
      <c r="H13" s="7"/>
      <c r="L13" s="7"/>
    </row>
    <row r="14" spans="1:18">
      <c r="C14" s="7"/>
      <c r="H14" s="7"/>
      <c r="L14" s="7"/>
      <c r="N14" t="s">
        <v>1112</v>
      </c>
      <c r="Q14" t="s">
        <v>1133</v>
      </c>
    </row>
    <row r="15" spans="1:18">
      <c r="C15" s="7"/>
      <c r="H15" s="7"/>
      <c r="L15" s="7"/>
      <c r="N15" t="s">
        <v>1115</v>
      </c>
      <c r="O15" s="1">
        <v>8800</v>
      </c>
      <c r="Q15" t="s">
        <v>1115</v>
      </c>
      <c r="R15" s="1">
        <v>0</v>
      </c>
    </row>
    <row r="16" spans="1:18">
      <c r="C16" s="7"/>
      <c r="H16" s="7"/>
      <c r="L16" s="7"/>
      <c r="N16" t="s">
        <v>1113</v>
      </c>
      <c r="O16" s="1">
        <v>7000</v>
      </c>
      <c r="Q16" t="s">
        <v>1113</v>
      </c>
      <c r="R16" s="1">
        <v>6720</v>
      </c>
    </row>
    <row r="17" spans="2:18">
      <c r="C17" s="7"/>
      <c r="H17" s="7"/>
      <c r="L17" s="7"/>
      <c r="N17" t="s">
        <v>1114</v>
      </c>
      <c r="O17" s="1">
        <v>25000</v>
      </c>
      <c r="Q17" t="s">
        <v>1114</v>
      </c>
      <c r="R17" s="1">
        <v>25000</v>
      </c>
    </row>
    <row r="18" spans="2:18">
      <c r="B18" s="2">
        <f>SUM(B4:B17)</f>
        <v>20000</v>
      </c>
      <c r="C18" s="2">
        <f>SUM(C4:C17)</f>
        <v>35000</v>
      </c>
      <c r="G18" s="2">
        <f>SUM(G4:G17)</f>
        <v>65000</v>
      </c>
      <c r="H18" s="2">
        <f>SUM(H4:H17)</f>
        <v>113000</v>
      </c>
      <c r="K18" s="2">
        <f>SUM(K4:K17)</f>
        <v>37000</v>
      </c>
      <c r="L18" s="2">
        <f>SUM(L4:L17)</f>
        <v>99000</v>
      </c>
      <c r="N18" s="176" t="s">
        <v>437</v>
      </c>
      <c r="O18" s="216">
        <v>31200</v>
      </c>
      <c r="Q18" s="176" t="s">
        <v>437</v>
      </c>
      <c r="R18" s="216">
        <v>32000</v>
      </c>
    </row>
    <row r="19" spans="2:18">
      <c r="C19" s="2">
        <f>C18-B18</f>
        <v>15000</v>
      </c>
      <c r="D19" t="s">
        <v>1103</v>
      </c>
      <c r="H19" s="2">
        <f>H18-G18</f>
        <v>48000</v>
      </c>
      <c r="I19" t="s">
        <v>1103</v>
      </c>
      <c r="L19" s="2">
        <f>L18-K18</f>
        <v>62000</v>
      </c>
      <c r="O19" s="2">
        <f>SUM(O15:O18)</f>
        <v>72000</v>
      </c>
      <c r="R19" s="2">
        <f>SUM(R15:R18)</f>
        <v>63720</v>
      </c>
    </row>
    <row r="27" spans="2:18">
      <c r="D27">
        <f>25780+18000+3300</f>
        <v>47080</v>
      </c>
    </row>
  </sheetData>
  <mergeCells count="3">
    <mergeCell ref="B3:C3"/>
    <mergeCell ref="G3:H3"/>
    <mergeCell ref="K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AA64"/>
  <sheetViews>
    <sheetView workbookViewId="0">
      <selection activeCell="J10" sqref="J10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1.5703125" bestFit="1" customWidth="1"/>
    <col min="19" max="19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3</v>
      </c>
      <c r="L1" s="218"/>
    </row>
    <row r="2" spans="1:16">
      <c r="B2" t="s">
        <v>0</v>
      </c>
      <c r="C2" s="3">
        <v>63.68</v>
      </c>
      <c r="D2" s="4"/>
      <c r="F2" t="s">
        <v>0</v>
      </c>
      <c r="G2" s="28">
        <v>10000.02</v>
      </c>
      <c r="H2" s="4"/>
      <c r="J2" t="s">
        <v>0</v>
      </c>
      <c r="K2" s="3">
        <v>0</v>
      </c>
      <c r="L2" s="4"/>
    </row>
    <row r="3" spans="1:16">
      <c r="B3" t="s">
        <v>39</v>
      </c>
      <c r="C3" s="23">
        <v>644.24</v>
      </c>
      <c r="D3" s="11"/>
      <c r="E3" s="29"/>
      <c r="F3" t="s">
        <v>194</v>
      </c>
      <c r="G3" s="23">
        <v>79201.19</v>
      </c>
      <c r="H3" s="11"/>
      <c r="K3" s="23"/>
      <c r="L3" s="7"/>
      <c r="N3" s="2"/>
    </row>
    <row r="4" spans="1:16">
      <c r="B4" t="s">
        <v>193</v>
      </c>
      <c r="C4" s="23">
        <v>15695.72</v>
      </c>
      <c r="D4" s="11"/>
      <c r="F4" t="s">
        <v>194</v>
      </c>
      <c r="G4" s="23">
        <v>10534.67</v>
      </c>
      <c r="H4" s="11"/>
      <c r="K4" s="23"/>
      <c r="L4" s="7"/>
    </row>
    <row r="5" spans="1:16">
      <c r="B5" t="s">
        <v>181</v>
      </c>
      <c r="C5" s="23">
        <v>545.72</v>
      </c>
      <c r="D5" s="11"/>
      <c r="F5" t="s">
        <v>195</v>
      </c>
      <c r="G5" s="20"/>
      <c r="H5" s="24">
        <v>86.4</v>
      </c>
      <c r="K5" s="1"/>
      <c r="L5" s="7"/>
    </row>
    <row r="6" spans="1:16">
      <c r="A6" t="s">
        <v>211</v>
      </c>
      <c r="B6" t="s">
        <v>43</v>
      </c>
      <c r="C6" s="1"/>
      <c r="D6" s="24">
        <v>3900</v>
      </c>
      <c r="F6" t="s">
        <v>196</v>
      </c>
      <c r="G6" s="20"/>
      <c r="H6" s="24">
        <v>1000</v>
      </c>
      <c r="K6" s="1"/>
      <c r="L6" s="7"/>
    </row>
    <row r="7" spans="1:16">
      <c r="A7" t="s">
        <v>211</v>
      </c>
      <c r="B7" t="s">
        <v>200</v>
      </c>
      <c r="C7" s="1"/>
      <c r="D7" s="24">
        <v>1000</v>
      </c>
      <c r="E7" s="29"/>
      <c r="F7" t="s">
        <v>201</v>
      </c>
      <c r="G7" s="23">
        <v>6000</v>
      </c>
      <c r="H7" s="11"/>
      <c r="K7" s="1"/>
      <c r="L7" s="7"/>
      <c r="P7" s="2"/>
    </row>
    <row r="8" spans="1:16">
      <c r="B8" s="39" t="s">
        <v>201</v>
      </c>
      <c r="D8" s="24">
        <v>6000</v>
      </c>
      <c r="E8" t="s">
        <v>211</v>
      </c>
      <c r="F8" s="71" t="s">
        <v>203</v>
      </c>
      <c r="G8" s="72">
        <v>11890</v>
      </c>
      <c r="H8" s="63">
        <v>11890</v>
      </c>
      <c r="I8" t="s">
        <v>202</v>
      </c>
      <c r="K8" s="1"/>
      <c r="L8" s="22"/>
    </row>
    <row r="9" spans="1:16">
      <c r="B9" s="39"/>
      <c r="D9" s="11"/>
      <c r="F9" t="s">
        <v>206</v>
      </c>
      <c r="G9" s="23">
        <v>545.72</v>
      </c>
      <c r="H9" s="11"/>
    </row>
    <row r="10" spans="1:16">
      <c r="B10" s="64" t="s">
        <v>206</v>
      </c>
      <c r="C10" s="65"/>
      <c r="D10" s="58">
        <v>545.72</v>
      </c>
      <c r="E10" s="29"/>
      <c r="F10" t="s">
        <v>207</v>
      </c>
      <c r="G10" s="23">
        <v>340</v>
      </c>
      <c r="H10" s="11"/>
    </row>
    <row r="11" spans="1:16">
      <c r="B11" s="66" t="s">
        <v>207</v>
      </c>
      <c r="C11" s="22"/>
      <c r="D11" s="69">
        <v>340</v>
      </c>
      <c r="F11" t="s">
        <v>94</v>
      </c>
      <c r="G11" s="20"/>
      <c r="H11" s="24">
        <v>885.72</v>
      </c>
    </row>
    <row r="12" spans="1:16">
      <c r="A12" t="s">
        <v>211</v>
      </c>
      <c r="B12" s="66" t="s">
        <v>16</v>
      </c>
      <c r="C12" s="22"/>
      <c r="D12" s="69">
        <v>1863.24</v>
      </c>
      <c r="F12" t="s">
        <v>208</v>
      </c>
      <c r="G12" s="20"/>
      <c r="H12" s="24">
        <v>1250</v>
      </c>
    </row>
    <row r="13" spans="1:16">
      <c r="A13" t="s">
        <v>211</v>
      </c>
      <c r="B13" s="67" t="s">
        <v>124</v>
      </c>
      <c r="C13" s="68"/>
      <c r="D13" s="61">
        <v>618.45000000000005</v>
      </c>
      <c r="F13" t="s">
        <v>212</v>
      </c>
      <c r="G13" s="20"/>
      <c r="H13" s="11">
        <v>90000</v>
      </c>
    </row>
    <row r="14" spans="1:16">
      <c r="B14" s="39" t="s">
        <v>181</v>
      </c>
      <c r="C14" s="1">
        <v>558.66</v>
      </c>
      <c r="D14" s="11"/>
      <c r="F14" t="s">
        <v>225</v>
      </c>
      <c r="G14" s="20">
        <v>101.98</v>
      </c>
      <c r="H14" s="11"/>
    </row>
    <row r="15" spans="1:16">
      <c r="B15" s="39" t="s">
        <v>215</v>
      </c>
      <c r="C15" s="1">
        <v>130</v>
      </c>
      <c r="D15" s="11"/>
      <c r="G15" s="20"/>
      <c r="H15" s="11"/>
    </row>
    <row r="16" spans="1:16">
      <c r="B16" s="39" t="s">
        <v>216</v>
      </c>
      <c r="C16" s="1">
        <v>931</v>
      </c>
      <c r="D16" s="11"/>
      <c r="G16" s="20"/>
      <c r="H16" s="11"/>
    </row>
    <row r="17" spans="2:21">
      <c r="B17" s="39" t="s">
        <v>217</v>
      </c>
      <c r="C17" s="1"/>
      <c r="D17" s="11">
        <v>764.5</v>
      </c>
      <c r="G17" s="20"/>
      <c r="H17" s="11"/>
    </row>
    <row r="18" spans="2:21">
      <c r="B18" s="39" t="s">
        <v>218</v>
      </c>
      <c r="C18" s="1"/>
      <c r="D18" s="11">
        <v>600</v>
      </c>
      <c r="G18" s="20"/>
      <c r="H18" s="11"/>
    </row>
    <row r="19" spans="2:21">
      <c r="B19" s="39" t="s">
        <v>219</v>
      </c>
      <c r="C19" s="1"/>
      <c r="D19" s="11">
        <v>1063</v>
      </c>
      <c r="G19" s="20"/>
      <c r="H19" s="11"/>
    </row>
    <row r="20" spans="2:21">
      <c r="B20" s="71" t="s">
        <v>222</v>
      </c>
      <c r="C20" s="72">
        <v>574.11</v>
      </c>
      <c r="D20" s="63">
        <v>574.11</v>
      </c>
      <c r="G20" s="20"/>
      <c r="H20" s="19"/>
    </row>
    <row r="21" spans="2:21">
      <c r="B21" s="39" t="s">
        <v>224</v>
      </c>
      <c r="C21" s="1"/>
      <c r="D21" s="11">
        <v>1300</v>
      </c>
      <c r="G21" s="20"/>
      <c r="H21" s="19"/>
    </row>
    <row r="22" spans="2:21">
      <c r="B22" s="39"/>
      <c r="C22" s="1"/>
      <c r="D22" s="11"/>
      <c r="G22" s="20"/>
      <c r="H22" s="19"/>
    </row>
    <row r="23" spans="2:21">
      <c r="B23" s="39"/>
      <c r="C23" s="1"/>
      <c r="D23" s="11"/>
      <c r="G23" s="20"/>
      <c r="H23" s="19"/>
    </row>
    <row r="24" spans="2:21">
      <c r="B24" t="s">
        <v>2</v>
      </c>
      <c r="C24" s="2">
        <f>SUM(C2:C23)</f>
        <v>19143.13</v>
      </c>
      <c r="D24" s="2">
        <f>SUM(D3:D22)</f>
        <v>18569.02</v>
      </c>
      <c r="F24" t="s">
        <v>2</v>
      </c>
      <c r="G24" s="2">
        <f>SUM(G2:G18)</f>
        <v>118613.58</v>
      </c>
      <c r="H24" s="2">
        <f>SUM(H3:H19)</f>
        <v>105112.12</v>
      </c>
      <c r="J24" t="s">
        <v>2</v>
      </c>
      <c r="K24" s="2">
        <f>SUM(K1:K10)</f>
        <v>0</v>
      </c>
      <c r="L24" s="2">
        <f>SUM(L2:L10)</f>
        <v>0</v>
      </c>
    </row>
    <row r="25" spans="2:21">
      <c r="D25" s="2">
        <f>C24-D24</f>
        <v>574.11000000000058</v>
      </c>
      <c r="H25" s="2">
        <f>G24-H24</f>
        <v>13501.460000000006</v>
      </c>
      <c r="L25" s="2">
        <f>K24-L24</f>
        <v>0</v>
      </c>
    </row>
    <row r="28" spans="2:21">
      <c r="C28" s="217" t="s">
        <v>12</v>
      </c>
      <c r="D28" s="217"/>
      <c r="G28" s="217" t="s">
        <v>16</v>
      </c>
      <c r="H28" s="217"/>
      <c r="K28" s="217" t="s">
        <v>77</v>
      </c>
      <c r="L28" s="217"/>
      <c r="O28" s="217" t="s">
        <v>90</v>
      </c>
      <c r="P28" s="217"/>
      <c r="S28" t="s">
        <v>163</v>
      </c>
      <c r="T28" t="s">
        <v>164</v>
      </c>
      <c r="U28" t="s">
        <v>165</v>
      </c>
    </row>
    <row r="29" spans="2:21">
      <c r="B29" t="s">
        <v>0</v>
      </c>
      <c r="C29" s="3">
        <v>450</v>
      </c>
      <c r="D29" s="4"/>
      <c r="F29" t="s">
        <v>0</v>
      </c>
      <c r="G29" s="3">
        <v>-1988.78</v>
      </c>
      <c r="H29" s="4"/>
      <c r="J29" t="s">
        <v>0</v>
      </c>
      <c r="K29" s="3">
        <v>-418.95</v>
      </c>
      <c r="L29" s="4"/>
      <c r="M29" s="33"/>
      <c r="N29" t="s">
        <v>0</v>
      </c>
      <c r="O29" s="3">
        <v>-1199.6600000000001</v>
      </c>
      <c r="P29" s="4"/>
      <c r="S29" s="1">
        <v>-4998</v>
      </c>
      <c r="T29">
        <v>18</v>
      </c>
      <c r="U29" s="2">
        <f>S29/T29</f>
        <v>-277.66666666666669</v>
      </c>
    </row>
    <row r="30" spans="2:21">
      <c r="F30" t="s">
        <v>21</v>
      </c>
      <c r="G30" s="20"/>
      <c r="H30" s="24">
        <v>236.12</v>
      </c>
      <c r="K30" s="1"/>
      <c r="L30" s="11"/>
      <c r="M30" s="29"/>
      <c r="N30" t="s">
        <v>181</v>
      </c>
      <c r="O30" s="19">
        <v>545.72</v>
      </c>
      <c r="P30" s="11"/>
      <c r="S30" s="1">
        <v>-3144</v>
      </c>
      <c r="T30">
        <v>6</v>
      </c>
      <c r="U30" s="2">
        <f>S30/T30</f>
        <v>-524</v>
      </c>
    </row>
    <row r="31" spans="2:21">
      <c r="C31" s="20"/>
      <c r="D31" s="11"/>
      <c r="F31" t="s">
        <v>169</v>
      </c>
      <c r="G31" s="23">
        <v>1863.24</v>
      </c>
      <c r="H31" s="11"/>
      <c r="J31" s="12" t="s">
        <v>204</v>
      </c>
      <c r="K31" s="21"/>
      <c r="L31" s="32">
        <v>199.5</v>
      </c>
      <c r="N31" s="12" t="s">
        <v>197</v>
      </c>
      <c r="O31" s="21"/>
      <c r="P31" s="32">
        <v>1550</v>
      </c>
    </row>
    <row r="32" spans="2:21">
      <c r="D32" s="11"/>
      <c r="F32" s="12" t="s">
        <v>213</v>
      </c>
      <c r="G32" s="21"/>
      <c r="H32" s="11">
        <v>700.99</v>
      </c>
      <c r="J32" s="12" t="s">
        <v>169</v>
      </c>
      <c r="K32" s="70">
        <v>618.45000000000005</v>
      </c>
      <c r="L32" s="32"/>
      <c r="N32" t="s">
        <v>198</v>
      </c>
      <c r="O32" s="1"/>
      <c r="P32" s="24">
        <v>752.22</v>
      </c>
      <c r="S32" s="2"/>
    </row>
    <row r="33" spans="2:24">
      <c r="C33" s="20"/>
      <c r="D33" s="11"/>
      <c r="F33" t="s">
        <v>214</v>
      </c>
      <c r="G33" s="20"/>
      <c r="H33" s="11">
        <v>99</v>
      </c>
      <c r="J33" t="s">
        <v>223</v>
      </c>
      <c r="K33" s="20"/>
      <c r="L33" s="11">
        <v>350</v>
      </c>
      <c r="M33" t="s">
        <v>202</v>
      </c>
      <c r="N33" t="s">
        <v>199</v>
      </c>
      <c r="O33" s="23">
        <v>340</v>
      </c>
      <c r="P33" s="11"/>
    </row>
    <row r="34" spans="2:24">
      <c r="B34" s="12"/>
      <c r="C34" s="20"/>
      <c r="D34" s="11"/>
      <c r="F34" t="s">
        <v>94</v>
      </c>
      <c r="G34" s="20">
        <v>1063</v>
      </c>
      <c r="H34" s="11"/>
      <c r="K34" s="1"/>
      <c r="L34" s="11"/>
      <c r="M34" s="29"/>
      <c r="N34" t="s">
        <v>47</v>
      </c>
      <c r="O34" s="1"/>
      <c r="P34" s="24">
        <v>803.62</v>
      </c>
      <c r="Q34" s="29"/>
    </row>
    <row r="35" spans="2:24">
      <c r="C35" s="20"/>
      <c r="D35" s="11"/>
      <c r="G35" s="12"/>
      <c r="H35" s="14"/>
      <c r="K35" s="1"/>
      <c r="L35" s="11"/>
      <c r="M35" s="29"/>
      <c r="N35" t="s">
        <v>205</v>
      </c>
      <c r="O35" s="60">
        <v>1250</v>
      </c>
      <c r="P35" s="11"/>
      <c r="Q35" s="29"/>
    </row>
    <row r="36" spans="2:24">
      <c r="B36" s="12"/>
      <c r="C36" s="20"/>
      <c r="D36" s="11"/>
      <c r="H36" s="11"/>
      <c r="L36" s="11"/>
      <c r="N36" t="s">
        <v>209</v>
      </c>
      <c r="P36" s="11">
        <v>277.67</v>
      </c>
    </row>
    <row r="37" spans="2:24">
      <c r="B37" s="12"/>
      <c r="C37" s="20"/>
      <c r="D37" s="11"/>
      <c r="G37" s="12"/>
      <c r="H37" s="14"/>
      <c r="L37" s="11"/>
      <c r="N37" t="s">
        <v>210</v>
      </c>
      <c r="O37" s="19"/>
      <c r="P37" s="11">
        <v>524</v>
      </c>
      <c r="R37" t="s">
        <v>0</v>
      </c>
      <c r="S37" s="2">
        <f>S29+S30+P48-(U30*2)-(U29*2)</f>
        <v>-12603.406666666666</v>
      </c>
    </row>
    <row r="38" spans="2:24">
      <c r="B38" s="12"/>
      <c r="C38" s="20"/>
      <c r="D38" s="11"/>
      <c r="G38" s="12"/>
      <c r="H38" s="14"/>
      <c r="L38" s="11"/>
      <c r="N38" t="s">
        <v>220</v>
      </c>
      <c r="O38" s="19"/>
      <c r="P38" s="11">
        <v>460.2</v>
      </c>
      <c r="S38" s="2"/>
    </row>
    <row r="39" spans="2:24">
      <c r="B39" s="12"/>
      <c r="C39" s="20"/>
      <c r="D39" s="11"/>
      <c r="G39" s="12"/>
      <c r="H39" s="14"/>
      <c r="L39" s="11"/>
      <c r="N39" t="s">
        <v>86</v>
      </c>
      <c r="O39" s="19"/>
      <c r="P39" s="11">
        <v>375</v>
      </c>
      <c r="S39" s="2"/>
    </row>
    <row r="40" spans="2:24">
      <c r="B40" s="12"/>
      <c r="C40" s="20"/>
      <c r="D40" s="11"/>
      <c r="G40" s="12"/>
      <c r="H40" s="14"/>
      <c r="L40" s="11"/>
      <c r="N40" t="s">
        <v>162</v>
      </c>
      <c r="O40" s="19"/>
      <c r="P40" s="11">
        <v>1620.49</v>
      </c>
      <c r="S40" s="2"/>
      <c r="X40">
        <f>4070.72+883.87</f>
        <v>4954.59</v>
      </c>
    </row>
    <row r="41" spans="2:24">
      <c r="B41" s="12"/>
      <c r="C41" s="20"/>
      <c r="D41" s="11"/>
      <c r="G41" s="12"/>
      <c r="H41" s="14"/>
      <c r="L41" s="11"/>
      <c r="N41" t="s">
        <v>221</v>
      </c>
      <c r="P41" s="11">
        <v>637.6</v>
      </c>
      <c r="S41" s="2"/>
    </row>
    <row r="42" spans="2:24">
      <c r="B42" s="12"/>
      <c r="C42" s="20"/>
      <c r="D42" s="11"/>
      <c r="H42" s="11"/>
      <c r="L42" s="11"/>
      <c r="P42" s="11"/>
    </row>
    <row r="43" spans="2:24">
      <c r="B43" s="12"/>
      <c r="C43" s="18"/>
      <c r="D43" s="11"/>
      <c r="G43" s="12"/>
      <c r="H43" s="14"/>
      <c r="L43" s="11"/>
      <c r="M43" s="33"/>
      <c r="P43" s="11"/>
    </row>
    <row r="44" spans="2:24">
      <c r="B44" s="12"/>
      <c r="D44" s="11"/>
      <c r="H44" s="11"/>
      <c r="L44" s="11"/>
      <c r="M44" s="33"/>
      <c r="P44" s="11"/>
    </row>
    <row r="45" spans="2:24">
      <c r="B45" s="12"/>
      <c r="D45" s="11"/>
      <c r="H45" s="14"/>
      <c r="L45" s="11"/>
      <c r="P45" s="11"/>
    </row>
    <row r="46" spans="2:24">
      <c r="B46" s="12"/>
      <c r="D46" s="11"/>
    </row>
    <row r="47" spans="2:24">
      <c r="B47" t="s">
        <v>2</v>
      </c>
      <c r="C47" s="2">
        <f>SUM(C29:C44)</f>
        <v>450</v>
      </c>
      <c r="D47" s="2">
        <f>SUM(D31:D46)</f>
        <v>0</v>
      </c>
      <c r="F47" t="s">
        <v>2</v>
      </c>
      <c r="G47" s="2">
        <f>SUM(G29:G44)</f>
        <v>937.46</v>
      </c>
      <c r="H47" s="2">
        <f>SUM(H29:H45)</f>
        <v>1036.1100000000001</v>
      </c>
      <c r="J47" t="s">
        <v>2</v>
      </c>
      <c r="K47" s="2">
        <f>SUM(K29:K44)</f>
        <v>199.50000000000006</v>
      </c>
      <c r="L47" s="2">
        <f>SUM(L29:L45)</f>
        <v>549.5</v>
      </c>
      <c r="N47" t="s">
        <v>2</v>
      </c>
      <c r="O47" s="2">
        <f>SUM(O29:O43)</f>
        <v>936.06</v>
      </c>
      <c r="P47" s="2">
        <f>SUM(P29:P43)</f>
        <v>7000.8</v>
      </c>
    </row>
    <row r="48" spans="2:24">
      <c r="D48" s="2">
        <f>C47-D47</f>
        <v>450</v>
      </c>
      <c r="H48" s="2">
        <f>G47-H47</f>
        <v>-98.650000000000091</v>
      </c>
      <c r="L48" s="2">
        <f>K47-L47</f>
        <v>-349.99999999999994</v>
      </c>
      <c r="P48" s="2">
        <f>O47-P47</f>
        <v>-6064.74</v>
      </c>
      <c r="R48" s="2"/>
    </row>
    <row r="51" spans="4:27">
      <c r="V51" t="s">
        <v>114</v>
      </c>
      <c r="W51" t="s">
        <v>115</v>
      </c>
      <c r="X51" t="s">
        <v>116</v>
      </c>
    </row>
    <row r="52" spans="4:27">
      <c r="E52" s="2"/>
    </row>
    <row r="53" spans="4:27">
      <c r="D53" s="2"/>
      <c r="E53" t="s">
        <v>96</v>
      </c>
      <c r="H53" s="1">
        <v>-2925.9</v>
      </c>
      <c r="L53" s="1">
        <v>-618.45000000000005</v>
      </c>
      <c r="P53" s="1">
        <v>-340</v>
      </c>
      <c r="S53" s="1">
        <f>H48+L48+-340</f>
        <v>-788.65000000000009</v>
      </c>
      <c r="T53" t="s">
        <v>98</v>
      </c>
      <c r="V53" s="1">
        <v>2461.0500000000002</v>
      </c>
      <c r="W53" s="2">
        <f>S53--V53</f>
        <v>1672.4</v>
      </c>
      <c r="X53" s="2">
        <f>W53/2</f>
        <v>836.2</v>
      </c>
    </row>
    <row r="54" spans="4:27">
      <c r="E54" t="s">
        <v>97</v>
      </c>
      <c r="H54" s="2"/>
      <c r="L54" s="2"/>
      <c r="P54" s="2"/>
      <c r="S54" s="1"/>
      <c r="Z54" t="s">
        <v>119</v>
      </c>
      <c r="AA54" t="s">
        <v>11</v>
      </c>
    </row>
    <row r="55" spans="4:27">
      <c r="W55" t="s">
        <v>117</v>
      </c>
      <c r="X55" s="2">
        <f>V53+ABS(X53)</f>
        <v>3297.25</v>
      </c>
      <c r="Z55" s="1">
        <v>3900</v>
      </c>
      <c r="AA55" s="2">
        <f>X55+Z55</f>
        <v>7197.25</v>
      </c>
    </row>
    <row r="56" spans="4:27">
      <c r="D56" t="s">
        <v>138</v>
      </c>
      <c r="E56" s="34" t="s">
        <v>120</v>
      </c>
      <c r="F56" s="41"/>
      <c r="G56" s="41"/>
      <c r="H56" s="51">
        <f>1863.24 + 1063</f>
        <v>2926.24</v>
      </c>
      <c r="I56" s="41"/>
      <c r="J56" s="41"/>
      <c r="K56" s="41"/>
      <c r="L56" s="51">
        <v>618.45000000000005</v>
      </c>
      <c r="M56" s="41"/>
      <c r="N56" s="41"/>
      <c r="O56" s="41"/>
      <c r="P56" s="53">
        <f>340</f>
        <v>340</v>
      </c>
      <c r="W56" t="s">
        <v>118</v>
      </c>
      <c r="X56" s="1">
        <f>ABS(X53)</f>
        <v>836.2</v>
      </c>
      <c r="Z56" s="1">
        <v>6361.05</v>
      </c>
      <c r="AA56" s="2">
        <f>X56+Z56</f>
        <v>7197.25</v>
      </c>
    </row>
    <row r="57" spans="4:27">
      <c r="E57" s="36" t="s">
        <v>121</v>
      </c>
      <c r="F57" s="22"/>
      <c r="G57" s="22"/>
      <c r="H57" s="26">
        <f>L57-H56</f>
        <v>-587.4399999999996</v>
      </c>
      <c r="I57" s="22"/>
      <c r="J57" s="22"/>
      <c r="K57" s="22"/>
      <c r="L57" s="26">
        <f>P57-L56</f>
        <v>2338.8000000000002</v>
      </c>
      <c r="M57" s="22"/>
      <c r="N57" s="22"/>
      <c r="O57" s="22"/>
      <c r="P57" s="43">
        <f>X55-P56</f>
        <v>2957.25</v>
      </c>
    </row>
    <row r="58" spans="4:27">
      <c r="E58" s="37" t="s">
        <v>122</v>
      </c>
      <c r="F58" s="44"/>
      <c r="G58" s="44"/>
      <c r="H58" s="59">
        <f>IF(H56&gt;L57,H56+H57,H53+H56)</f>
        <v>2338.8000000000002</v>
      </c>
      <c r="I58" s="44"/>
      <c r="J58" s="44"/>
      <c r="K58" s="44"/>
      <c r="L58" s="38">
        <f>IF(L56&gt;P57,L56-L57,0)</f>
        <v>0</v>
      </c>
      <c r="M58" s="44"/>
      <c r="N58" s="44"/>
      <c r="O58" s="44"/>
      <c r="P58" s="45">
        <f>IF(P56&gt;X55,P56-P57,0)</f>
        <v>0</v>
      </c>
      <c r="Z58" s="2"/>
    </row>
    <row r="59" spans="4:27">
      <c r="D59" t="s">
        <v>139</v>
      </c>
      <c r="E59" s="22"/>
      <c r="F59" s="22"/>
      <c r="G59" s="22"/>
      <c r="H59" s="25"/>
      <c r="I59" s="22"/>
      <c r="J59" s="22"/>
      <c r="K59" s="22"/>
      <c r="L59" s="25"/>
      <c r="M59" s="22"/>
      <c r="N59" s="22"/>
      <c r="O59" s="22"/>
      <c r="P59" s="25"/>
    </row>
    <row r="60" spans="4:27">
      <c r="X60" s="1"/>
    </row>
    <row r="61" spans="4:27">
      <c r="E61" s="34"/>
      <c r="F61" s="41"/>
      <c r="G61" s="41"/>
      <c r="H61" s="51"/>
      <c r="I61" s="41"/>
      <c r="J61" s="41"/>
      <c r="K61" s="41"/>
      <c r="L61" s="51"/>
      <c r="M61" s="41"/>
      <c r="N61" s="41"/>
      <c r="O61" s="41"/>
      <c r="P61" s="42"/>
      <c r="X61" s="2"/>
    </row>
    <row r="62" spans="4:27">
      <c r="E62" s="36"/>
      <c r="F62" s="22"/>
      <c r="G62" s="22"/>
      <c r="H62" s="26"/>
      <c r="I62" s="22"/>
      <c r="J62" s="22"/>
      <c r="K62" s="22"/>
      <c r="L62" s="26"/>
      <c r="M62" s="22"/>
      <c r="N62" s="22"/>
      <c r="O62" s="22"/>
      <c r="P62" s="43"/>
    </row>
    <row r="63" spans="4:27">
      <c r="E63" s="37"/>
      <c r="F63" s="44"/>
      <c r="G63" s="44"/>
      <c r="H63" s="38"/>
      <c r="I63" s="44"/>
      <c r="J63" s="44"/>
      <c r="K63" s="44"/>
      <c r="L63" s="38"/>
      <c r="M63" s="44"/>
      <c r="N63" s="44"/>
      <c r="O63" s="44"/>
      <c r="P63" s="45"/>
    </row>
    <row r="64" spans="4:27">
      <c r="L64" s="60"/>
      <c r="P64" s="27"/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111" priority="1" operator="lessThan">
      <formula>0</formula>
    </cfRule>
    <cfRule type="cellIs" dxfId="11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B1:AA64"/>
  <sheetViews>
    <sheetView topLeftCell="E16" workbookViewId="0">
      <selection activeCell="L41" sqref="L41:M41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1.5703125" bestFit="1" customWidth="1"/>
    <col min="19" max="19" width="11.5703125" bestFit="1" customWidth="1"/>
  </cols>
  <sheetData>
    <row r="1" spans="2:16">
      <c r="C1" s="217" t="s">
        <v>6</v>
      </c>
      <c r="D1" s="217"/>
      <c r="G1" s="217" t="s">
        <v>7</v>
      </c>
      <c r="H1" s="217"/>
      <c r="K1" s="218" t="s">
        <v>226</v>
      </c>
      <c r="L1" s="218"/>
    </row>
    <row r="2" spans="2:16">
      <c r="B2" t="s">
        <v>0</v>
      </c>
      <c r="C2" s="3">
        <v>574.11</v>
      </c>
      <c r="D2" s="4"/>
      <c r="F2" t="s">
        <v>0</v>
      </c>
      <c r="G2" s="28">
        <v>13501.46</v>
      </c>
      <c r="H2" s="4"/>
      <c r="J2" t="s">
        <v>0</v>
      </c>
      <c r="K2" s="3">
        <v>0</v>
      </c>
      <c r="L2" s="4"/>
    </row>
    <row r="3" spans="2:16">
      <c r="B3" t="s">
        <v>39</v>
      </c>
      <c r="C3" s="23">
        <v>15647.31</v>
      </c>
      <c r="D3" s="11"/>
      <c r="E3" s="29"/>
      <c r="F3" t="s">
        <v>1</v>
      </c>
      <c r="G3" s="23">
        <v>6361</v>
      </c>
      <c r="H3" s="11"/>
      <c r="J3" t="s">
        <v>227</v>
      </c>
      <c r="K3" s="23">
        <v>5998.12</v>
      </c>
      <c r="L3" s="7"/>
      <c r="N3" s="2"/>
    </row>
    <row r="4" spans="2:16">
      <c r="B4" t="s">
        <v>193</v>
      </c>
      <c r="C4" s="23">
        <v>508.75</v>
      </c>
      <c r="D4" s="11"/>
      <c r="F4" t="s">
        <v>229</v>
      </c>
      <c r="G4" s="23"/>
      <c r="H4" s="11">
        <v>11866.39</v>
      </c>
      <c r="J4" t="s">
        <v>234</v>
      </c>
      <c r="K4" s="23">
        <v>7.3</v>
      </c>
      <c r="L4" s="7"/>
    </row>
    <row r="5" spans="2:16">
      <c r="B5" t="s">
        <v>76</v>
      </c>
      <c r="C5" s="23"/>
      <c r="D5" s="11">
        <v>1000</v>
      </c>
      <c r="F5" t="s">
        <v>9</v>
      </c>
      <c r="G5" s="20"/>
      <c r="H5" s="24">
        <v>6361.05</v>
      </c>
      <c r="J5" t="s">
        <v>233</v>
      </c>
      <c r="K5" s="23"/>
      <c r="L5" s="7">
        <v>6001.33</v>
      </c>
    </row>
    <row r="6" spans="2:16">
      <c r="B6" t="s">
        <v>76</v>
      </c>
      <c r="C6" s="1"/>
      <c r="D6" s="24">
        <v>500</v>
      </c>
      <c r="F6" t="s">
        <v>230</v>
      </c>
      <c r="G6" s="20">
        <v>6000</v>
      </c>
      <c r="H6" s="24"/>
      <c r="K6" s="1"/>
      <c r="L6" s="7"/>
    </row>
    <row r="7" spans="2:16">
      <c r="B7" t="s">
        <v>1</v>
      </c>
      <c r="C7" s="1"/>
      <c r="D7" s="24">
        <v>6361</v>
      </c>
      <c r="E7" s="29"/>
      <c r="F7" t="s">
        <v>222</v>
      </c>
      <c r="G7" s="23"/>
      <c r="H7" s="11">
        <v>6135.02</v>
      </c>
      <c r="K7" s="1"/>
      <c r="L7" s="7"/>
      <c r="P7" s="2"/>
    </row>
    <row r="8" spans="2:16">
      <c r="B8" s="39" t="s">
        <v>94</v>
      </c>
      <c r="D8" s="24">
        <v>382</v>
      </c>
      <c r="F8" s="71"/>
      <c r="G8" s="72"/>
      <c r="H8" s="63"/>
      <c r="I8" t="s">
        <v>202</v>
      </c>
      <c r="K8" s="1"/>
      <c r="L8" s="22"/>
    </row>
    <row r="9" spans="2:16">
      <c r="B9" s="39" t="s">
        <v>228</v>
      </c>
      <c r="D9" s="11">
        <v>5998.12</v>
      </c>
      <c r="G9" s="23"/>
      <c r="H9" s="11"/>
    </row>
    <row r="10" spans="2:16">
      <c r="B10" s="64" t="s">
        <v>105</v>
      </c>
      <c r="C10" s="65">
        <v>14.27</v>
      </c>
      <c r="D10" s="58"/>
      <c r="E10" s="29"/>
      <c r="G10" s="23"/>
      <c r="H10" s="11"/>
    </row>
    <row r="11" spans="2:16">
      <c r="B11" s="66" t="s">
        <v>231</v>
      </c>
      <c r="C11" s="22"/>
      <c r="D11" s="69">
        <v>500</v>
      </c>
      <c r="G11" s="20"/>
      <c r="H11" s="24"/>
    </row>
    <row r="12" spans="2:16">
      <c r="B12" s="66" t="s">
        <v>232</v>
      </c>
      <c r="C12" s="22">
        <v>6001.33</v>
      </c>
      <c r="D12" s="69"/>
      <c r="G12" s="20"/>
      <c r="H12" s="24"/>
    </row>
    <row r="13" spans="2:16">
      <c r="B13" s="67" t="s">
        <v>222</v>
      </c>
      <c r="C13" s="68"/>
      <c r="D13" s="61">
        <v>3000</v>
      </c>
      <c r="G13" s="20"/>
      <c r="H13" s="11"/>
    </row>
    <row r="14" spans="2:16">
      <c r="B14" s="39" t="s">
        <v>231</v>
      </c>
      <c r="C14" s="1"/>
      <c r="D14" s="11">
        <v>500</v>
      </c>
      <c r="G14" s="20"/>
      <c r="H14" s="11"/>
    </row>
    <row r="15" spans="2:16">
      <c r="B15" s="39" t="s">
        <v>236</v>
      </c>
      <c r="C15" s="1"/>
      <c r="D15" s="11">
        <v>4500</v>
      </c>
      <c r="G15" s="20"/>
      <c r="H15" s="11"/>
    </row>
    <row r="16" spans="2:16" ht="17.25">
      <c r="B16" s="39"/>
      <c r="C16" s="1"/>
      <c r="D16" s="84"/>
      <c r="G16" s="20"/>
      <c r="H16" s="11"/>
    </row>
    <row r="17" spans="2:21">
      <c r="B17" s="39"/>
      <c r="C17" s="1"/>
      <c r="D17" s="11"/>
      <c r="G17" s="20"/>
      <c r="H17" s="11"/>
    </row>
    <row r="18" spans="2:21">
      <c r="B18" s="39"/>
      <c r="C18" s="1"/>
      <c r="D18" s="11"/>
      <c r="G18" s="20"/>
      <c r="H18" s="11"/>
    </row>
    <row r="19" spans="2:21">
      <c r="B19" s="39"/>
      <c r="C19" s="1"/>
      <c r="D19" s="11"/>
      <c r="G19" s="20"/>
      <c r="H19" s="11"/>
    </row>
    <row r="20" spans="2:21">
      <c r="B20" s="71"/>
      <c r="C20" s="72"/>
      <c r="D20" s="63"/>
      <c r="G20" s="20"/>
      <c r="H20" s="19"/>
    </row>
    <row r="21" spans="2:21">
      <c r="B21" s="39"/>
      <c r="C21" s="1"/>
      <c r="D21" s="11"/>
      <c r="G21" s="20"/>
      <c r="H21" s="19"/>
    </row>
    <row r="22" spans="2:21">
      <c r="B22" s="39"/>
      <c r="C22" s="1"/>
      <c r="D22" s="11"/>
      <c r="G22" s="20"/>
      <c r="H22" s="19"/>
    </row>
    <row r="23" spans="2:21">
      <c r="B23" s="39"/>
      <c r="C23" s="1"/>
      <c r="D23" s="11"/>
      <c r="G23" s="20"/>
      <c r="H23" s="19"/>
    </row>
    <row r="24" spans="2:21">
      <c r="B24" t="s">
        <v>2</v>
      </c>
      <c r="C24" s="2">
        <f>SUM(C2:C23)</f>
        <v>22745.769999999997</v>
      </c>
      <c r="D24" s="2">
        <f>SUM(D3:D22)</f>
        <v>22741.119999999999</v>
      </c>
      <c r="F24" t="s">
        <v>2</v>
      </c>
      <c r="G24" s="2">
        <f>SUM(G2:G18)</f>
        <v>25862.46</v>
      </c>
      <c r="H24" s="2">
        <f>SUM(H3:H19)</f>
        <v>24362.46</v>
      </c>
      <c r="J24" t="s">
        <v>2</v>
      </c>
      <c r="K24" s="2">
        <f>SUM(K1:K10)</f>
        <v>6005.42</v>
      </c>
      <c r="L24" s="2">
        <f>SUM(L2:L10)</f>
        <v>6001.33</v>
      </c>
    </row>
    <row r="25" spans="2:21">
      <c r="D25" s="2">
        <f>C24-D24</f>
        <v>4.6499999999978172</v>
      </c>
      <c r="H25" s="2">
        <f>G24-H24</f>
        <v>1500</v>
      </c>
      <c r="L25" s="2">
        <f>K24-L24</f>
        <v>4.0900000000001455</v>
      </c>
    </row>
    <row r="28" spans="2:21">
      <c r="C28" s="217" t="s">
        <v>12</v>
      </c>
      <c r="D28" s="217"/>
      <c r="G28" s="217" t="s">
        <v>16</v>
      </c>
      <c r="H28" s="217"/>
      <c r="K28" s="217" t="s">
        <v>77</v>
      </c>
      <c r="L28" s="217"/>
      <c r="O28" s="217" t="s">
        <v>90</v>
      </c>
      <c r="P28" s="217"/>
      <c r="S28" t="s">
        <v>163</v>
      </c>
      <c r="T28" t="s">
        <v>164</v>
      </c>
      <c r="U28" t="s">
        <v>165</v>
      </c>
    </row>
    <row r="29" spans="2:21">
      <c r="B29" t="s">
        <v>0</v>
      </c>
      <c r="C29" s="3"/>
      <c r="D29" s="4"/>
      <c r="F29" t="s">
        <v>0</v>
      </c>
      <c r="G29" s="3">
        <v>-1693</v>
      </c>
      <c r="H29" s="4"/>
      <c r="J29" t="s">
        <v>0</v>
      </c>
      <c r="K29" s="3">
        <v>-406.31</v>
      </c>
      <c r="L29" s="4"/>
      <c r="M29" s="33"/>
      <c r="N29" t="s">
        <v>0</v>
      </c>
      <c r="O29" s="3">
        <v>-1199.6600000000001</v>
      </c>
      <c r="P29" s="4"/>
      <c r="S29" s="1">
        <v>-4998</v>
      </c>
      <c r="T29">
        <v>18</v>
      </c>
      <c r="U29" s="2">
        <f>S29/T29</f>
        <v>-277.66666666666669</v>
      </c>
    </row>
    <row r="30" spans="2:21">
      <c r="G30" s="20"/>
      <c r="H30" s="24"/>
      <c r="K30" s="1"/>
      <c r="L30" s="11"/>
      <c r="M30" s="29"/>
      <c r="N30" t="s">
        <v>181</v>
      </c>
      <c r="O30" s="19">
        <v>545.72</v>
      </c>
      <c r="P30" s="11"/>
      <c r="S30" s="1">
        <v>-3144</v>
      </c>
      <c r="T30">
        <v>6</v>
      </c>
      <c r="U30" s="2">
        <f>S30/T30</f>
        <v>-524</v>
      </c>
    </row>
    <row r="31" spans="2:21">
      <c r="C31" s="20"/>
      <c r="D31" s="11"/>
      <c r="G31" s="23"/>
      <c r="H31" s="11"/>
      <c r="J31" s="12"/>
      <c r="K31" s="21"/>
      <c r="L31" s="32"/>
      <c r="N31" s="12" t="s">
        <v>197</v>
      </c>
      <c r="O31" s="21"/>
      <c r="P31" s="32">
        <v>1550</v>
      </c>
    </row>
    <row r="32" spans="2:21">
      <c r="D32" s="11"/>
      <c r="F32" s="12"/>
      <c r="G32" s="21"/>
      <c r="H32" s="11"/>
      <c r="J32" s="12"/>
      <c r="K32" s="70"/>
      <c r="L32" s="32"/>
      <c r="N32" t="s">
        <v>198</v>
      </c>
      <c r="O32" s="1"/>
      <c r="P32" s="24">
        <v>752.22</v>
      </c>
      <c r="S32" s="2"/>
    </row>
    <row r="33" spans="2:24">
      <c r="C33" s="20"/>
      <c r="D33" s="11"/>
      <c r="G33" s="20"/>
      <c r="H33" s="11"/>
      <c r="K33" s="20"/>
      <c r="L33" s="11"/>
      <c r="N33" t="s">
        <v>199</v>
      </c>
      <c r="O33" s="23">
        <v>340</v>
      </c>
      <c r="P33" s="11"/>
    </row>
    <row r="34" spans="2:24">
      <c r="B34" s="12"/>
      <c r="C34" s="20"/>
      <c r="D34" s="11"/>
      <c r="G34" s="20"/>
      <c r="H34" s="11"/>
      <c r="K34" s="1"/>
      <c r="L34" s="11"/>
      <c r="M34" s="29"/>
      <c r="N34" t="s">
        <v>47</v>
      </c>
      <c r="O34" s="1"/>
      <c r="P34" s="24">
        <v>803.62</v>
      </c>
      <c r="Q34" s="29"/>
    </row>
    <row r="35" spans="2:24">
      <c r="C35" s="20"/>
      <c r="D35" s="11"/>
      <c r="G35" s="12"/>
      <c r="H35" s="14"/>
      <c r="K35" s="1"/>
      <c r="L35" s="11"/>
      <c r="M35" s="29"/>
      <c r="N35" t="s">
        <v>205</v>
      </c>
      <c r="O35" s="23">
        <v>1250</v>
      </c>
      <c r="P35" s="11"/>
      <c r="Q35" s="29"/>
    </row>
    <row r="36" spans="2:24">
      <c r="B36" s="12"/>
      <c r="C36" s="20"/>
      <c r="D36" s="11"/>
      <c r="H36" s="11"/>
      <c r="L36" s="11"/>
      <c r="N36" t="s">
        <v>209</v>
      </c>
      <c r="O36" s="1"/>
      <c r="P36" s="11">
        <v>277.67</v>
      </c>
    </row>
    <row r="37" spans="2:24">
      <c r="B37" s="12"/>
      <c r="C37" s="20"/>
      <c r="D37" s="11"/>
      <c r="G37" s="12"/>
      <c r="H37" s="14"/>
      <c r="L37" s="11"/>
      <c r="N37" t="s">
        <v>210</v>
      </c>
      <c r="O37" s="19"/>
      <c r="P37" s="11">
        <v>524</v>
      </c>
      <c r="R37" t="s">
        <v>0</v>
      </c>
      <c r="S37" s="2">
        <f>S29+S30+P48-(U30*2)-(U29*2)</f>
        <v>-9468.3866666666672</v>
      </c>
    </row>
    <row r="38" spans="2:24">
      <c r="B38" s="12"/>
      <c r="C38" s="20"/>
      <c r="D38" s="11"/>
      <c r="G38" s="12"/>
      <c r="H38" s="14"/>
      <c r="L38" s="11"/>
      <c r="N38" t="s">
        <v>220</v>
      </c>
      <c r="O38" s="19"/>
      <c r="P38" s="11">
        <v>460.2</v>
      </c>
      <c r="S38" s="2"/>
    </row>
    <row r="39" spans="2:24">
      <c r="B39" s="12"/>
      <c r="C39" s="20"/>
      <c r="D39" s="11"/>
      <c r="G39" s="12"/>
      <c r="H39" s="14"/>
      <c r="L39" s="11"/>
      <c r="N39" t="s">
        <v>86</v>
      </c>
      <c r="O39" s="19"/>
      <c r="P39" s="11">
        <v>375</v>
      </c>
      <c r="S39" s="2"/>
    </row>
    <row r="40" spans="2:24">
      <c r="B40" s="12"/>
      <c r="C40" s="20"/>
      <c r="D40" s="11"/>
      <c r="G40" s="12"/>
      <c r="H40" s="14"/>
      <c r="L40" s="11"/>
      <c r="N40" t="s">
        <v>162</v>
      </c>
      <c r="O40" s="19"/>
      <c r="P40" s="11">
        <v>1620.49</v>
      </c>
      <c r="S40" s="2"/>
      <c r="X40">
        <f>4070.72+883.87</f>
        <v>4954.59</v>
      </c>
    </row>
    <row r="41" spans="2:24">
      <c r="B41" s="12"/>
      <c r="C41" s="20"/>
      <c r="D41" s="11"/>
      <c r="G41" s="12"/>
      <c r="H41" s="14"/>
      <c r="L41" s="11"/>
      <c r="N41" t="s">
        <v>221</v>
      </c>
      <c r="O41" s="1"/>
      <c r="P41" s="11">
        <v>637.6</v>
      </c>
      <c r="S41" s="2"/>
    </row>
    <row r="42" spans="2:24">
      <c r="B42" s="12"/>
      <c r="C42" s="20"/>
      <c r="D42" s="11"/>
      <c r="H42" s="11"/>
      <c r="L42" s="11"/>
      <c r="N42" t="s">
        <v>169</v>
      </c>
      <c r="O42" s="1">
        <v>3135.02</v>
      </c>
      <c r="P42" s="11"/>
    </row>
    <row r="43" spans="2:24">
      <c r="B43" s="12"/>
      <c r="C43" s="18"/>
      <c r="D43" s="11"/>
      <c r="G43" s="12"/>
      <c r="H43" s="14"/>
      <c r="L43" s="11"/>
      <c r="M43" s="33"/>
      <c r="O43" s="1"/>
      <c r="P43" s="11"/>
    </row>
    <row r="44" spans="2:24">
      <c r="B44" s="12"/>
      <c r="D44" s="11"/>
      <c r="H44" s="11"/>
      <c r="L44" s="11"/>
      <c r="M44" s="33"/>
      <c r="P44" s="11"/>
    </row>
    <row r="45" spans="2:24">
      <c r="B45" s="12"/>
      <c r="D45" s="11"/>
      <c r="H45" s="14"/>
      <c r="L45" s="11"/>
      <c r="P45" s="11"/>
    </row>
    <row r="46" spans="2:24">
      <c r="B46" s="12"/>
      <c r="D46" s="11"/>
    </row>
    <row r="47" spans="2:24">
      <c r="B47" t="s">
        <v>2</v>
      </c>
      <c r="C47" s="2">
        <f>SUM(C29:C44)</f>
        <v>0</v>
      </c>
      <c r="D47" s="2">
        <f>SUM(D31:D46)</f>
        <v>0</v>
      </c>
      <c r="F47" t="s">
        <v>2</v>
      </c>
      <c r="G47" s="2">
        <f>SUM(G29:G44)</f>
        <v>-1693</v>
      </c>
      <c r="H47" s="2">
        <f>SUM(H29:H45)</f>
        <v>0</v>
      </c>
      <c r="J47" t="s">
        <v>2</v>
      </c>
      <c r="K47" s="2">
        <f>SUM(K29:K44)</f>
        <v>-406.31</v>
      </c>
      <c r="L47" s="2">
        <f>SUM(L29:L45)</f>
        <v>0</v>
      </c>
      <c r="N47" t="s">
        <v>2</v>
      </c>
      <c r="O47" s="2">
        <f>SUM(O29:O43)</f>
        <v>4071.08</v>
      </c>
      <c r="P47" s="2">
        <f>SUM(P29:P43)</f>
        <v>7000.8</v>
      </c>
    </row>
    <row r="48" spans="2:24">
      <c r="D48" s="2">
        <f>C47-D47</f>
        <v>0</v>
      </c>
      <c r="H48" s="2">
        <f>G47-H47</f>
        <v>-1693</v>
      </c>
      <c r="L48" s="2">
        <f>K47-L47</f>
        <v>-406.31</v>
      </c>
      <c r="P48" s="2">
        <f>O47-P47</f>
        <v>-2929.7200000000003</v>
      </c>
      <c r="R48" s="2"/>
    </row>
    <row r="51" spans="4:27">
      <c r="V51" t="s">
        <v>114</v>
      </c>
      <c r="W51" t="s">
        <v>115</v>
      </c>
      <c r="X51" t="s">
        <v>116</v>
      </c>
    </row>
    <row r="52" spans="4:27">
      <c r="E52" s="2"/>
    </row>
    <row r="53" spans="4:27">
      <c r="D53" s="2"/>
      <c r="E53" t="s">
        <v>96</v>
      </c>
      <c r="H53" s="1">
        <v>-2925.9</v>
      </c>
      <c r="L53" s="1">
        <v>-618.45000000000005</v>
      </c>
      <c r="P53" s="1">
        <v>-340</v>
      </c>
      <c r="S53" s="1">
        <f>H48+L48+-340</f>
        <v>-2439.31</v>
      </c>
      <c r="T53" t="s">
        <v>98</v>
      </c>
      <c r="V53" s="1">
        <v>2461.0500000000002</v>
      </c>
      <c r="W53" s="2">
        <f>S53--V53</f>
        <v>21.740000000000236</v>
      </c>
      <c r="X53" s="2">
        <f>W53/2</f>
        <v>10.870000000000118</v>
      </c>
    </row>
    <row r="54" spans="4:27">
      <c r="E54" t="s">
        <v>97</v>
      </c>
      <c r="H54" s="2"/>
      <c r="L54" s="2"/>
      <c r="P54" s="2"/>
      <c r="S54" s="1"/>
      <c r="Z54" t="s">
        <v>119</v>
      </c>
      <c r="AA54" t="s">
        <v>11</v>
      </c>
    </row>
    <row r="55" spans="4:27">
      <c r="W55" t="s">
        <v>117</v>
      </c>
      <c r="X55" s="2">
        <f>V53+ABS(X53)</f>
        <v>2471.92</v>
      </c>
      <c r="Z55" s="1">
        <v>3900</v>
      </c>
      <c r="AA55" s="2">
        <f>X55+Z55</f>
        <v>6371.92</v>
      </c>
    </row>
    <row r="56" spans="4:27">
      <c r="D56" t="s">
        <v>138</v>
      </c>
      <c r="E56" s="34" t="s">
        <v>120</v>
      </c>
      <c r="F56" s="41"/>
      <c r="G56" s="41"/>
      <c r="H56" s="51">
        <f>1863.24 + 1063</f>
        <v>2926.24</v>
      </c>
      <c r="I56" s="41"/>
      <c r="J56" s="41"/>
      <c r="K56" s="41"/>
      <c r="L56" s="51">
        <v>618.45000000000005</v>
      </c>
      <c r="M56" s="41"/>
      <c r="N56" s="41"/>
      <c r="O56" s="41"/>
      <c r="P56" s="53">
        <f>340</f>
        <v>340</v>
      </c>
      <c r="W56" t="s">
        <v>118</v>
      </c>
      <c r="X56" s="1">
        <f>ABS(X53)</f>
        <v>10.870000000000118</v>
      </c>
      <c r="Z56" s="1">
        <v>6361.05</v>
      </c>
      <c r="AA56" s="2">
        <f>X56+Z56</f>
        <v>6371.92</v>
      </c>
    </row>
    <row r="57" spans="4:27">
      <c r="E57" s="36" t="s">
        <v>121</v>
      </c>
      <c r="F57" s="22"/>
      <c r="G57" s="22"/>
      <c r="H57" s="26">
        <f>L57-H56</f>
        <v>-1412.7699999999998</v>
      </c>
      <c r="I57" s="22"/>
      <c r="J57" s="22"/>
      <c r="K57" s="22"/>
      <c r="L57" s="26">
        <f>P57-L56</f>
        <v>1513.47</v>
      </c>
      <c r="M57" s="22"/>
      <c r="N57" s="22"/>
      <c r="O57" s="22"/>
      <c r="P57" s="43">
        <f>X55-P56</f>
        <v>2131.92</v>
      </c>
    </row>
    <row r="58" spans="4:27">
      <c r="E58" s="37" t="s">
        <v>122</v>
      </c>
      <c r="F58" s="44"/>
      <c r="G58" s="44"/>
      <c r="H58" s="59">
        <f>IF(H56&gt;L57,H56+H57,H53+H56)</f>
        <v>1513.47</v>
      </c>
      <c r="I58" s="44"/>
      <c r="J58" s="44"/>
      <c r="K58" s="44"/>
      <c r="L58" s="38">
        <f>IF(L56&gt;P57,L56-L57,0)</f>
        <v>0</v>
      </c>
      <c r="M58" s="44"/>
      <c r="N58" s="44"/>
      <c r="O58" s="44"/>
      <c r="P58" s="45">
        <f>IF(P56&gt;X55,P56-P57,0)</f>
        <v>0</v>
      </c>
      <c r="Z58" s="2"/>
    </row>
    <row r="59" spans="4:27">
      <c r="D59" t="s">
        <v>139</v>
      </c>
      <c r="E59" s="22"/>
      <c r="F59" s="22"/>
      <c r="G59" s="22"/>
      <c r="H59" s="25"/>
      <c r="I59" s="22"/>
      <c r="J59" s="22"/>
      <c r="K59" s="22"/>
      <c r="L59" s="25"/>
      <c r="M59" s="22"/>
      <c r="N59" s="22"/>
      <c r="O59" s="22"/>
      <c r="P59" s="25"/>
    </row>
    <row r="60" spans="4:27">
      <c r="X60" s="1"/>
    </row>
    <row r="61" spans="4:27">
      <c r="E61" s="34"/>
      <c r="F61" s="41"/>
      <c r="G61" s="41"/>
      <c r="H61" s="51"/>
      <c r="I61" s="41"/>
      <c r="J61" s="41"/>
      <c r="K61" s="41"/>
      <c r="L61" s="51"/>
      <c r="M61" s="41"/>
      <c r="N61" s="41"/>
      <c r="O61" s="41"/>
      <c r="P61" s="42"/>
      <c r="X61" s="2"/>
    </row>
    <row r="62" spans="4:27">
      <c r="E62" s="36"/>
      <c r="F62" s="22"/>
      <c r="G62" s="22"/>
      <c r="H62" s="26"/>
      <c r="I62" s="22"/>
      <c r="J62" s="22"/>
      <c r="K62" s="22"/>
      <c r="L62" s="26"/>
      <c r="M62" s="22"/>
      <c r="N62" s="22"/>
      <c r="O62" s="22"/>
      <c r="P62" s="43"/>
    </row>
    <row r="63" spans="4:27">
      <c r="E63" s="37"/>
      <c r="F63" s="44"/>
      <c r="G63" s="44"/>
      <c r="H63" s="38"/>
      <c r="I63" s="44"/>
      <c r="J63" s="44"/>
      <c r="K63" s="44"/>
      <c r="L63" s="38"/>
      <c r="M63" s="44"/>
      <c r="N63" s="44"/>
      <c r="O63" s="44"/>
      <c r="P63" s="45"/>
    </row>
    <row r="64" spans="4:27">
      <c r="L64" s="60"/>
      <c r="P64" s="27"/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109" priority="1" operator="lessThan">
      <formula>0</formula>
    </cfRule>
    <cfRule type="cellIs" dxfId="108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B1:AB61"/>
  <sheetViews>
    <sheetView topLeftCell="A31" workbookViewId="0">
      <selection activeCell="U39" sqref="U39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5" width="11.5703125" bestFit="1" customWidth="1"/>
    <col min="19" max="19" width="11.5703125" bestFit="1" customWidth="1"/>
    <col min="28" max="28" width="11.5703125" bestFit="1" customWidth="1"/>
  </cols>
  <sheetData>
    <row r="1" spans="2:16">
      <c r="C1" s="217" t="s">
        <v>6</v>
      </c>
      <c r="D1" s="217"/>
      <c r="G1" s="217" t="s">
        <v>7</v>
      </c>
      <c r="H1" s="217"/>
      <c r="K1" s="218" t="s">
        <v>226</v>
      </c>
      <c r="L1" s="218"/>
    </row>
    <row r="2" spans="2:16">
      <c r="B2" s="18" t="s">
        <v>0</v>
      </c>
      <c r="C2" s="73">
        <v>4.6500000000000004</v>
      </c>
      <c r="D2" s="74"/>
      <c r="E2" s="18"/>
      <c r="F2" s="18" t="s">
        <v>0</v>
      </c>
      <c r="G2" s="75">
        <v>1500</v>
      </c>
      <c r="H2" s="74"/>
      <c r="I2" s="18"/>
      <c r="J2" s="18" t="s">
        <v>0</v>
      </c>
      <c r="K2" s="73">
        <v>4.09</v>
      </c>
      <c r="L2" s="74"/>
    </row>
    <row r="3" spans="2:16">
      <c r="B3" s="18" t="s">
        <v>39</v>
      </c>
      <c r="C3" s="20">
        <v>549.47</v>
      </c>
      <c r="D3" s="11"/>
      <c r="E3" s="76"/>
      <c r="F3" s="18" t="s">
        <v>251</v>
      </c>
      <c r="G3" s="20">
        <v>2929.72</v>
      </c>
      <c r="H3" s="11"/>
      <c r="I3" s="18"/>
      <c r="J3" s="18" t="s">
        <v>237</v>
      </c>
      <c r="K3" s="20">
        <v>5998.41</v>
      </c>
      <c r="L3" s="77"/>
      <c r="N3" s="2"/>
    </row>
    <row r="4" spans="2:16">
      <c r="B4" s="18" t="s">
        <v>40</v>
      </c>
      <c r="C4" s="20">
        <v>15695.72</v>
      </c>
      <c r="D4" s="11"/>
      <c r="E4" s="18"/>
      <c r="F4" s="18" t="s">
        <v>94</v>
      </c>
      <c r="G4" s="20"/>
      <c r="H4" s="11">
        <v>2929.72</v>
      </c>
      <c r="I4" s="18"/>
      <c r="J4" s="18" t="s">
        <v>237</v>
      </c>
      <c r="K4" s="20">
        <v>1500.38</v>
      </c>
      <c r="L4" s="77"/>
    </row>
    <row r="5" spans="2:16">
      <c r="B5" s="18" t="s">
        <v>237</v>
      </c>
      <c r="C5" s="20"/>
      <c r="D5" s="11">
        <v>5998.41</v>
      </c>
      <c r="E5" s="18"/>
      <c r="F5" s="18" t="s">
        <v>254</v>
      </c>
      <c r="G5" s="20"/>
      <c r="H5" s="11">
        <v>500</v>
      </c>
      <c r="I5" s="18"/>
      <c r="J5" s="18" t="s">
        <v>253</v>
      </c>
      <c r="K5" s="20"/>
      <c r="L5" s="77">
        <v>1501.77</v>
      </c>
    </row>
    <row r="6" spans="2:16">
      <c r="B6" s="18" t="s">
        <v>43</v>
      </c>
      <c r="C6" s="20"/>
      <c r="D6" s="11">
        <v>3900</v>
      </c>
      <c r="E6" s="18"/>
      <c r="F6" s="18" t="s">
        <v>255</v>
      </c>
      <c r="G6" s="20">
        <v>1700</v>
      </c>
      <c r="H6" s="11"/>
      <c r="I6" s="18"/>
      <c r="J6" s="18"/>
      <c r="K6" s="20"/>
      <c r="L6" s="77"/>
    </row>
    <row r="7" spans="2:16">
      <c r="B7" s="18" t="s">
        <v>76</v>
      </c>
      <c r="C7" s="20"/>
      <c r="D7" s="11">
        <v>600</v>
      </c>
      <c r="E7" s="76"/>
      <c r="F7" s="18"/>
      <c r="G7" s="20"/>
      <c r="H7" s="11"/>
      <c r="I7" s="18"/>
      <c r="J7" s="18"/>
      <c r="K7" s="20"/>
      <c r="L7" s="77"/>
      <c r="P7" s="2"/>
    </row>
    <row r="8" spans="2:16">
      <c r="B8" s="39" t="s">
        <v>245</v>
      </c>
      <c r="C8" s="18"/>
      <c r="D8" s="11">
        <v>2929.72</v>
      </c>
      <c r="E8" s="18"/>
      <c r="F8" s="71"/>
      <c r="G8" s="78"/>
      <c r="H8" s="63"/>
      <c r="I8" s="18"/>
      <c r="J8" s="18"/>
      <c r="K8" s="20"/>
      <c r="L8" s="39"/>
    </row>
    <row r="9" spans="2:16">
      <c r="B9" s="39" t="s">
        <v>246</v>
      </c>
      <c r="C9" s="18"/>
      <c r="D9" s="11">
        <v>1500.38</v>
      </c>
      <c r="E9" s="18"/>
      <c r="F9" s="18"/>
      <c r="G9" s="20"/>
      <c r="H9" s="11"/>
      <c r="I9" s="18"/>
      <c r="J9" s="18"/>
      <c r="K9" s="18"/>
      <c r="L9" s="18"/>
    </row>
    <row r="10" spans="2:16">
      <c r="B10" s="64" t="s">
        <v>247</v>
      </c>
      <c r="C10" s="79">
        <v>311</v>
      </c>
      <c r="D10" s="80"/>
      <c r="E10" s="76"/>
      <c r="F10" s="18"/>
      <c r="G10" s="20"/>
      <c r="H10" s="11"/>
      <c r="I10" s="18"/>
      <c r="J10" s="18"/>
      <c r="K10" s="18"/>
      <c r="L10" s="18"/>
    </row>
    <row r="11" spans="2:16">
      <c r="B11" s="66" t="s">
        <v>248</v>
      </c>
      <c r="C11" s="39">
        <v>311</v>
      </c>
      <c r="D11" s="81"/>
      <c r="E11" s="18"/>
      <c r="F11" s="18"/>
      <c r="G11" s="20"/>
      <c r="H11" s="11"/>
      <c r="I11" s="18"/>
      <c r="J11" s="18"/>
      <c r="K11" s="18"/>
      <c r="L11" s="18"/>
    </row>
    <row r="12" spans="2:16">
      <c r="B12" s="66" t="s">
        <v>76</v>
      </c>
      <c r="C12" s="39"/>
      <c r="D12" s="81">
        <v>1017.4</v>
      </c>
      <c r="E12" s="18"/>
      <c r="F12" s="18"/>
      <c r="G12" s="20"/>
      <c r="H12" s="11"/>
      <c r="I12" s="18"/>
      <c r="J12" s="18"/>
      <c r="K12" s="18"/>
      <c r="L12" s="18"/>
    </row>
    <row r="13" spans="2:16">
      <c r="B13" s="67" t="s">
        <v>249</v>
      </c>
      <c r="C13" s="82"/>
      <c r="D13" s="83">
        <v>310.52999999999997</v>
      </c>
      <c r="E13" s="18"/>
      <c r="F13" s="18"/>
      <c r="G13" s="20"/>
      <c r="H13" s="11"/>
      <c r="I13" s="18"/>
      <c r="J13" s="18"/>
      <c r="K13" s="18"/>
      <c r="L13" s="18"/>
    </row>
    <row r="14" spans="2:16">
      <c r="B14" s="39" t="s">
        <v>250</v>
      </c>
      <c r="C14" s="20"/>
      <c r="D14" s="11">
        <v>100</v>
      </c>
      <c r="E14" s="18"/>
      <c r="F14" s="18"/>
      <c r="G14" s="20"/>
      <c r="H14" s="11"/>
      <c r="I14" s="18"/>
      <c r="J14" s="18"/>
      <c r="K14" s="18"/>
      <c r="L14" s="18"/>
    </row>
    <row r="15" spans="2:16">
      <c r="B15" s="39" t="s">
        <v>200</v>
      </c>
      <c r="C15" s="20"/>
      <c r="D15" s="11">
        <v>100</v>
      </c>
      <c r="E15" s="18"/>
      <c r="F15" s="18"/>
      <c r="G15" s="20"/>
      <c r="H15" s="11"/>
      <c r="I15" s="18"/>
      <c r="J15" s="18"/>
      <c r="K15" s="18"/>
      <c r="L15" s="18"/>
    </row>
    <row r="16" spans="2:16">
      <c r="B16" s="39" t="s">
        <v>253</v>
      </c>
      <c r="C16" s="20">
        <v>1501.77</v>
      </c>
      <c r="D16" s="11"/>
      <c r="E16" s="18"/>
      <c r="F16" s="18"/>
      <c r="G16" s="20"/>
      <c r="H16" s="11"/>
      <c r="I16" s="18"/>
      <c r="J16" s="18"/>
      <c r="K16" s="18"/>
      <c r="L16" s="18"/>
    </row>
    <row r="17" spans="2:21">
      <c r="B17" s="39" t="s">
        <v>257</v>
      </c>
      <c r="C17" s="20"/>
      <c r="D17" s="11">
        <v>188</v>
      </c>
      <c r="E17" s="18"/>
      <c r="F17" s="18"/>
      <c r="G17" s="20"/>
      <c r="H17" s="11"/>
      <c r="I17" s="18"/>
      <c r="J17" s="18"/>
      <c r="K17" s="18"/>
      <c r="L17" s="18"/>
    </row>
    <row r="18" spans="2:21">
      <c r="B18" s="39" t="s">
        <v>256</v>
      </c>
      <c r="C18" s="20"/>
      <c r="D18" s="11">
        <v>1700</v>
      </c>
      <c r="G18" s="20"/>
      <c r="H18" s="11"/>
    </row>
    <row r="19" spans="2:21">
      <c r="B19" s="39"/>
      <c r="C19" s="1"/>
      <c r="D19" s="11"/>
      <c r="G19" s="20"/>
      <c r="H19" s="11"/>
    </row>
    <row r="20" spans="2:21">
      <c r="B20" s="71"/>
      <c r="C20" s="72"/>
      <c r="D20" s="63"/>
      <c r="G20" s="20"/>
      <c r="H20" s="19"/>
    </row>
    <row r="21" spans="2:21">
      <c r="B21" s="39"/>
      <c r="C21" s="1"/>
      <c r="D21" s="11"/>
      <c r="G21" s="20"/>
      <c r="H21" s="19"/>
    </row>
    <row r="22" spans="2:21">
      <c r="B22" s="39"/>
      <c r="C22" s="1"/>
      <c r="D22" s="11"/>
      <c r="G22" s="20"/>
      <c r="H22" s="19"/>
    </row>
    <row r="23" spans="2:21">
      <c r="B23" s="39"/>
      <c r="C23" s="1"/>
      <c r="D23" s="11"/>
      <c r="G23" s="20"/>
      <c r="H23" s="19"/>
    </row>
    <row r="24" spans="2:21">
      <c r="B24" t="s">
        <v>2</v>
      </c>
      <c r="C24" s="2">
        <f>SUM(C2:C23)</f>
        <v>18373.61</v>
      </c>
      <c r="D24" s="2">
        <f>SUM(D3:D22)</f>
        <v>18344.439999999999</v>
      </c>
      <c r="F24" t="s">
        <v>2</v>
      </c>
      <c r="G24" s="2">
        <f>SUM(G2:G18)</f>
        <v>6129.7199999999993</v>
      </c>
      <c r="H24" s="2">
        <f>SUM(H3:H19)</f>
        <v>3429.72</v>
      </c>
      <c r="J24" t="s">
        <v>2</v>
      </c>
      <c r="K24" s="2">
        <f>SUM(K1:K10)</f>
        <v>7502.88</v>
      </c>
      <c r="L24" s="2">
        <f>SUM(L2:L10)</f>
        <v>1501.77</v>
      </c>
    </row>
    <row r="25" spans="2:21">
      <c r="D25" s="2">
        <f>C24-D24</f>
        <v>29.170000000001892</v>
      </c>
      <c r="H25" s="2">
        <f>G24-H24</f>
        <v>2699.9999999999995</v>
      </c>
      <c r="L25" s="2">
        <f>K24-L24</f>
        <v>6001.1100000000006</v>
      </c>
    </row>
    <row r="28" spans="2:21">
      <c r="C28" s="217" t="s">
        <v>12</v>
      </c>
      <c r="D28" s="217"/>
      <c r="G28" s="217" t="s">
        <v>16</v>
      </c>
      <c r="H28" s="217"/>
      <c r="K28" s="217" t="s">
        <v>77</v>
      </c>
      <c r="L28" s="217"/>
      <c r="O28" s="217" t="s">
        <v>90</v>
      </c>
      <c r="P28" s="217"/>
      <c r="S28" t="s">
        <v>163</v>
      </c>
      <c r="T28" t="s">
        <v>164</v>
      </c>
      <c r="U28" t="s">
        <v>165</v>
      </c>
    </row>
    <row r="29" spans="2:21">
      <c r="B29" t="s">
        <v>0</v>
      </c>
      <c r="C29" s="3">
        <v>0</v>
      </c>
      <c r="D29" s="4"/>
      <c r="F29" t="s">
        <v>0</v>
      </c>
      <c r="G29" s="3">
        <v>-1693</v>
      </c>
      <c r="H29" s="4"/>
      <c r="J29" t="s">
        <v>0</v>
      </c>
      <c r="K29" s="3">
        <v>-406.31</v>
      </c>
      <c r="L29" s="4"/>
      <c r="M29" s="33"/>
      <c r="N29" t="s">
        <v>0</v>
      </c>
      <c r="O29" s="3">
        <v>-2929.7200000000003</v>
      </c>
      <c r="P29" s="4"/>
      <c r="S29" s="1">
        <v>-4998</v>
      </c>
      <c r="T29">
        <v>18</v>
      </c>
      <c r="U29" s="2">
        <f>S29/T29</f>
        <v>-277.66666666666669</v>
      </c>
    </row>
    <row r="30" spans="2:21">
      <c r="B30" t="s">
        <v>258</v>
      </c>
      <c r="C30" s="1">
        <v>970</v>
      </c>
      <c r="D30" s="1"/>
      <c r="F30" t="s">
        <v>243</v>
      </c>
      <c r="G30" s="20"/>
      <c r="H30" s="24">
        <v>149.97</v>
      </c>
      <c r="J30" t="s">
        <v>259</v>
      </c>
      <c r="K30" s="1"/>
      <c r="L30" s="11">
        <v>199.5</v>
      </c>
      <c r="M30" s="29"/>
      <c r="N30" t="s">
        <v>238</v>
      </c>
      <c r="O30" s="19"/>
      <c r="P30" s="11">
        <v>295</v>
      </c>
      <c r="S30" s="1">
        <v>-3144</v>
      </c>
      <c r="T30">
        <v>6</v>
      </c>
      <c r="U30" s="2">
        <f>S30/T30</f>
        <v>-524</v>
      </c>
    </row>
    <row r="31" spans="2:21">
      <c r="B31" t="s">
        <v>47</v>
      </c>
      <c r="C31" s="20"/>
      <c r="D31" s="11">
        <v>500</v>
      </c>
      <c r="G31" s="23"/>
      <c r="H31" s="11"/>
      <c r="J31" s="12"/>
      <c r="K31" s="21"/>
      <c r="L31" s="32"/>
      <c r="N31" s="12" t="s">
        <v>172</v>
      </c>
      <c r="O31" s="21"/>
      <c r="P31" s="32">
        <v>70</v>
      </c>
    </row>
    <row r="32" spans="2:21">
      <c r="B32" t="s">
        <v>200</v>
      </c>
      <c r="C32" s="1"/>
      <c r="D32" s="11">
        <v>10</v>
      </c>
      <c r="F32" s="12"/>
      <c r="G32" s="21"/>
      <c r="H32" s="11"/>
      <c r="J32" s="12"/>
      <c r="K32" s="70"/>
      <c r="L32" s="32"/>
      <c r="N32" t="s">
        <v>169</v>
      </c>
      <c r="O32" s="1">
        <v>2929.72</v>
      </c>
      <c r="P32" s="24"/>
      <c r="S32" s="2"/>
    </row>
    <row r="33" spans="2:28">
      <c r="C33" s="20"/>
      <c r="D33" s="11"/>
      <c r="G33" s="20"/>
      <c r="H33" s="11"/>
      <c r="K33" s="20"/>
      <c r="L33" s="11"/>
      <c r="N33" t="s">
        <v>252</v>
      </c>
      <c r="O33" s="23"/>
      <c r="P33" s="11">
        <v>667</v>
      </c>
    </row>
    <row r="34" spans="2:28">
      <c r="B34" s="12"/>
      <c r="C34" s="20"/>
      <c r="D34" s="11"/>
      <c r="G34" s="20"/>
      <c r="H34" s="11"/>
      <c r="K34" s="1"/>
      <c r="L34" s="11"/>
      <c r="M34" s="29"/>
      <c r="O34" s="1"/>
      <c r="P34" s="24"/>
      <c r="Q34" s="29"/>
    </row>
    <row r="35" spans="2:28">
      <c r="C35" s="20"/>
      <c r="D35" s="11"/>
      <c r="G35" s="12"/>
      <c r="H35" s="14"/>
      <c r="K35" s="1"/>
      <c r="L35" s="11"/>
      <c r="M35" s="29"/>
      <c r="O35" s="60"/>
      <c r="P35" s="11"/>
      <c r="Q35" s="29"/>
    </row>
    <row r="36" spans="2:28">
      <c r="B36" s="12"/>
      <c r="C36" s="20"/>
      <c r="D36" s="11"/>
      <c r="H36" s="11"/>
      <c r="L36" s="11"/>
      <c r="P36" s="11"/>
      <c r="S36" s="2"/>
    </row>
    <row r="37" spans="2:28">
      <c r="B37" s="12"/>
      <c r="C37" s="20"/>
      <c r="D37" s="11"/>
      <c r="G37" s="12"/>
      <c r="H37" s="14"/>
      <c r="L37" s="11"/>
      <c r="O37" s="19"/>
      <c r="P37" s="11"/>
      <c r="R37" t="s">
        <v>0</v>
      </c>
      <c r="S37" s="2">
        <f>S29+S30+P48-(U30*3)-(U29*3)</f>
        <v>-6769</v>
      </c>
    </row>
    <row r="38" spans="2:28">
      <c r="B38" s="12"/>
      <c r="C38" s="20"/>
      <c r="D38" s="11"/>
      <c r="G38" s="12"/>
      <c r="H38" s="14"/>
      <c r="L38" s="11"/>
      <c r="O38" s="19"/>
      <c r="P38" s="11"/>
      <c r="S38" s="2"/>
    </row>
    <row r="39" spans="2:28">
      <c r="B39" s="12"/>
      <c r="C39" s="20"/>
      <c r="D39" s="11"/>
      <c r="G39" s="12"/>
      <c r="H39" s="14"/>
      <c r="L39" s="11"/>
      <c r="O39" s="19"/>
      <c r="P39" s="11"/>
      <c r="S39" s="2"/>
    </row>
    <row r="40" spans="2:28">
      <c r="B40" s="12"/>
      <c r="C40" s="20"/>
      <c r="D40" s="11"/>
      <c r="G40" s="12"/>
      <c r="H40" s="14"/>
      <c r="L40" s="11"/>
      <c r="O40" s="19"/>
      <c r="P40" s="11"/>
      <c r="R40">
        <v>2929.72</v>
      </c>
      <c r="S40" s="2"/>
      <c r="X40">
        <f>4070.72+883.87</f>
        <v>4954.59</v>
      </c>
    </row>
    <row r="41" spans="2:28">
      <c r="B41" s="12"/>
      <c r="C41" s="20"/>
      <c r="D41" s="11"/>
      <c r="G41" s="12"/>
      <c r="H41" s="14"/>
      <c r="L41" s="11"/>
      <c r="P41" s="11"/>
      <c r="R41">
        <v>3135.02</v>
      </c>
      <c r="S41" s="2"/>
    </row>
    <row r="42" spans="2:28">
      <c r="B42" s="12"/>
      <c r="C42" s="20"/>
      <c r="D42" s="11"/>
      <c r="H42" s="11"/>
      <c r="L42" s="11"/>
      <c r="P42" s="11"/>
      <c r="R42">
        <v>6769</v>
      </c>
    </row>
    <row r="43" spans="2:28">
      <c r="B43" s="12"/>
      <c r="C43" s="20"/>
      <c r="D43" s="11"/>
      <c r="G43" s="12"/>
      <c r="H43" s="14"/>
      <c r="L43" s="11"/>
      <c r="M43" s="33"/>
      <c r="P43" s="11"/>
    </row>
    <row r="44" spans="2:28">
      <c r="B44" s="12"/>
      <c r="C44" s="1"/>
      <c r="D44" s="11"/>
      <c r="H44" s="11"/>
      <c r="L44" s="11"/>
      <c r="M44" s="33"/>
      <c r="P44" s="11"/>
    </row>
    <row r="45" spans="2:28">
      <c r="B45" s="12"/>
      <c r="C45" s="1"/>
      <c r="D45" s="11"/>
      <c r="H45" s="14"/>
      <c r="L45" s="11"/>
      <c r="P45" s="11"/>
    </row>
    <row r="46" spans="2:28">
      <c r="B46" s="12"/>
      <c r="C46" s="1"/>
      <c r="D46" s="11"/>
    </row>
    <row r="47" spans="2:28">
      <c r="B47" t="s">
        <v>2</v>
      </c>
      <c r="C47" s="2">
        <f>SUM(C29:C44)</f>
        <v>970</v>
      </c>
      <c r="D47" s="2">
        <f>SUM(D31:D46)</f>
        <v>510</v>
      </c>
      <c r="F47" t="s">
        <v>2</v>
      </c>
      <c r="G47" s="2">
        <f>SUM(G29:G44)</f>
        <v>-1693</v>
      </c>
      <c r="H47" s="2">
        <f>SUM(H29:H45)</f>
        <v>149.97</v>
      </c>
      <c r="J47" t="s">
        <v>2</v>
      </c>
      <c r="K47" s="2">
        <f>SUM(K29:K44)</f>
        <v>-406.31</v>
      </c>
      <c r="L47" s="2">
        <f>SUM(L29:L45)</f>
        <v>199.5</v>
      </c>
      <c r="N47" t="s">
        <v>2</v>
      </c>
      <c r="O47" s="2">
        <f>SUM(O29:O43)</f>
        <v>0</v>
      </c>
      <c r="P47" s="2">
        <f>SUM(P29:P43)</f>
        <v>1032</v>
      </c>
    </row>
    <row r="48" spans="2:28">
      <c r="D48" s="2">
        <f>C47-D47</f>
        <v>460</v>
      </c>
      <c r="H48" s="2">
        <f>G47-H47</f>
        <v>-1842.97</v>
      </c>
      <c r="L48" s="2">
        <f>K47-L47</f>
        <v>-605.80999999999995</v>
      </c>
      <c r="P48" s="2">
        <f>O47-P47</f>
        <v>-1032</v>
      </c>
      <c r="R48" s="2"/>
      <c r="AA48" t="s">
        <v>239</v>
      </c>
      <c r="AB48" s="1">
        <v>10261.049999999999</v>
      </c>
    </row>
    <row r="49" spans="4:28">
      <c r="AA49" t="s">
        <v>240</v>
      </c>
      <c r="AB49" s="1">
        <v>7081.32</v>
      </c>
    </row>
    <row r="50" spans="4:28">
      <c r="AA50" t="s">
        <v>241</v>
      </c>
      <c r="AB50" s="1">
        <f>AB48-AB49</f>
        <v>3179.7299999999996</v>
      </c>
    </row>
    <row r="51" spans="4:28">
      <c r="E51" t="s">
        <v>235</v>
      </c>
      <c r="H51" s="2">
        <v>1842.97</v>
      </c>
      <c r="L51" s="2">
        <v>605.80999999999995</v>
      </c>
      <c r="P51" s="2">
        <v>2929.72</v>
      </c>
      <c r="V51" t="s">
        <v>114</v>
      </c>
      <c r="W51" t="s">
        <v>115</v>
      </c>
      <c r="X51" t="s">
        <v>116</v>
      </c>
      <c r="AA51" t="s">
        <v>242</v>
      </c>
      <c r="AB51" s="2">
        <f>AB50/2</f>
        <v>1589.8649999999998</v>
      </c>
    </row>
    <row r="53" spans="4:28">
      <c r="D53" t="s">
        <v>138</v>
      </c>
      <c r="E53" s="34" t="s">
        <v>120</v>
      </c>
      <c r="F53" s="41"/>
      <c r="G53" s="41"/>
      <c r="H53" s="51">
        <f>L54</f>
        <v>0</v>
      </c>
      <c r="I53" s="41"/>
      <c r="J53" s="41"/>
      <c r="K53" s="41"/>
      <c r="L53" s="51">
        <f>P54</f>
        <v>0</v>
      </c>
      <c r="M53" s="41"/>
      <c r="N53" s="41"/>
      <c r="O53" s="41"/>
      <c r="P53" s="53">
        <v>2929.72</v>
      </c>
      <c r="S53" s="1">
        <f>H51+L51+P51</f>
        <v>5378.5</v>
      </c>
      <c r="T53" t="s">
        <v>98</v>
      </c>
      <c r="V53" s="1">
        <f>Z55-Z56</f>
        <v>718.67999999999984</v>
      </c>
      <c r="W53" s="2">
        <f>S53-V53</f>
        <v>4659.82</v>
      </c>
      <c r="X53" s="2">
        <f>W53/2</f>
        <v>2329.91</v>
      </c>
    </row>
    <row r="54" spans="4:28">
      <c r="E54" s="36" t="s">
        <v>121</v>
      </c>
      <c r="F54" s="22"/>
      <c r="G54" s="22"/>
      <c r="H54" s="43">
        <f>IF(H53-H51&lt;=0,0,H53-H51)</f>
        <v>0</v>
      </c>
      <c r="I54" s="22"/>
      <c r="J54" s="22"/>
      <c r="K54" s="22"/>
      <c r="L54" s="43">
        <f>IF(L53-L51&lt;=0,0,L53-L51)</f>
        <v>0</v>
      </c>
      <c r="M54" s="22"/>
      <c r="N54" s="22"/>
      <c r="O54" s="22"/>
      <c r="P54" s="43">
        <f>IF(P53-P51&lt;=0,0,P53-P51)</f>
        <v>0</v>
      </c>
      <c r="S54" s="1"/>
      <c r="Z54" t="s">
        <v>119</v>
      </c>
      <c r="AA54" t="s">
        <v>11</v>
      </c>
    </row>
    <row r="55" spans="4:28">
      <c r="E55" s="37" t="s">
        <v>122</v>
      </c>
      <c r="F55" s="44"/>
      <c r="G55" s="44"/>
      <c r="H55" s="45">
        <f>IF(H54=0,H51-H53)</f>
        <v>1842.97</v>
      </c>
      <c r="I55" s="44"/>
      <c r="J55" s="44"/>
      <c r="K55" s="44"/>
      <c r="L55" s="45">
        <f>IF(L54=0,L51-L53,0)</f>
        <v>605.80999999999995</v>
      </c>
      <c r="M55" s="44"/>
      <c r="N55" s="44"/>
      <c r="O55" s="44"/>
      <c r="P55" s="45">
        <f>IF(P54=0,P51-P53,)</f>
        <v>0</v>
      </c>
      <c r="W55" t="s">
        <v>117</v>
      </c>
      <c r="X55" s="2">
        <f>ABS(X53)</f>
        <v>2329.91</v>
      </c>
      <c r="Z55" s="1">
        <v>3900</v>
      </c>
      <c r="AA55" s="2">
        <f>X55+Z55</f>
        <v>6229.91</v>
      </c>
    </row>
    <row r="56" spans="4:28">
      <c r="E56" s="22"/>
      <c r="F56" s="22"/>
      <c r="G56" s="22"/>
      <c r="H56" s="25"/>
      <c r="I56" s="22"/>
      <c r="J56" s="22"/>
      <c r="K56" s="22"/>
      <c r="L56" s="25"/>
      <c r="M56" s="22"/>
      <c r="N56" s="22"/>
      <c r="O56" s="22"/>
      <c r="P56" s="25"/>
      <c r="W56" t="s">
        <v>118</v>
      </c>
      <c r="X56" s="1">
        <f>V53+ABS(X53)</f>
        <v>3048.5899999999997</v>
      </c>
      <c r="Z56" s="1">
        <v>3181.32</v>
      </c>
      <c r="AA56" s="2">
        <f>X56+Z56</f>
        <v>6229.91</v>
      </c>
    </row>
    <row r="57" spans="4:28">
      <c r="D57" t="s">
        <v>139</v>
      </c>
      <c r="H57" s="2">
        <f>H55</f>
        <v>1842.97</v>
      </c>
      <c r="L57" s="2">
        <f>L55</f>
        <v>605.80999999999995</v>
      </c>
      <c r="P57" s="2">
        <f>P55</f>
        <v>0</v>
      </c>
    </row>
    <row r="58" spans="4:28">
      <c r="E58" s="34" t="s">
        <v>169</v>
      </c>
      <c r="F58" s="41"/>
      <c r="G58" s="41"/>
      <c r="H58" s="51">
        <f>L59</f>
        <v>2442.7799999999997</v>
      </c>
      <c r="I58" s="41"/>
      <c r="J58" s="41"/>
      <c r="K58" s="41"/>
      <c r="L58" s="51">
        <f>P59</f>
        <v>3048.5899999999997</v>
      </c>
      <c r="M58" s="41"/>
      <c r="N58" s="41"/>
      <c r="O58" s="41"/>
      <c r="P58" s="53">
        <f>X56</f>
        <v>3048.5899999999997</v>
      </c>
      <c r="Z58" s="2"/>
    </row>
    <row r="59" spans="4:28">
      <c r="E59" s="36" t="s">
        <v>244</v>
      </c>
      <c r="F59" s="22"/>
      <c r="G59" s="22"/>
      <c r="H59" s="43">
        <f>IF(H58-H57&lt;=0,0,H58-H57)</f>
        <v>599.80999999999972</v>
      </c>
      <c r="I59" s="22"/>
      <c r="J59" s="22"/>
      <c r="K59" s="22"/>
      <c r="L59" s="43">
        <f>IF(L58-L57&lt;=0,0,L58-L57)</f>
        <v>2442.7799999999997</v>
      </c>
      <c r="M59" s="22"/>
      <c r="N59" s="22"/>
      <c r="O59" s="22"/>
      <c r="P59" s="43">
        <f>IF(P58-P57&lt;=0,0,P58-P57)</f>
        <v>3048.5899999999997</v>
      </c>
    </row>
    <row r="60" spans="4:28">
      <c r="E60" s="37" t="s">
        <v>122</v>
      </c>
      <c r="F60" s="44"/>
      <c r="G60" s="44"/>
      <c r="H60" s="45">
        <f>IF(H59=0,H57-H58,)</f>
        <v>0</v>
      </c>
      <c r="I60" s="44"/>
      <c r="J60" s="44"/>
      <c r="K60" s="44"/>
      <c r="L60" s="45">
        <f>IF(L59=0,L57-L58,0)</f>
        <v>0</v>
      </c>
      <c r="M60" s="44"/>
      <c r="N60" s="44"/>
      <c r="O60" s="44"/>
      <c r="P60" s="45">
        <f>IF(P59=0,P57-P58,)</f>
        <v>0</v>
      </c>
      <c r="X60" s="1"/>
    </row>
    <row r="61" spans="4:28">
      <c r="L61" s="60"/>
      <c r="P61" s="27"/>
      <c r="X61" s="2"/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107" priority="1" operator="lessThan">
      <formula>0</formula>
    </cfRule>
    <cfRule type="cellIs" dxfId="10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AB61"/>
  <sheetViews>
    <sheetView workbookViewId="0">
      <selection activeCell="D6" sqref="D6"/>
    </sheetView>
  </sheetViews>
  <sheetFormatPr baseColWidth="10" defaultRowHeight="15"/>
  <cols>
    <col min="3" max="3" width="19.5703125" customWidth="1"/>
    <col min="4" max="4" width="16.140625" customWidth="1"/>
    <col min="7" max="7" width="15.42578125" customWidth="1"/>
    <col min="8" max="8" width="16.7109375" customWidth="1"/>
    <col min="11" max="11" width="12.7109375" bestFit="1" customWidth="1"/>
    <col min="12" max="12" width="11.5703125" bestFit="1" customWidth="1"/>
    <col min="15" max="17" width="11.5703125" bestFit="1" customWidth="1"/>
    <col min="19" max="19" width="11.5703125" bestFit="1" customWidth="1"/>
    <col min="28" max="28" width="11.5703125" bestFit="1" customWidth="1"/>
  </cols>
  <sheetData>
    <row r="1" spans="1:16">
      <c r="C1" s="217" t="s">
        <v>6</v>
      </c>
      <c r="D1" s="217"/>
      <c r="G1" s="217" t="s">
        <v>7</v>
      </c>
      <c r="H1" s="217"/>
      <c r="K1" s="218" t="s">
        <v>226</v>
      </c>
      <c r="L1" s="218"/>
    </row>
    <row r="2" spans="1:16">
      <c r="B2" s="18" t="s">
        <v>0</v>
      </c>
      <c r="C2" s="73">
        <v>29.17</v>
      </c>
      <c r="D2" s="74"/>
      <c r="E2" s="18"/>
      <c r="F2" s="18" t="s">
        <v>0</v>
      </c>
      <c r="G2" s="75">
        <v>1500</v>
      </c>
      <c r="H2" s="74"/>
      <c r="I2" s="18"/>
      <c r="J2" s="18" t="s">
        <v>0</v>
      </c>
      <c r="K2" s="73">
        <v>6001.11</v>
      </c>
      <c r="L2" s="74"/>
    </row>
    <row r="3" spans="1:16">
      <c r="B3" s="18" t="s">
        <v>39</v>
      </c>
      <c r="C3" s="20">
        <v>569.28</v>
      </c>
      <c r="D3" s="11"/>
      <c r="E3" s="76"/>
      <c r="F3" s="18" t="s">
        <v>251</v>
      </c>
      <c r="G3" s="20">
        <v>2929.72</v>
      </c>
      <c r="H3" s="11"/>
      <c r="I3" s="18"/>
      <c r="J3" s="18" t="s">
        <v>10</v>
      </c>
      <c r="K3" s="20"/>
      <c r="L3" s="77"/>
      <c r="N3" s="2"/>
    </row>
    <row r="4" spans="1:16">
      <c r="B4" s="18" t="s">
        <v>40</v>
      </c>
      <c r="C4" s="20">
        <v>15647.31</v>
      </c>
      <c r="D4" s="11"/>
      <c r="E4" s="18"/>
      <c r="F4" s="18" t="s">
        <v>94</v>
      </c>
      <c r="G4" s="20"/>
      <c r="H4" s="11">
        <v>2929.72</v>
      </c>
      <c r="I4" s="18"/>
      <c r="J4" s="18" t="s">
        <v>237</v>
      </c>
      <c r="K4" s="20">
        <v>5998.97</v>
      </c>
      <c r="L4" s="77"/>
    </row>
    <row r="5" spans="1:16">
      <c r="B5" s="18" t="s">
        <v>237</v>
      </c>
      <c r="C5" s="20"/>
      <c r="D5" s="11">
        <v>5998.97</v>
      </c>
      <c r="E5" s="18"/>
      <c r="F5" s="18" t="s">
        <v>254</v>
      </c>
      <c r="G5" s="20"/>
      <c r="H5" s="11">
        <v>500</v>
      </c>
      <c r="I5" s="18"/>
      <c r="J5" s="18" t="s">
        <v>305</v>
      </c>
      <c r="K5" s="20"/>
      <c r="L5" s="77">
        <v>4999.58</v>
      </c>
    </row>
    <row r="6" spans="1:16">
      <c r="B6" s="18" t="s">
        <v>1</v>
      </c>
      <c r="C6" s="20"/>
      <c r="D6" s="11">
        <v>3181.32</v>
      </c>
      <c r="E6" s="18"/>
      <c r="F6" s="18" t="s">
        <v>255</v>
      </c>
      <c r="G6" s="20">
        <v>1700</v>
      </c>
      <c r="H6" s="11"/>
      <c r="I6" s="18"/>
      <c r="J6" s="18"/>
      <c r="K6" s="20"/>
      <c r="L6" s="77"/>
    </row>
    <row r="7" spans="1:16">
      <c r="B7" s="18" t="s">
        <v>258</v>
      </c>
      <c r="C7" s="20"/>
      <c r="D7" s="11">
        <v>969.62</v>
      </c>
      <c r="E7" s="76"/>
      <c r="F7" s="18" t="s">
        <v>1</v>
      </c>
      <c r="G7" s="20">
        <v>3181.32</v>
      </c>
      <c r="H7" s="11"/>
      <c r="I7" s="18"/>
      <c r="J7" s="18"/>
      <c r="K7" s="20"/>
      <c r="L7" s="77"/>
      <c r="P7" s="2"/>
    </row>
    <row r="8" spans="1:16">
      <c r="B8" s="39" t="s">
        <v>271</v>
      </c>
      <c r="C8" s="18"/>
      <c r="D8" s="11">
        <v>1200</v>
      </c>
      <c r="E8" s="18"/>
      <c r="F8" s="71" t="s">
        <v>9</v>
      </c>
      <c r="G8" s="78"/>
      <c r="H8" s="63">
        <v>3181.32</v>
      </c>
      <c r="I8" s="18"/>
      <c r="J8" s="18"/>
      <c r="K8" s="20"/>
      <c r="L8" s="39"/>
    </row>
    <row r="9" spans="1:16">
      <c r="B9" s="18" t="s">
        <v>260</v>
      </c>
      <c r="C9" s="20">
        <v>3048.59</v>
      </c>
      <c r="D9" s="11">
        <v>3048.59</v>
      </c>
      <c r="E9" s="18"/>
      <c r="F9" s="18" t="s">
        <v>268</v>
      </c>
      <c r="G9" s="20"/>
      <c r="H9" s="11">
        <v>1200</v>
      </c>
      <c r="I9" s="18"/>
      <c r="J9" s="18"/>
      <c r="K9" s="18"/>
      <c r="L9" s="18"/>
    </row>
    <row r="10" spans="1:16">
      <c r="A10" t="s">
        <v>264</v>
      </c>
      <c r="B10" s="64" t="s">
        <v>265</v>
      </c>
      <c r="C10" s="79"/>
      <c r="D10" s="80">
        <v>1842.97</v>
      </c>
      <c r="E10" s="76"/>
      <c r="F10" s="18" t="s">
        <v>288</v>
      </c>
      <c r="G10" s="20">
        <v>4926</v>
      </c>
      <c r="H10" s="11"/>
      <c r="I10" s="18"/>
      <c r="J10" s="18"/>
      <c r="K10" s="18"/>
      <c r="L10" s="18"/>
    </row>
    <row r="11" spans="1:16">
      <c r="B11" s="66" t="s">
        <v>266</v>
      </c>
      <c r="C11" s="39"/>
      <c r="D11" s="81">
        <v>605.80999999999995</v>
      </c>
      <c r="E11" s="18"/>
      <c r="F11" s="91" t="s">
        <v>289</v>
      </c>
      <c r="G11" s="20"/>
      <c r="H11" s="11">
        <v>4926</v>
      </c>
      <c r="I11" s="18"/>
      <c r="J11" s="18"/>
      <c r="K11" s="18"/>
      <c r="L11" s="18"/>
    </row>
    <row r="12" spans="1:16">
      <c r="B12" s="66" t="s">
        <v>267</v>
      </c>
      <c r="C12" s="39">
        <v>599.80999999999995</v>
      </c>
      <c r="D12" s="81">
        <v>599.80999999999995</v>
      </c>
      <c r="E12" s="18"/>
      <c r="F12" s="18"/>
      <c r="G12" s="20"/>
      <c r="H12" s="11"/>
      <c r="I12" s="18"/>
      <c r="J12" s="18"/>
      <c r="K12" s="18"/>
      <c r="L12" s="18"/>
    </row>
    <row r="13" spans="1:16">
      <c r="B13" s="67" t="s">
        <v>270</v>
      </c>
      <c r="C13" s="82">
        <v>0.19</v>
      </c>
      <c r="D13" s="83">
        <v>0.19</v>
      </c>
      <c r="E13" s="18"/>
      <c r="F13" s="18"/>
      <c r="G13" s="20"/>
      <c r="H13" s="11"/>
      <c r="I13" s="18"/>
      <c r="J13" s="18"/>
      <c r="K13" s="18"/>
      <c r="L13" s="18"/>
    </row>
    <row r="14" spans="1:16">
      <c r="B14" s="39" t="s">
        <v>274</v>
      </c>
      <c r="C14" s="20"/>
      <c r="D14" s="11">
        <v>1200</v>
      </c>
      <c r="E14" s="18"/>
      <c r="F14" s="18"/>
      <c r="G14" s="20"/>
      <c r="H14" s="11"/>
      <c r="I14" s="18"/>
      <c r="J14" s="18"/>
      <c r="K14" s="18"/>
      <c r="L14" s="18"/>
    </row>
    <row r="15" spans="1:16">
      <c r="B15" s="39" t="s">
        <v>287</v>
      </c>
      <c r="C15" s="20"/>
      <c r="D15" s="11">
        <v>100</v>
      </c>
      <c r="E15" s="18"/>
      <c r="F15" s="18"/>
      <c r="G15" s="20"/>
      <c r="H15" s="11"/>
      <c r="I15" s="18"/>
      <c r="J15" s="18"/>
      <c r="K15" s="18"/>
      <c r="L15" s="18"/>
    </row>
    <row r="16" spans="1:16">
      <c r="B16" s="39" t="s">
        <v>253</v>
      </c>
      <c r="C16" s="20">
        <v>4999.58</v>
      </c>
      <c r="D16" s="11"/>
      <c r="E16" s="18"/>
      <c r="F16" s="18"/>
      <c r="G16" s="20"/>
      <c r="H16" s="11"/>
      <c r="I16" s="18"/>
      <c r="J16" s="18"/>
      <c r="K16" s="18"/>
      <c r="L16" s="18"/>
    </row>
    <row r="17" spans="2:21">
      <c r="B17" s="39" t="s">
        <v>288</v>
      </c>
      <c r="C17" s="20"/>
      <c r="D17" s="11">
        <v>4926</v>
      </c>
      <c r="E17" s="18"/>
      <c r="F17" s="18"/>
      <c r="G17" s="20"/>
      <c r="H17" s="11"/>
      <c r="I17" s="18"/>
      <c r="J17" s="18"/>
      <c r="K17" s="18"/>
      <c r="L17" s="18"/>
    </row>
    <row r="18" spans="2:21">
      <c r="B18" s="39"/>
      <c r="C18" s="20"/>
      <c r="D18" s="11"/>
      <c r="G18" s="20"/>
      <c r="H18" s="11"/>
    </row>
    <row r="19" spans="2:21">
      <c r="B19" s="39"/>
      <c r="C19" s="1"/>
      <c r="D19" s="11"/>
      <c r="G19" s="20"/>
      <c r="H19" s="11"/>
    </row>
    <row r="20" spans="2:21">
      <c r="B20" s="71"/>
      <c r="C20" s="72"/>
      <c r="D20" s="63"/>
      <c r="G20" s="20"/>
      <c r="H20" s="19"/>
    </row>
    <row r="21" spans="2:21">
      <c r="B21" s="39"/>
      <c r="C21" s="1"/>
      <c r="D21" s="11"/>
      <c r="G21" s="20"/>
      <c r="H21" s="19"/>
    </row>
    <row r="22" spans="2:21">
      <c r="B22" s="39"/>
      <c r="C22" s="1"/>
      <c r="D22" s="11"/>
      <c r="G22" s="20"/>
      <c r="H22" s="19"/>
    </row>
    <row r="23" spans="2:21">
      <c r="B23" s="39"/>
      <c r="C23" s="1"/>
      <c r="D23" s="11"/>
      <c r="G23" s="20"/>
      <c r="H23" s="19"/>
    </row>
    <row r="24" spans="2:21">
      <c r="B24" t="s">
        <v>2</v>
      </c>
      <c r="C24" s="2">
        <f>SUM(C2:C23)</f>
        <v>24893.93</v>
      </c>
      <c r="D24" s="2">
        <f>SUM(D3:D22)</f>
        <v>23673.280000000002</v>
      </c>
      <c r="F24" t="s">
        <v>2</v>
      </c>
      <c r="G24" s="2">
        <f>SUM(G2:G18)</f>
        <v>14237.039999999999</v>
      </c>
      <c r="H24" s="2">
        <f>SUM(H3:H19)</f>
        <v>12737.04</v>
      </c>
      <c r="J24" t="s">
        <v>2</v>
      </c>
      <c r="K24" s="2">
        <f>SUM(K1:K10)</f>
        <v>12000.08</v>
      </c>
      <c r="L24" s="2">
        <f>SUM(L2:L10)</f>
        <v>4999.58</v>
      </c>
    </row>
    <row r="25" spans="2:21">
      <c r="D25" s="2">
        <f>C24-D24</f>
        <v>1220.6499999999978</v>
      </c>
      <c r="H25" s="2">
        <f>G24-H24</f>
        <v>1499.9999999999982</v>
      </c>
      <c r="L25" s="2">
        <f>K24-L24</f>
        <v>7000.5</v>
      </c>
    </row>
    <row r="28" spans="2:21">
      <c r="C28" s="217" t="s">
        <v>12</v>
      </c>
      <c r="D28" s="217"/>
      <c r="G28" s="217" t="s">
        <v>16</v>
      </c>
      <c r="H28" s="217"/>
      <c r="K28" s="217" t="s">
        <v>77</v>
      </c>
      <c r="L28" s="217"/>
      <c r="O28" s="217" t="s">
        <v>90</v>
      </c>
      <c r="P28" s="217"/>
      <c r="S28" t="s">
        <v>163</v>
      </c>
      <c r="T28" t="s">
        <v>164</v>
      </c>
      <c r="U28" t="s">
        <v>165</v>
      </c>
    </row>
    <row r="29" spans="2:21">
      <c r="B29" t="s">
        <v>0</v>
      </c>
      <c r="C29" s="3">
        <v>0</v>
      </c>
      <c r="D29" s="4"/>
      <c r="F29" t="s">
        <v>0</v>
      </c>
      <c r="G29" s="3">
        <v>-1693</v>
      </c>
      <c r="H29" s="4"/>
      <c r="J29" t="s">
        <v>0</v>
      </c>
      <c r="K29" s="3">
        <v>-406.31</v>
      </c>
      <c r="L29" s="4"/>
      <c r="M29" s="33"/>
      <c r="N29" t="s">
        <v>0</v>
      </c>
      <c r="O29" s="89">
        <v>-2929.7200000000003</v>
      </c>
      <c r="P29" s="90"/>
      <c r="S29" s="1">
        <v>-4998</v>
      </c>
      <c r="T29">
        <v>18</v>
      </c>
      <c r="U29" s="2">
        <f>S29/T29</f>
        <v>-277.66666666666669</v>
      </c>
    </row>
    <row r="30" spans="2:21">
      <c r="B30" t="s">
        <v>258</v>
      </c>
      <c r="C30" s="1">
        <v>970</v>
      </c>
      <c r="D30" s="1"/>
      <c r="F30" t="s">
        <v>243</v>
      </c>
      <c r="G30" s="87"/>
      <c r="H30" s="88">
        <v>149.97</v>
      </c>
      <c r="J30" t="s">
        <v>259</v>
      </c>
      <c r="K30" s="85"/>
      <c r="L30" s="86">
        <v>199.5</v>
      </c>
      <c r="M30" s="29"/>
      <c r="N30" t="s">
        <v>238</v>
      </c>
      <c r="O30" s="19"/>
      <c r="P30" s="11">
        <v>295</v>
      </c>
      <c r="S30" s="1">
        <v>-3144</v>
      </c>
      <c r="T30">
        <v>6</v>
      </c>
      <c r="U30" s="2">
        <f>S30/T30</f>
        <v>-524</v>
      </c>
    </row>
    <row r="31" spans="2:21">
      <c r="B31" t="s">
        <v>47</v>
      </c>
      <c r="C31" s="20"/>
      <c r="D31" s="11">
        <v>500</v>
      </c>
      <c r="F31" t="s">
        <v>86</v>
      </c>
      <c r="G31" s="23"/>
      <c r="H31" s="11">
        <v>67.61</v>
      </c>
      <c r="J31" s="12" t="s">
        <v>229</v>
      </c>
      <c r="K31" s="21"/>
      <c r="L31" s="32">
        <v>4.8499999999999996</v>
      </c>
      <c r="N31" s="12" t="s">
        <v>172</v>
      </c>
      <c r="O31" s="21"/>
      <c r="P31" s="32">
        <v>70</v>
      </c>
      <c r="S31" s="1">
        <v>-18198.95</v>
      </c>
      <c r="T31">
        <v>6</v>
      </c>
      <c r="U31" s="2">
        <f>S31/T31</f>
        <v>-3033.1583333333333</v>
      </c>
    </row>
    <row r="32" spans="2:21">
      <c r="B32" t="s">
        <v>200</v>
      </c>
      <c r="C32" s="1"/>
      <c r="D32" s="11">
        <v>10</v>
      </c>
      <c r="F32" s="12" t="s">
        <v>262</v>
      </c>
      <c r="G32" s="21"/>
      <c r="H32" s="11">
        <v>194.04</v>
      </c>
      <c r="J32" s="12" t="s">
        <v>261</v>
      </c>
      <c r="K32" s="70"/>
      <c r="L32" s="32">
        <v>619.66999999999996</v>
      </c>
      <c r="N32" t="s">
        <v>169</v>
      </c>
      <c r="O32" s="1">
        <v>2929.72</v>
      </c>
      <c r="P32" s="24"/>
      <c r="S32" s="2"/>
    </row>
    <row r="33" spans="1:28">
      <c r="A33" t="s">
        <v>276</v>
      </c>
      <c r="B33" t="s">
        <v>269</v>
      </c>
      <c r="C33" s="20">
        <v>1200</v>
      </c>
      <c r="D33" s="11"/>
      <c r="F33" t="s">
        <v>213</v>
      </c>
      <c r="G33" s="20"/>
      <c r="H33" s="11">
        <v>696</v>
      </c>
      <c r="J33" t="s">
        <v>261</v>
      </c>
      <c r="K33" s="20"/>
      <c r="L33" s="11">
        <v>349.95</v>
      </c>
      <c r="N33" t="s">
        <v>252</v>
      </c>
      <c r="O33" s="23"/>
      <c r="P33" s="11">
        <v>676</v>
      </c>
    </row>
    <row r="34" spans="1:28">
      <c r="B34" s="12" t="s">
        <v>271</v>
      </c>
      <c r="C34" s="20">
        <v>1200</v>
      </c>
      <c r="D34" s="11"/>
      <c r="F34" t="s">
        <v>20</v>
      </c>
      <c r="G34" s="20"/>
      <c r="H34" s="11">
        <v>99</v>
      </c>
      <c r="J34" t="s">
        <v>169</v>
      </c>
      <c r="K34" s="1">
        <v>605.80999999999995</v>
      </c>
      <c r="L34" s="11"/>
      <c r="M34" s="29"/>
      <c r="N34" t="s">
        <v>91</v>
      </c>
      <c r="O34" s="1"/>
      <c r="P34" s="24">
        <v>303.5</v>
      </c>
      <c r="Q34" s="29"/>
    </row>
    <row r="35" spans="1:28">
      <c r="B35" t="s">
        <v>272</v>
      </c>
      <c r="C35" s="20"/>
      <c r="D35" s="11">
        <v>1900</v>
      </c>
      <c r="F35" t="s">
        <v>263</v>
      </c>
      <c r="G35" s="12"/>
      <c r="H35" s="14">
        <v>334.96</v>
      </c>
      <c r="J35" t="s">
        <v>258</v>
      </c>
      <c r="K35" s="1">
        <v>969.62</v>
      </c>
      <c r="L35" s="11"/>
      <c r="M35" s="29"/>
      <c r="N35" t="s">
        <v>163</v>
      </c>
      <c r="O35" s="60"/>
      <c r="P35" s="11">
        <v>277.67</v>
      </c>
      <c r="Q35" s="29"/>
    </row>
    <row r="36" spans="1:28">
      <c r="B36" s="12" t="s">
        <v>275</v>
      </c>
      <c r="C36" s="20">
        <v>1200</v>
      </c>
      <c r="D36" s="11"/>
      <c r="F36" t="s">
        <v>169</v>
      </c>
      <c r="G36">
        <v>1842.97</v>
      </c>
      <c r="H36" s="11"/>
      <c r="J36" t="s">
        <v>277</v>
      </c>
      <c r="K36">
        <v>18198.95</v>
      </c>
      <c r="L36" s="11">
        <v>18198.95</v>
      </c>
      <c r="N36" t="s">
        <v>163</v>
      </c>
      <c r="P36" s="11">
        <v>524</v>
      </c>
    </row>
    <row r="37" spans="1:28">
      <c r="B37" s="12"/>
      <c r="C37" s="20"/>
      <c r="D37" s="11"/>
      <c r="F37" t="s">
        <v>273</v>
      </c>
      <c r="G37" s="12">
        <v>300</v>
      </c>
      <c r="H37" s="14"/>
      <c r="J37" t="s">
        <v>281</v>
      </c>
      <c r="L37" s="11">
        <v>3033.16</v>
      </c>
      <c r="N37" t="s">
        <v>277</v>
      </c>
      <c r="O37" s="19">
        <v>18198.95</v>
      </c>
      <c r="P37" s="11">
        <v>18198.95</v>
      </c>
      <c r="R37" t="s">
        <v>0</v>
      </c>
      <c r="S37" s="2">
        <f>S29+S30+S31+P48-(U30*3)-(U29*3)-(U31*1)</f>
        <v>-23532.91166666667</v>
      </c>
    </row>
    <row r="38" spans="1:28">
      <c r="B38" s="12"/>
      <c r="C38" s="20"/>
      <c r="D38" s="11"/>
      <c r="F38" t="s">
        <v>21</v>
      </c>
      <c r="G38" s="12"/>
      <c r="H38" s="14">
        <v>208.7</v>
      </c>
      <c r="J38" t="s">
        <v>127</v>
      </c>
      <c r="L38" s="11">
        <v>199.5</v>
      </c>
      <c r="N38" t="s">
        <v>278</v>
      </c>
      <c r="O38" s="19"/>
      <c r="P38" s="11">
        <v>4926</v>
      </c>
      <c r="S38" s="2"/>
    </row>
    <row r="39" spans="1:28">
      <c r="B39" s="12"/>
      <c r="C39" s="20"/>
      <c r="D39" s="11"/>
      <c r="G39" s="12"/>
      <c r="H39" s="14"/>
      <c r="L39" s="11"/>
      <c r="N39" t="s">
        <v>163</v>
      </c>
      <c r="O39" s="19"/>
      <c r="P39" s="11">
        <v>3033.16</v>
      </c>
      <c r="S39" s="2"/>
    </row>
    <row r="40" spans="1:28">
      <c r="B40" s="12"/>
      <c r="C40" s="20"/>
      <c r="D40" s="11"/>
      <c r="G40" s="12"/>
      <c r="H40" s="14"/>
      <c r="L40" s="11"/>
      <c r="N40" t="s">
        <v>279</v>
      </c>
      <c r="O40" s="19"/>
      <c r="P40" s="11">
        <v>169.5</v>
      </c>
      <c r="S40" s="2"/>
    </row>
    <row r="41" spans="1:28">
      <c r="B41" s="12"/>
      <c r="C41" s="20"/>
      <c r="D41" s="11"/>
      <c r="G41" s="12"/>
      <c r="H41" s="14"/>
      <c r="L41" s="11"/>
      <c r="N41" s="44" t="s">
        <v>280</v>
      </c>
      <c r="O41" s="44"/>
      <c r="P41" s="92">
        <v>314.45</v>
      </c>
      <c r="S41" s="2"/>
    </row>
    <row r="42" spans="1:28">
      <c r="B42" s="12"/>
      <c r="C42" s="20"/>
      <c r="D42" s="11"/>
      <c r="H42" s="11"/>
      <c r="L42" s="11"/>
      <c r="M42" t="s">
        <v>286</v>
      </c>
      <c r="N42" s="39" t="s">
        <v>283</v>
      </c>
      <c r="O42" s="1">
        <v>4926</v>
      </c>
      <c r="P42" s="11"/>
      <c r="Q42" s="93">
        <v>10589.28</v>
      </c>
    </row>
    <row r="43" spans="1:28">
      <c r="B43" s="12"/>
      <c r="C43" s="20"/>
      <c r="D43" s="11"/>
      <c r="G43" s="12"/>
      <c r="H43" s="14"/>
      <c r="L43" s="11"/>
      <c r="M43" s="33"/>
      <c r="N43" s="39" t="s">
        <v>284</v>
      </c>
      <c r="O43" s="1">
        <v>3033.16</v>
      </c>
      <c r="P43" s="11"/>
      <c r="Q43" t="s">
        <v>285</v>
      </c>
    </row>
    <row r="44" spans="1:28">
      <c r="B44" s="12"/>
      <c r="C44" s="1"/>
      <c r="D44" s="11"/>
      <c r="H44" s="11"/>
      <c r="L44" s="11"/>
      <c r="M44" s="33"/>
      <c r="O44" s="1"/>
      <c r="P44" s="11"/>
    </row>
    <row r="45" spans="1:28">
      <c r="B45" s="12"/>
      <c r="C45" s="1"/>
      <c r="D45" s="11"/>
      <c r="H45" s="14"/>
      <c r="L45" s="11"/>
      <c r="P45" s="11"/>
    </row>
    <row r="46" spans="1:28">
      <c r="B46" s="12"/>
      <c r="C46" s="1"/>
      <c r="D46" s="11"/>
    </row>
    <row r="47" spans="1:28">
      <c r="B47" t="s">
        <v>2</v>
      </c>
      <c r="C47" s="2">
        <f>SUM(C29:C44)</f>
        <v>4570</v>
      </c>
      <c r="D47" s="2">
        <f>SUM(D31:D46)</f>
        <v>2410</v>
      </c>
      <c r="F47" t="s">
        <v>2</v>
      </c>
      <c r="G47" s="2">
        <f>SUM(G29:G44)</f>
        <v>449.97</v>
      </c>
      <c r="H47" s="2">
        <f>SUM(H29:H45)</f>
        <v>1750.28</v>
      </c>
      <c r="J47" t="s">
        <v>2</v>
      </c>
      <c r="K47" s="2">
        <f>SUM(K29:K44)</f>
        <v>19368.07</v>
      </c>
      <c r="L47" s="2">
        <f>SUM(L29:L45)</f>
        <v>22605.58</v>
      </c>
      <c r="N47" t="s">
        <v>2</v>
      </c>
      <c r="O47" s="2">
        <f>SUM(O29:O43)</f>
        <v>26158.11</v>
      </c>
      <c r="P47" s="2">
        <f>SUM(P29:P43)</f>
        <v>28788.230000000003</v>
      </c>
    </row>
    <row r="48" spans="1:28">
      <c r="D48" s="2">
        <f>C47-D47</f>
        <v>2160</v>
      </c>
      <c r="H48" s="2">
        <f>G47-H47</f>
        <v>-1300.31</v>
      </c>
      <c r="L48" s="2">
        <f>K47-L47</f>
        <v>-3237.510000000002</v>
      </c>
      <c r="P48" s="2">
        <f>O47-P47</f>
        <v>-2630.1200000000026</v>
      </c>
      <c r="R48" s="2">
        <f>4926+3033.16</f>
        <v>7959.16</v>
      </c>
      <c r="AA48" t="s">
        <v>239</v>
      </c>
      <c r="AB48" s="1">
        <v>10261.049999999999</v>
      </c>
    </row>
    <row r="49" spans="2:28">
      <c r="B49" t="s">
        <v>282</v>
      </c>
      <c r="AA49" t="s">
        <v>240</v>
      </c>
      <c r="AB49" s="1">
        <v>7081.32</v>
      </c>
    </row>
    <row r="50" spans="2:28">
      <c r="AA50" t="s">
        <v>241</v>
      </c>
      <c r="AB50" s="1">
        <f>AB48-AB49</f>
        <v>3179.7299999999996</v>
      </c>
    </row>
    <row r="51" spans="2:28">
      <c r="E51" t="s">
        <v>235</v>
      </c>
      <c r="H51" s="2">
        <v>1300.31</v>
      </c>
      <c r="L51" s="2">
        <v>204.35</v>
      </c>
      <c r="P51" s="2">
        <v>2630.12</v>
      </c>
      <c r="V51" t="s">
        <v>114</v>
      </c>
      <c r="W51" t="s">
        <v>115</v>
      </c>
      <c r="X51" t="s">
        <v>116</v>
      </c>
      <c r="AA51" t="s">
        <v>242</v>
      </c>
      <c r="AB51" s="2">
        <f>AB50/2</f>
        <v>1589.8649999999998</v>
      </c>
    </row>
    <row r="53" spans="2:28">
      <c r="D53" t="s">
        <v>138</v>
      </c>
      <c r="E53" s="34" t="s">
        <v>120</v>
      </c>
      <c r="F53" s="41"/>
      <c r="G53" s="41"/>
      <c r="H53" s="51"/>
      <c r="I53" s="41"/>
      <c r="J53" s="41"/>
      <c r="K53" s="41"/>
      <c r="L53" s="51"/>
      <c r="M53" s="41"/>
      <c r="N53" s="41"/>
      <c r="O53" s="41"/>
      <c r="P53" s="53"/>
      <c r="S53" s="1">
        <f>H51+L51+P51</f>
        <v>4134.78</v>
      </c>
      <c r="T53" t="s">
        <v>98</v>
      </c>
      <c r="V53" s="1">
        <f>Z55-Z56</f>
        <v>718.67999999999984</v>
      </c>
      <c r="W53" s="2">
        <f>S53-V53</f>
        <v>3416.1</v>
      </c>
      <c r="X53" s="2">
        <f>W53/2</f>
        <v>1708.05</v>
      </c>
    </row>
    <row r="54" spans="2:28">
      <c r="E54" s="36" t="s">
        <v>121</v>
      </c>
      <c r="F54" s="22"/>
      <c r="G54" s="22"/>
      <c r="H54" s="43"/>
      <c r="I54" s="22"/>
      <c r="J54" s="22"/>
      <c r="K54" s="22"/>
      <c r="L54" s="43"/>
      <c r="M54" s="22"/>
      <c r="N54" s="22"/>
      <c r="O54" s="22"/>
      <c r="P54" s="43"/>
      <c r="S54" s="1"/>
      <c r="Z54" t="s">
        <v>119</v>
      </c>
      <c r="AA54" t="s">
        <v>11</v>
      </c>
    </row>
    <row r="55" spans="2:28">
      <c r="E55" s="37" t="s">
        <v>122</v>
      </c>
      <c r="F55" s="44"/>
      <c r="G55" s="44"/>
      <c r="H55" s="45"/>
      <c r="I55" s="44"/>
      <c r="J55" s="44"/>
      <c r="K55" s="44"/>
      <c r="L55" s="45"/>
      <c r="M55" s="44"/>
      <c r="N55" s="44"/>
      <c r="O55" s="44"/>
      <c r="P55" s="45"/>
      <c r="W55" t="s">
        <v>117</v>
      </c>
      <c r="X55" s="2">
        <f>ABS(X53)</f>
        <v>1708.05</v>
      </c>
      <c r="Z55" s="1">
        <v>3900</v>
      </c>
      <c r="AA55" s="2">
        <f>X55+Z55</f>
        <v>5608.05</v>
      </c>
    </row>
    <row r="56" spans="2:28">
      <c r="E56" s="22"/>
      <c r="F56" s="22"/>
      <c r="G56" s="22"/>
      <c r="H56" s="25"/>
      <c r="I56" s="22"/>
      <c r="J56" s="22"/>
      <c r="K56" s="22"/>
      <c r="L56" s="25"/>
      <c r="M56" s="22"/>
      <c r="N56" s="22"/>
      <c r="O56" s="22"/>
      <c r="P56" s="25"/>
      <c r="W56" t="s">
        <v>118</v>
      </c>
      <c r="X56" s="1">
        <f>V53+ABS(X53)</f>
        <v>2426.7299999999996</v>
      </c>
      <c r="Z56" s="1">
        <v>3181.32</v>
      </c>
      <c r="AA56" s="2">
        <f>X56+Z56</f>
        <v>5608.0499999999993</v>
      </c>
    </row>
    <row r="57" spans="2:28">
      <c r="D57" t="s">
        <v>139</v>
      </c>
      <c r="H57" s="2"/>
      <c r="L57" s="2"/>
      <c r="P57" s="2"/>
    </row>
    <row r="58" spans="2:28">
      <c r="E58" s="34" t="s">
        <v>169</v>
      </c>
      <c r="F58" s="41"/>
      <c r="G58" s="41"/>
      <c r="H58" s="51"/>
      <c r="I58" s="41"/>
      <c r="J58" s="41"/>
      <c r="K58" s="41"/>
      <c r="L58" s="51"/>
      <c r="M58" s="41"/>
      <c r="N58" s="41"/>
      <c r="O58" s="41"/>
      <c r="P58" s="53"/>
      <c r="Z58" s="2"/>
    </row>
    <row r="59" spans="2:28">
      <c r="E59" s="36" t="s">
        <v>244</v>
      </c>
      <c r="F59" s="22"/>
      <c r="G59" s="22"/>
      <c r="H59" s="43"/>
      <c r="I59" s="22"/>
      <c r="J59" s="22"/>
      <c r="K59" s="22"/>
      <c r="L59" s="43"/>
      <c r="M59" s="22"/>
      <c r="N59" s="22"/>
      <c r="O59" s="22"/>
      <c r="P59" s="43"/>
    </row>
    <row r="60" spans="2:28">
      <c r="E60" s="37" t="s">
        <v>122</v>
      </c>
      <c r="F60" s="44"/>
      <c r="G60" s="44"/>
      <c r="H60" s="45">
        <f>IF(H59=0,H57-H58,)</f>
        <v>0</v>
      </c>
      <c r="I60" s="44"/>
      <c r="J60" s="44"/>
      <c r="K60" s="44"/>
      <c r="L60" s="45">
        <f>IF(L59=0,L57-L58,0)</f>
        <v>0</v>
      </c>
      <c r="M60" s="44"/>
      <c r="N60" s="44"/>
      <c r="O60" s="44"/>
      <c r="P60" s="45">
        <f>IF(P59=0,P57-P58,)</f>
        <v>0</v>
      </c>
      <c r="X60" s="1"/>
    </row>
    <row r="61" spans="2:28">
      <c r="L61" s="60"/>
      <c r="P61" s="27"/>
      <c r="X61" s="2"/>
    </row>
  </sheetData>
  <mergeCells count="7">
    <mergeCell ref="O28:P28"/>
    <mergeCell ref="C1:D1"/>
    <mergeCell ref="G1:H1"/>
    <mergeCell ref="K1:L1"/>
    <mergeCell ref="C28:D28"/>
    <mergeCell ref="G28:H28"/>
    <mergeCell ref="K28:L28"/>
  </mergeCells>
  <conditionalFormatting sqref="P48 L48 H25 L25 D48 H48 D25">
    <cfRule type="cellIs" dxfId="105" priority="1" operator="lessThan">
      <formula>0</formula>
    </cfRule>
    <cfRule type="cellIs" dxfId="104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53</vt:i4>
      </vt:variant>
    </vt:vector>
  </HeadingPairs>
  <TitlesOfParts>
    <vt:vector size="53" baseType="lpstr">
      <vt:lpstr>Balance Mzo 15</vt:lpstr>
      <vt:lpstr>Balance Mzo 31</vt:lpstr>
      <vt:lpstr>Balance Abr 15</vt:lpstr>
      <vt:lpstr>Balance Abr 30</vt:lpstr>
      <vt:lpstr>Balance May 15</vt:lpstr>
      <vt:lpstr>Balance May 30</vt:lpstr>
      <vt:lpstr>Balance Jun 16</vt:lpstr>
      <vt:lpstr>Balance Jun 30</vt:lpstr>
      <vt:lpstr>Balance Jul 15</vt:lpstr>
      <vt:lpstr>Balance Jul 31</vt:lpstr>
      <vt:lpstr>Balance Ago 15</vt:lpstr>
      <vt:lpstr>Balance Ago 30</vt:lpstr>
      <vt:lpstr>Balance Sep 15</vt:lpstr>
      <vt:lpstr>Balance Sep 30</vt:lpstr>
      <vt:lpstr>Balance Oct 15</vt:lpstr>
      <vt:lpstr>Balance Oct 31</vt:lpstr>
      <vt:lpstr>Balance Nov 15</vt:lpstr>
      <vt:lpstr>Balance Dic 28</vt:lpstr>
      <vt:lpstr>Balance Dic 31</vt:lpstr>
      <vt:lpstr>Balance  Ene 15</vt:lpstr>
      <vt:lpstr>Balance  Ene 31</vt:lpstr>
      <vt:lpstr>Balance  Feb 15</vt:lpstr>
      <vt:lpstr>Balance  Feb 28</vt:lpstr>
      <vt:lpstr>Balance  Marzo 15</vt:lpstr>
      <vt:lpstr>Balance  Marzo 30 2017</vt:lpstr>
      <vt:lpstr>Balance  Abril 15 2017</vt:lpstr>
      <vt:lpstr>Balance  Abril 30 2017</vt:lpstr>
      <vt:lpstr>Balance Mayo 15 2017</vt:lpstr>
      <vt:lpstr>Balance Mayo 30 2017</vt:lpstr>
      <vt:lpstr>Balance Junio 15 2017</vt:lpstr>
      <vt:lpstr>Balance Junio 30 2017</vt:lpstr>
      <vt:lpstr>Balance Julio 31 2017</vt:lpstr>
      <vt:lpstr>Balance Agosto 15 2017</vt:lpstr>
      <vt:lpstr>Balance Agosto 30 2017</vt:lpstr>
      <vt:lpstr>Balance Sept 15 2017</vt:lpstr>
      <vt:lpstr>Balance Oct 30 2017</vt:lpstr>
      <vt:lpstr>Balance Dic 30 2017</vt:lpstr>
      <vt:lpstr>Balance Ene 15 2018</vt:lpstr>
      <vt:lpstr>Balance Feb 15 2018</vt:lpstr>
      <vt:lpstr>Balance Mar 15 2018</vt:lpstr>
      <vt:lpstr>Balance Mar 31 2018</vt:lpstr>
      <vt:lpstr>Balance Abr 15 2018</vt:lpstr>
      <vt:lpstr>Balance Abr 30 2018</vt:lpstr>
      <vt:lpstr>Balance May 30 2018</vt:lpstr>
      <vt:lpstr>Balance Jun 15 2018</vt:lpstr>
      <vt:lpstr>Balance Jun 30 2018</vt:lpstr>
      <vt:lpstr>Balance Jul 15 2018</vt:lpstr>
      <vt:lpstr>Balance Jul 31 2018</vt:lpstr>
      <vt:lpstr>Balance Ago 15 2018</vt:lpstr>
      <vt:lpstr>Balance Ago 30 2018</vt:lpstr>
      <vt:lpstr>Balance Sept 15 2018</vt:lpstr>
      <vt:lpstr>Balance Sept 30 2018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Lázaro González</dc:creator>
  <cp:lastModifiedBy>Alejandro Lázaro González</cp:lastModifiedBy>
  <dcterms:created xsi:type="dcterms:W3CDTF">2016-03-14T19:41:12Z</dcterms:created>
  <dcterms:modified xsi:type="dcterms:W3CDTF">2018-10-10T15:02:39Z</dcterms:modified>
</cp:coreProperties>
</file>