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rter" sheetId="1" r:id="rId4"/>
    <sheet state="visible" name="Inverter 20 %" sheetId="2" r:id="rId5"/>
    <sheet state="visible" name="Optimizer" sheetId="3" r:id="rId6"/>
    <sheet state="visible" name="SE Accessory" sheetId="4" r:id="rId7"/>
    <sheet state="visible" name="Exchange Rate History" sheetId="5" r:id="rId8"/>
  </sheets>
  <definedNames/>
  <calcPr/>
  <extLst>
    <ext uri="GoogleSheetsCustomDataVersion1">
      <go:sheetsCustomData xmlns:go="http://customooxmlschemas.google.com/" r:id="rId9" roundtripDataSignature="AMtx7mjRDMUv3fgWxihvum4GR65nZsITtw=="/>
    </ext>
  </extLst>
</workbook>
</file>

<file path=xl/sharedStrings.xml><?xml version="1.0" encoding="utf-8"?>
<sst xmlns="http://schemas.openxmlformats.org/spreadsheetml/2006/main" count="299" uniqueCount="128">
  <si>
    <t>COSTING</t>
  </si>
  <si>
    <t>Input Variables</t>
  </si>
  <si>
    <t>Compact</t>
  </si>
  <si>
    <t xml:space="preserve">INV  1PH </t>
  </si>
  <si>
    <t>Store Edge 1 PH</t>
  </si>
  <si>
    <t>480 Volts</t>
  </si>
  <si>
    <t>INV 3PH</t>
  </si>
  <si>
    <t xml:space="preserve">INV 3PH Synergy </t>
  </si>
  <si>
    <t>INDIVIDUAL Primary &amp; Secondary</t>
  </si>
  <si>
    <t>Current Exchange Rate
1$ = INR</t>
  </si>
  <si>
    <t>Model</t>
  </si>
  <si>
    <t>Available with Sunlit</t>
  </si>
  <si>
    <t>2 KVA</t>
  </si>
  <si>
    <t>3 KVA</t>
  </si>
  <si>
    <t>4 KVA</t>
  </si>
  <si>
    <t>5 kw</t>
  </si>
  <si>
    <t>6 KW</t>
  </si>
  <si>
    <t>100 KW</t>
  </si>
  <si>
    <t>5 KVA</t>
  </si>
  <si>
    <t>8 KVA</t>
  </si>
  <si>
    <t>10 KVA</t>
  </si>
  <si>
    <t>17 KVA</t>
  </si>
  <si>
    <t>27.6 KVA</t>
  </si>
  <si>
    <t>55.2 KVA
(Prim+1 Sec)</t>
  </si>
  <si>
    <t>82.8 KVA
(Prim+2 Sec)</t>
  </si>
  <si>
    <t>Secondary
Unit</t>
  </si>
  <si>
    <t>55.2 KVA
Primary</t>
  </si>
  <si>
    <t>82.8 KVA
Primary</t>
  </si>
  <si>
    <t>Units</t>
  </si>
  <si>
    <t>Default 1</t>
  </si>
  <si>
    <t>Cost $</t>
  </si>
  <si>
    <t>From SE price list</t>
  </si>
  <si>
    <t>USD-INR Exchange Rate(CUSTOMS)</t>
  </si>
  <si>
    <t>USD-INR Exchange Rate(SE)</t>
  </si>
  <si>
    <t>Customs duty
(On Cost INR)</t>
  </si>
  <si>
    <t>Social Welfare Surcharge
(On Customs duty)</t>
  </si>
  <si>
    <t xml:space="preserve">IGST </t>
  </si>
  <si>
    <t xml:space="preserve">Transportation &amp; Bank charge
</t>
  </si>
  <si>
    <t>LANDED COST</t>
  </si>
  <si>
    <t>Total of above</t>
  </si>
  <si>
    <t>ROUNDUP COST</t>
  </si>
  <si>
    <t>To nearest decimal</t>
  </si>
  <si>
    <t>5 year Warranty</t>
  </si>
  <si>
    <t>12 Years Warranty</t>
  </si>
  <si>
    <t>w</t>
  </si>
  <si>
    <t>PER UNIT SP MARGIN %</t>
  </si>
  <si>
    <t>% MARGIN FACTOR</t>
  </si>
  <si>
    <t>SP @1%</t>
  </si>
  <si>
    <t>SP @2%</t>
  </si>
  <si>
    <t>SP @3%</t>
  </si>
  <si>
    <t>SP @4%</t>
  </si>
  <si>
    <t>SP @5%</t>
  </si>
  <si>
    <t>SP @6%</t>
  </si>
  <si>
    <t>SP @7%</t>
  </si>
  <si>
    <t>SP @8%</t>
  </si>
  <si>
    <t>SP @9%</t>
  </si>
  <si>
    <t>SP @10%</t>
  </si>
  <si>
    <t>QTY</t>
  </si>
  <si>
    <t>ABSOLUTE MARGIN (₹)</t>
  </si>
  <si>
    <t>MARGIN CALCULATOR</t>
  </si>
  <si>
    <t>Enter Qty</t>
  </si>
  <si>
    <t>Enter Absolute Margin Cell</t>
  </si>
  <si>
    <t>Total Margin</t>
  </si>
  <si>
    <t>RSD</t>
  </si>
  <si>
    <t>DC DB</t>
  </si>
  <si>
    <t>SELLING PRICE PER UNIT (₹)</t>
  </si>
  <si>
    <t>OPTIMIZER</t>
  </si>
  <si>
    <t xml:space="preserve">Battery Lg Chem Li ion </t>
  </si>
  <si>
    <t>P 370</t>
  </si>
  <si>
    <t>M 1600</t>
  </si>
  <si>
    <t>P 401</t>
  </si>
  <si>
    <t>P 404</t>
  </si>
  <si>
    <t>P 485</t>
  </si>
  <si>
    <t>P 500</t>
  </si>
  <si>
    <t>P 505</t>
  </si>
  <si>
    <t>P 730</t>
  </si>
  <si>
    <t xml:space="preserve">P 730 </t>
  </si>
  <si>
    <t>P 801</t>
  </si>
  <si>
    <t xml:space="preserve">P  850 </t>
  </si>
  <si>
    <t>P 850</t>
  </si>
  <si>
    <t xml:space="preserve">P 850 </t>
  </si>
  <si>
    <t>P 950</t>
  </si>
  <si>
    <t>P 1100</t>
  </si>
  <si>
    <t>7.5 KWH</t>
  </si>
  <si>
    <t>10 KWH</t>
  </si>
  <si>
    <t>Cable Length</t>
  </si>
  <si>
    <t>Single Input</t>
  </si>
  <si>
    <t>Dual Input</t>
  </si>
  <si>
    <t xml:space="preserve">1.2 Output </t>
  </si>
  <si>
    <t>2.2 Ouput</t>
  </si>
  <si>
    <t>Longer Input</t>
  </si>
  <si>
    <t>1.2 Ouput</t>
  </si>
  <si>
    <t xml:space="preserve">2.2 Output </t>
  </si>
  <si>
    <t>Longer Input  0.9</t>
  </si>
  <si>
    <t>Longer Input 1.3</t>
  </si>
  <si>
    <t>2.2 Output</t>
  </si>
  <si>
    <t xml:space="preserve">Longer Input </t>
  </si>
  <si>
    <t>METERING SOLUTIONS</t>
  </si>
  <si>
    <t>ZERO EXPORT</t>
  </si>
  <si>
    <t>COMMUNICATION</t>
  </si>
  <si>
    <t>SENSORS</t>
  </si>
  <si>
    <t>COMMUNICATION BOARDS</t>
  </si>
  <si>
    <t>Product</t>
  </si>
  <si>
    <t>Energy Meter</t>
  </si>
  <si>
    <t>CT Coil (250 A)</t>
  </si>
  <si>
    <t>CT Coil (1000 A)</t>
  </si>
  <si>
    <t>Meter + CT</t>
  </si>
  <si>
    <t>WiFi Antenna</t>
  </si>
  <si>
    <t>CCG</t>
  </si>
  <si>
    <t xml:space="preserve">Ambient Temp </t>
  </si>
  <si>
    <t>Module Temp</t>
  </si>
  <si>
    <t>Irradiance</t>
  </si>
  <si>
    <t>USD-INR Exchange Rate</t>
  </si>
  <si>
    <t>Costing</t>
  </si>
  <si>
    <t>MB Meter</t>
  </si>
  <si>
    <t>CT coil</t>
  </si>
  <si>
    <t>Zero Export</t>
  </si>
  <si>
    <t>NA</t>
  </si>
  <si>
    <t>Cost INR
(1 USD= 74 INR)</t>
  </si>
  <si>
    <t>Customs duty
(15% on Cost INR)</t>
  </si>
  <si>
    <t>Social Welfare Surcharge
(10% on Customs duty)</t>
  </si>
  <si>
    <r>
      <rPr>
        <rFont val="Calibri"/>
        <b/>
        <color theme="1"/>
        <sz val="11.0"/>
      </rPr>
      <t xml:space="preserve">IGST </t>
    </r>
    <r>
      <rPr>
        <rFont val="Calibri"/>
        <color rgb="FF000000"/>
        <sz val="11.0"/>
      </rPr>
      <t xml:space="preserve">(18%) </t>
    </r>
  </si>
  <si>
    <t>Transportation &amp; Bank charge
(1%)</t>
  </si>
  <si>
    <t>Landed Cost for 250 Amps</t>
  </si>
  <si>
    <t>Landed Cost for 1000 Amps</t>
  </si>
  <si>
    <t>Google Exchange Rate History
1st Mar 2020 - 31st Apr 2021</t>
  </si>
  <si>
    <t>SE Purchase</t>
  </si>
  <si>
    <t>Payment @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</si>
</sst>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%"/>
    <numFmt numFmtId="165" formatCode="_ * #,##0.00_ ;_ * \-#,##0.00_ ;_ * &quot;-&quot;??_ ;_ @_ "/>
    <numFmt numFmtId="166" formatCode="0.0"/>
    <numFmt numFmtId="167" formatCode="m/d/yyyy\ h:mm:ss"/>
    <numFmt numFmtId="168" formatCode="m/d/yyyy h:mm:ss"/>
  </numFmts>
  <fonts count="11">
    <font>
      <sz val="11.0"/>
      <color rgb="FF000000"/>
      <name val="Calibri"/>
    </font>
    <font>
      <b/>
      <sz val="11.0"/>
      <color theme="1"/>
      <name val="Calibri"/>
    </font>
    <font/>
    <font>
      <sz val="11.0"/>
      <color theme="1"/>
      <name val="Calibri"/>
    </font>
    <font>
      <b/>
      <sz val="11.0"/>
      <color rgb="FF434343"/>
      <name val="Calibri"/>
    </font>
    <font>
      <sz val="11.0"/>
      <color rgb="FF000000"/>
      <name val="Inconsolata"/>
    </font>
    <font>
      <b/>
      <i/>
      <sz val="11.0"/>
      <color theme="1"/>
      <name val="Calibri"/>
    </font>
    <font>
      <b/>
      <sz val="11.0"/>
      <color rgb="FF000000"/>
      <name val="Calibri"/>
    </font>
    <font>
      <sz val="11.0"/>
      <color theme="0"/>
      <name val="Calibri"/>
    </font>
    <font>
      <b/>
      <sz val="11.0"/>
      <name val="Calibri"/>
    </font>
    <font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CB0B"/>
        <bgColor rgb="FFFFCB0B"/>
      </patternFill>
    </fill>
    <fill>
      <patternFill patternType="solid">
        <fgColor rgb="FFB7B7B7"/>
        <bgColor rgb="FFB7B7B7"/>
      </patternFill>
    </fill>
    <fill>
      <patternFill patternType="solid">
        <fgColor rgb="FFFFC000"/>
        <bgColor rgb="FFFFC000"/>
      </patternFill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FFCB0B"/>
      </left>
      <top style="medium">
        <color rgb="FFFFCB0B"/>
      </top>
      <bottom style="medium">
        <color rgb="FFFFCB0B"/>
      </bottom>
    </border>
    <border>
      <top style="medium">
        <color rgb="FFFFCB0B"/>
      </top>
      <bottom style="medium">
        <color rgb="FFFFCB0B"/>
      </bottom>
    </border>
    <border>
      <right style="medium">
        <color rgb="FFFFCB0B"/>
      </right>
      <top style="medium">
        <color rgb="FFFFCB0B"/>
      </top>
      <bottom style="medium">
        <color rgb="FFFFCB0B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medium">
        <color rgb="FFFFCB0B"/>
      </left>
      <right style="medium">
        <color rgb="FFFFCB0B"/>
      </right>
      <top style="medium">
        <color rgb="FFFFCB0B"/>
      </top>
      <bottom style="medium">
        <color rgb="FFFFCB0B"/>
      </bottom>
    </border>
    <border>
      <left style="medium">
        <color rgb="FFFFCB0B"/>
      </left>
      <right style="medium">
        <color rgb="FFFFCB0B"/>
      </right>
      <top style="medium">
        <color rgb="FFFFCB0B"/>
      </top>
    </border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medium">
        <color rgb="FFFFCB0B"/>
      </left>
    </border>
    <border>
      <left style="thin">
        <color rgb="FF000000"/>
      </left>
      <right/>
      <top/>
      <bottom/>
    </border>
    <border>
      <left/>
      <top/>
      <bottom style="thin">
        <color rgb="FF000000"/>
      </bottom>
    </border>
    <border>
      <right style="double">
        <color rgb="FF000000"/>
      </right>
      <top/>
      <bottom style="thin">
        <color rgb="FF000000"/>
      </bottom>
    </border>
    <border>
      <left style="double">
        <color rgb="FF000000"/>
      </left>
      <top/>
      <bottom style="double">
        <color rgb="FF000000"/>
      </bottom>
    </border>
    <border>
      <right style="double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3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2" fillId="4" fontId="1" numFmtId="0" xfId="0" applyAlignment="1" applyBorder="1" applyFill="1" applyFont="1">
      <alignment horizontal="center"/>
    </xf>
    <xf borderId="4" fillId="2" fontId="1" numFmtId="0" xfId="0" applyAlignment="1" applyBorder="1" applyFont="1">
      <alignment horizontal="center"/>
    </xf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9" fillId="2" fontId="1" numFmtId="0" xfId="0" applyBorder="1" applyFont="1"/>
    <xf borderId="10" fillId="0" fontId="2" numFmtId="0" xfId="0" applyBorder="1" applyFont="1"/>
    <xf borderId="0" fillId="0" fontId="0" numFmtId="0" xfId="0" applyFont="1"/>
    <xf borderId="1" fillId="3" fontId="1" numFmtId="0" xfId="0" applyBorder="1" applyFont="1"/>
    <xf borderId="1" fillId="3" fontId="3" numFmtId="0" xfId="0" applyBorder="1" applyFont="1"/>
    <xf borderId="1" fillId="3" fontId="4" numFmtId="0" xfId="0" applyAlignment="1" applyBorder="1" applyFont="1">
      <alignment horizontal="center"/>
    </xf>
    <xf borderId="1" fillId="3" fontId="4" numFmtId="0" xfId="0" applyAlignment="1" applyBorder="1" applyFont="1">
      <alignment horizontal="left"/>
    </xf>
    <xf borderId="4" fillId="3" fontId="4" numFmtId="0" xfId="0" applyAlignment="1" applyBorder="1" applyFont="1">
      <alignment horizontal="left"/>
    </xf>
    <xf borderId="11" fillId="0" fontId="4" numFmtId="0" xfId="0" applyAlignment="1" applyBorder="1" applyFont="1">
      <alignment horizontal="center"/>
    </xf>
    <xf borderId="9" fillId="3" fontId="5" numFmtId="0" xfId="0" applyAlignment="1" applyBorder="1" applyFont="1">
      <alignment horizontal="center"/>
    </xf>
    <xf borderId="1" fillId="0" fontId="1" numFmtId="0" xfId="0" applyBorder="1" applyFont="1"/>
    <xf borderId="1" fillId="0" fontId="3" numFmtId="0" xfId="0" applyBorder="1" applyFont="1"/>
    <xf borderId="2" fillId="0" fontId="3" numFmtId="0" xfId="0" applyBorder="1" applyFont="1"/>
    <xf borderId="11" fillId="0" fontId="3" numFmtId="0" xfId="0" applyBorder="1" applyFont="1"/>
    <xf borderId="2" fillId="0" fontId="1" numFmtId="0" xfId="0" applyBorder="1" applyFont="1"/>
    <xf borderId="12" fillId="0" fontId="1" numFmtId="0" xfId="0" applyBorder="1" applyFont="1"/>
    <xf borderId="1" fillId="3" fontId="1" numFmtId="0" xfId="0" applyAlignment="1" applyBorder="1" applyFont="1">
      <alignment horizontal="left" readingOrder="0" shrinkToFit="0" wrapText="1"/>
    </xf>
    <xf borderId="1" fillId="0" fontId="3" numFmtId="2" xfId="0" applyBorder="1" applyFont="1" applyNumberFormat="1"/>
    <xf borderId="1" fillId="4" fontId="1" numFmtId="0" xfId="0" applyBorder="1" applyFont="1"/>
    <xf borderId="1" fillId="4" fontId="1" numFmtId="0" xfId="0" applyAlignment="1" applyBorder="1" applyFont="1">
      <alignment horizontal="left" readingOrder="0"/>
    </xf>
    <xf borderId="1" fillId="4" fontId="3" numFmtId="0" xfId="0" applyBorder="1" applyFont="1"/>
    <xf borderId="1" fillId="4" fontId="3" numFmtId="2" xfId="0" applyBorder="1" applyFont="1" applyNumberFormat="1"/>
    <xf borderId="4" fillId="4" fontId="3" numFmtId="0" xfId="0" applyBorder="1" applyFont="1"/>
    <xf borderId="1" fillId="3" fontId="1" numFmtId="9" xfId="0" applyAlignment="1" applyBorder="1" applyFont="1" applyNumberFormat="1">
      <alignment horizontal="left"/>
    </xf>
    <xf borderId="1" fillId="3" fontId="1" numFmtId="9" xfId="0" applyAlignment="1" applyBorder="1" applyFont="1" applyNumberFormat="1">
      <alignment horizontal="left" readingOrder="0"/>
    </xf>
    <xf borderId="11" fillId="0" fontId="3" numFmtId="2" xfId="0" applyBorder="1" applyFont="1" applyNumberFormat="1"/>
    <xf borderId="1" fillId="0" fontId="6" numFmtId="0" xfId="0" applyBorder="1" applyFont="1"/>
    <xf borderId="1" fillId="3" fontId="1" numFmtId="164" xfId="0" applyAlignment="1" applyBorder="1" applyFont="1" applyNumberFormat="1">
      <alignment horizontal="left"/>
    </xf>
    <xf borderId="1" fillId="3" fontId="3" numFmtId="0" xfId="0" applyAlignment="1" applyBorder="1" applyFont="1">
      <alignment horizontal="left"/>
    </xf>
    <xf borderId="1" fillId="0" fontId="3" numFmtId="165" xfId="0" applyBorder="1" applyFont="1" applyNumberFormat="1"/>
    <xf borderId="2" fillId="0" fontId="3" numFmtId="165" xfId="0" applyBorder="1" applyFont="1" applyNumberFormat="1"/>
    <xf borderId="11" fillId="0" fontId="3" numFmtId="165" xfId="0" applyBorder="1" applyFont="1" applyNumberFormat="1"/>
    <xf borderId="1" fillId="2" fontId="1" numFmtId="0" xfId="0" applyBorder="1" applyFont="1"/>
    <xf borderId="1" fillId="2" fontId="7" numFmtId="0" xfId="0" applyBorder="1" applyFont="1"/>
    <xf borderId="4" fillId="2" fontId="7" numFmtId="0" xfId="0" applyBorder="1" applyFont="1"/>
    <xf borderId="11" fillId="0" fontId="7" numFmtId="0" xfId="0" applyBorder="1" applyFont="1"/>
    <xf borderId="0" fillId="0" fontId="1" numFmtId="0" xfId="0" applyFont="1"/>
    <xf borderId="13" fillId="3" fontId="1" numFmtId="0" xfId="0" applyBorder="1" applyFont="1"/>
    <xf borderId="1" fillId="5" fontId="1" numFmtId="0" xfId="0" applyBorder="1" applyFill="1" applyFont="1"/>
    <xf borderId="14" fillId="5" fontId="1" numFmtId="0" xfId="0" applyAlignment="1" applyBorder="1" applyFont="1">
      <alignment horizontal="center"/>
    </xf>
    <xf borderId="15" fillId="0" fontId="2" numFmtId="0" xfId="0" applyBorder="1" applyFont="1"/>
    <xf borderId="16" fillId="0" fontId="2" numFmtId="0" xfId="0" applyBorder="1" applyFont="1"/>
    <xf borderId="4" fillId="3" fontId="1" numFmtId="0" xfId="0" applyAlignment="1" applyBorder="1" applyFont="1">
      <alignment horizontal="left"/>
    </xf>
    <xf borderId="1" fillId="5" fontId="3" numFmtId="0" xfId="0" applyAlignment="1" applyBorder="1" applyFont="1">
      <alignment horizontal="right"/>
    </xf>
    <xf borderId="1" fillId="6" fontId="1" numFmtId="0" xfId="0" applyBorder="1" applyFill="1" applyFont="1"/>
    <xf borderId="1" fillId="3" fontId="1" numFmtId="0" xfId="0" applyAlignment="1" applyBorder="1" applyFont="1">
      <alignment horizontal="left"/>
    </xf>
    <xf borderId="17" fillId="6" fontId="0" numFmtId="0" xfId="0" applyBorder="1" applyFont="1"/>
    <xf borderId="1" fillId="7" fontId="1" numFmtId="0" xfId="0" applyBorder="1" applyFill="1" applyFont="1"/>
    <xf borderId="1" fillId="7" fontId="0" numFmtId="0" xfId="0" applyBorder="1" applyFont="1"/>
    <xf borderId="1" fillId="6" fontId="0" numFmtId="0" xfId="0" applyBorder="1" applyFont="1"/>
    <xf borderId="0" fillId="0" fontId="3" numFmtId="0" xfId="0" applyFont="1"/>
    <xf borderId="2" fillId="5" fontId="1" numFmtId="0" xfId="0" applyAlignment="1" applyBorder="1" applyFont="1">
      <alignment horizontal="center"/>
    </xf>
    <xf borderId="9" fillId="2" fontId="7" numFmtId="0" xfId="0" applyAlignment="1" applyBorder="1" applyFont="1">
      <alignment horizontal="center"/>
    </xf>
    <xf borderId="18" fillId="0" fontId="2" numFmtId="0" xfId="0" applyBorder="1" applyFont="1"/>
    <xf borderId="1" fillId="6" fontId="3" numFmtId="0" xfId="0" applyBorder="1" applyFont="1"/>
    <xf borderId="9" fillId="3" fontId="1" numFmtId="0" xfId="0" applyAlignment="1" applyBorder="1" applyFont="1">
      <alignment horizontal="center"/>
    </xf>
    <xf borderId="19" fillId="3" fontId="0" numFmtId="0" xfId="0" applyBorder="1" applyFont="1"/>
    <xf borderId="1" fillId="7" fontId="3" numFmtId="0" xfId="0" applyBorder="1" applyFont="1"/>
    <xf borderId="9" fillId="3" fontId="1" numFmtId="0" xfId="0" applyBorder="1" applyFont="1"/>
    <xf borderId="13" fillId="8" fontId="3" numFmtId="0" xfId="0" applyBorder="1" applyFill="1" applyFont="1"/>
    <xf borderId="0" fillId="0" fontId="0" numFmtId="165" xfId="0" applyFont="1" applyNumberFormat="1"/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7" numFmtId="0" xfId="0" applyAlignment="1" applyFont="1">
      <alignment horizontal="center" shrinkToFit="0" wrapText="1"/>
    </xf>
    <xf borderId="0" fillId="0" fontId="4" numFmtId="0" xfId="0" applyFont="1"/>
    <xf borderId="0" fillId="0" fontId="7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0" fillId="0" fontId="3" numFmtId="2" xfId="0" applyFont="1" applyNumberFormat="1"/>
    <xf borderId="0" fillId="0" fontId="6" numFmtId="0" xfId="0" applyFont="1"/>
    <xf borderId="0" fillId="0" fontId="1" numFmtId="2" xfId="0" applyFont="1" applyNumberFormat="1"/>
    <xf borderId="0" fillId="0" fontId="3" numFmtId="0" xfId="0" applyAlignment="1" applyFont="1">
      <alignment horizontal="right"/>
    </xf>
    <xf borderId="0" fillId="0" fontId="7" numFmtId="0" xfId="0" applyFont="1"/>
    <xf borderId="0" fillId="0" fontId="8" numFmtId="0" xfId="0" applyFont="1"/>
    <xf borderId="0" fillId="0" fontId="3" numFmtId="165" xfId="0" applyFont="1" applyNumberFormat="1"/>
    <xf borderId="0" fillId="0" fontId="1" numFmtId="165" xfId="0" applyFont="1" applyNumberFormat="1"/>
    <xf borderId="0" fillId="0" fontId="7" numFmtId="165" xfId="0" applyFont="1" applyNumberFormat="1"/>
    <xf borderId="20" fillId="0" fontId="1" numFmtId="0" xfId="0" applyAlignment="1" applyBorder="1" applyFont="1">
      <alignment horizontal="center"/>
    </xf>
    <xf borderId="2" fillId="0" fontId="3" numFmtId="2" xfId="0" applyBorder="1" applyFont="1" applyNumberFormat="1"/>
    <xf borderId="4" fillId="4" fontId="3" numFmtId="2" xfId="0" applyBorder="1" applyFont="1" applyNumberFormat="1"/>
    <xf borderId="4" fillId="3" fontId="1" numFmtId="0" xfId="0" applyAlignment="1" applyBorder="1" applyFont="1">
      <alignment horizontal="left" readingOrder="0"/>
    </xf>
    <xf borderId="1" fillId="3" fontId="1" numFmtId="0" xfId="0" applyAlignment="1" applyBorder="1" applyFont="1">
      <alignment horizontal="left" readingOrder="0"/>
    </xf>
    <xf borderId="21" fillId="2" fontId="1" numFmtId="0" xfId="0" applyBorder="1" applyFont="1"/>
    <xf borderId="13" fillId="2" fontId="1" numFmtId="0" xfId="0" applyBorder="1" applyFont="1"/>
    <xf borderId="22" fillId="4" fontId="7" numFmtId="0" xfId="0" applyAlignment="1" applyBorder="1" applyFont="1">
      <alignment horizontal="center"/>
    </xf>
    <xf borderId="23" fillId="0" fontId="2" numFmtId="0" xfId="0" applyBorder="1" applyFont="1"/>
    <xf borderId="1" fillId="3" fontId="4" numFmtId="0" xfId="0" applyAlignment="1" applyBorder="1" applyFont="1">
      <alignment horizontal="center" shrinkToFit="0" wrapText="1"/>
    </xf>
    <xf borderId="1" fillId="3" fontId="7" numFmtId="0" xfId="0" applyAlignment="1" applyBorder="1" applyFont="1">
      <alignment horizontal="center" shrinkToFit="0" wrapText="1"/>
    </xf>
    <xf borderId="4" fillId="3" fontId="4" numFmtId="0" xfId="0" applyAlignment="1" applyBorder="1" applyFont="1">
      <alignment horizontal="center" shrinkToFit="0" wrapText="1"/>
    </xf>
    <xf borderId="24" fillId="3" fontId="5" numFmtId="0" xfId="0" applyAlignment="1" applyBorder="1" applyFont="1">
      <alignment horizontal="center"/>
    </xf>
    <xf borderId="25" fillId="0" fontId="2" numFmtId="0" xfId="0" applyBorder="1" applyFont="1"/>
    <xf borderId="3" fillId="0" fontId="4" numFmtId="0" xfId="0" applyBorder="1" applyFont="1"/>
    <xf borderId="1" fillId="0" fontId="4" numFmtId="0" xfId="0" applyBorder="1" applyFont="1"/>
    <xf borderId="1" fillId="0" fontId="4" numFmtId="0" xfId="0" applyAlignment="1" applyBorder="1" applyFont="1">
      <alignment horizontal="center" shrinkToFit="0" wrapText="1"/>
    </xf>
    <xf borderId="1" fillId="6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2" fillId="0" fontId="4" numFmtId="0" xfId="0" applyAlignment="1" applyBorder="1" applyFont="1">
      <alignment horizontal="center" shrinkToFit="0" wrapText="1"/>
    </xf>
    <xf borderId="26" fillId="0" fontId="1" numFmtId="0" xfId="0" applyBorder="1" applyFont="1"/>
    <xf borderId="17" fillId="3" fontId="3" numFmtId="0" xfId="0" applyBorder="1" applyFont="1"/>
    <xf borderId="1" fillId="8" fontId="1" numFmtId="0" xfId="0" applyBorder="1" applyFont="1"/>
    <xf borderId="1" fillId="3" fontId="9" numFmtId="0" xfId="0" applyAlignment="1" applyBorder="1" applyFont="1">
      <alignment horizontal="left" readingOrder="0" shrinkToFit="0" wrapText="1"/>
    </xf>
    <xf borderId="1" fillId="0" fontId="3" numFmtId="166" xfId="0" applyBorder="1" applyFont="1" applyNumberFormat="1"/>
    <xf borderId="1" fillId="4" fontId="3" numFmtId="166" xfId="0" applyBorder="1" applyFont="1" applyNumberFormat="1"/>
    <xf borderId="1" fillId="3" fontId="1" numFmtId="10" xfId="0" applyAlignment="1" applyBorder="1" applyFont="1" applyNumberFormat="1">
      <alignment horizontal="left"/>
    </xf>
    <xf borderId="3" fillId="0" fontId="7" numFmtId="0" xfId="0" applyBorder="1" applyFont="1"/>
    <xf borderId="1" fillId="0" fontId="7" numFmtId="0" xfId="0" applyBorder="1" applyFont="1"/>
    <xf borderId="13" fillId="3" fontId="3" numFmtId="0" xfId="0" applyBorder="1" applyFont="1"/>
    <xf borderId="14" fillId="4" fontId="1" numFmtId="0" xfId="0" applyAlignment="1" applyBorder="1" applyFont="1">
      <alignment horizontal="center"/>
    </xf>
    <xf borderId="13" fillId="4" fontId="3" numFmtId="0" xfId="0" applyBorder="1" applyFont="1"/>
    <xf borderId="13" fillId="4" fontId="0" numFmtId="0" xfId="0" applyBorder="1" applyFont="1"/>
    <xf borderId="4" fillId="4" fontId="3" numFmtId="165" xfId="0" applyAlignment="1" applyBorder="1" applyFont="1" applyNumberFormat="1">
      <alignment horizontal="right"/>
    </xf>
    <xf borderId="1" fillId="6" fontId="0" numFmtId="165" xfId="0" applyAlignment="1" applyBorder="1" applyFont="1" applyNumberFormat="1">
      <alignment horizontal="center"/>
    </xf>
    <xf borderId="17" fillId="6" fontId="0" numFmtId="165" xfId="0" applyAlignment="1" applyBorder="1" applyFont="1" applyNumberFormat="1">
      <alignment horizontal="center"/>
    </xf>
    <xf borderId="1" fillId="7" fontId="0" numFmtId="165" xfId="0" applyAlignment="1" applyBorder="1" applyFont="1" applyNumberFormat="1">
      <alignment horizontal="center"/>
    </xf>
    <xf borderId="0" fillId="0" fontId="10" numFmtId="0" xfId="0" applyFont="1"/>
    <xf borderId="1" fillId="5" fontId="0" numFmtId="0" xfId="0" applyBorder="1" applyFont="1"/>
    <xf borderId="1" fillId="4" fontId="0" numFmtId="0" xfId="0" applyBorder="1" applyFont="1"/>
    <xf borderId="13" fillId="4" fontId="4" numFmtId="0" xfId="0" applyAlignment="1" applyBorder="1" applyFont="1">
      <alignment shrinkToFit="0" wrapText="1"/>
    </xf>
    <xf borderId="1" fillId="6" fontId="3" numFmtId="0" xfId="0" applyAlignment="1" applyBorder="1" applyFont="1">
      <alignment horizontal="right"/>
    </xf>
    <xf borderId="1" fillId="7" fontId="3" numFmtId="0" xfId="0" applyAlignment="1" applyBorder="1" applyFont="1">
      <alignment horizontal="right"/>
    </xf>
    <xf borderId="27" fillId="3" fontId="1" numFmtId="0" xfId="0" applyAlignment="1" applyBorder="1" applyFont="1">
      <alignment horizontal="left"/>
    </xf>
    <xf borderId="4" fillId="3" fontId="1" numFmtId="0" xfId="0" applyAlignment="1" applyBorder="1" applyFont="1">
      <alignment horizontal="center"/>
    </xf>
    <xf borderId="28" fillId="2" fontId="1" numFmtId="0" xfId="0" applyBorder="1" applyFont="1"/>
    <xf borderId="4" fillId="3" fontId="3" numFmtId="0" xfId="0" applyBorder="1" applyFont="1"/>
    <xf borderId="11" fillId="0" fontId="1" numFmtId="0" xfId="0" applyBorder="1" applyFont="1"/>
    <xf borderId="28" fillId="3" fontId="1" numFmtId="0" xfId="0" applyBorder="1" applyFont="1"/>
    <xf borderId="3" fillId="0" fontId="3" numFmtId="0" xfId="0" applyBorder="1" applyFont="1"/>
    <xf borderId="4" fillId="3" fontId="1" numFmtId="0" xfId="0" applyAlignment="1" applyBorder="1" applyFont="1">
      <alignment horizontal="left" shrinkToFit="0" wrapText="1"/>
    </xf>
    <xf borderId="4" fillId="3" fontId="1" numFmtId="9" xfId="0" applyAlignment="1" applyBorder="1" applyFont="1" applyNumberFormat="1">
      <alignment horizontal="left"/>
    </xf>
    <xf borderId="4" fillId="3" fontId="1" numFmtId="164" xfId="0" applyAlignment="1" applyBorder="1" applyFont="1" applyNumberFormat="1">
      <alignment horizontal="left"/>
    </xf>
    <xf borderId="4" fillId="3" fontId="3" numFmtId="0" xfId="0" applyAlignment="1" applyBorder="1" applyFont="1">
      <alignment horizontal="left"/>
    </xf>
    <xf borderId="1" fillId="9" fontId="1" numFmtId="0" xfId="0" applyAlignment="1" applyBorder="1" applyFill="1" applyFont="1">
      <alignment horizontal="center"/>
    </xf>
    <xf borderId="1" fillId="10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right"/>
    </xf>
    <xf borderId="1" fillId="11" fontId="1" numFmtId="0" xfId="0" applyBorder="1" applyFill="1" applyFont="1"/>
    <xf borderId="1" fillId="11" fontId="3" numFmtId="0" xfId="0" applyBorder="1" applyFont="1"/>
    <xf borderId="1" fillId="0" fontId="1" numFmtId="0" xfId="0" applyAlignment="1" applyBorder="1" applyFont="1">
      <alignment shrinkToFit="0" wrapText="1"/>
    </xf>
    <xf borderId="1" fillId="0" fontId="1" numFmtId="165" xfId="0" applyBorder="1" applyFont="1" applyNumberFormat="1"/>
    <xf borderId="1" fillId="0" fontId="0" numFmtId="0" xfId="0" applyBorder="1" applyFont="1"/>
    <xf borderId="1" fillId="0" fontId="0" numFmtId="165" xfId="0" applyBorder="1" applyFont="1" applyNumberFormat="1"/>
    <xf borderId="2" fillId="2" fontId="7" numFmtId="0" xfId="0" applyBorder="1" applyFont="1"/>
    <xf borderId="1" fillId="3" fontId="7" numFmtId="0" xfId="0" applyBorder="1" applyFont="1"/>
    <xf borderId="4" fillId="3" fontId="7" numFmtId="0" xfId="0" applyBorder="1" applyFont="1"/>
    <xf borderId="1" fillId="0" fontId="0" numFmtId="167" xfId="0" applyBorder="1" applyFont="1" applyNumberFormat="1"/>
    <xf borderId="1" fillId="3" fontId="0" numFmtId="167" xfId="0" applyBorder="1" applyFont="1" applyNumberFormat="1"/>
    <xf borderId="0" fillId="0" fontId="0" numFmtId="167" xfId="0" applyFont="1" applyNumberFormat="1"/>
    <xf borderId="0" fillId="0" fontId="0" numFmtId="168" xfId="0" applyFont="1" applyNumberFormat="1"/>
    <xf borderId="0" fillId="0" fontId="10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32.43"/>
    <col customWidth="1" min="2" max="2" width="18.0"/>
    <col customWidth="1" min="3" max="3" width="13.29"/>
    <col customWidth="1" min="4" max="4" width="12.43"/>
    <col customWidth="1" min="5" max="7" width="12.14"/>
    <col customWidth="1" min="8" max="8" width="11.43"/>
    <col customWidth="1" min="9" max="9" width="11.71"/>
    <col customWidth="1" min="10" max="10" width="12.14"/>
    <col customWidth="1" min="11" max="11" width="16.0"/>
    <col customWidth="1" min="12" max="12" width="14.86"/>
    <col customWidth="1" min="13" max="13" width="14.57"/>
    <col customWidth="1" min="14" max="14" width="15.0"/>
    <col customWidth="1" min="15" max="15" width="14.71"/>
    <col customWidth="1" min="16" max="16" width="15.0"/>
    <col customWidth="1" min="17" max="17" width="16.43"/>
    <col customWidth="1" min="18" max="18" width="15.14"/>
    <col customWidth="1" min="19" max="19" width="14.71"/>
    <col customWidth="1" min="20" max="20" width="16.71"/>
    <col customWidth="1" min="21" max="21" width="14.57"/>
    <col customWidth="1" min="22" max="22" width="10.14"/>
    <col customWidth="1" min="23" max="23" width="15.29"/>
    <col customWidth="1" min="24" max="24" width="15.4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6" t="s">
        <v>4</v>
      </c>
      <c r="G1" s="5"/>
      <c r="H1" s="7" t="s">
        <v>5</v>
      </c>
      <c r="I1" s="4" t="s">
        <v>6</v>
      </c>
      <c r="J1" s="8"/>
      <c r="K1" s="8"/>
      <c r="L1" s="8"/>
      <c r="M1" s="8"/>
      <c r="N1" s="5"/>
      <c r="O1" s="4" t="s">
        <v>7</v>
      </c>
      <c r="P1" s="5"/>
      <c r="Q1" s="9" t="s">
        <v>8</v>
      </c>
      <c r="R1" s="10"/>
      <c r="S1" s="11"/>
      <c r="U1" s="12" t="s">
        <v>9</v>
      </c>
      <c r="V1" s="13"/>
      <c r="AA1" s="14"/>
      <c r="AB1" s="14"/>
      <c r="AC1" s="14"/>
      <c r="AD1" s="14"/>
    </row>
    <row r="2">
      <c r="A2" s="15" t="s">
        <v>10</v>
      </c>
      <c r="B2" s="16" t="s">
        <v>11</v>
      </c>
      <c r="C2" s="17" t="s">
        <v>12</v>
      </c>
      <c r="D2" s="17" t="s">
        <v>13</v>
      </c>
      <c r="E2" s="17" t="s">
        <v>14</v>
      </c>
      <c r="F2" s="17" t="s">
        <v>15</v>
      </c>
      <c r="G2" s="17" t="s">
        <v>16</v>
      </c>
      <c r="H2" s="17" t="s">
        <v>17</v>
      </c>
      <c r="I2" s="17" t="s">
        <v>18</v>
      </c>
      <c r="J2" s="17" t="s">
        <v>19</v>
      </c>
      <c r="K2" s="17" t="s">
        <v>20</v>
      </c>
      <c r="L2" s="17" t="s">
        <v>20</v>
      </c>
      <c r="M2" s="17" t="s">
        <v>21</v>
      </c>
      <c r="N2" s="17" t="s">
        <v>22</v>
      </c>
      <c r="O2" s="18" t="s">
        <v>23</v>
      </c>
      <c r="P2" s="19" t="s">
        <v>24</v>
      </c>
      <c r="Q2" s="20" t="s">
        <v>25</v>
      </c>
      <c r="R2" s="20" t="s">
        <v>26</v>
      </c>
      <c r="S2" s="20" t="s">
        <v>27</v>
      </c>
      <c r="U2" s="21">
        <f>IFERROR(__xludf.DUMMYFUNCTION("GoogleFinance(""CURRENCY:USDINR"")"),74.91250000000001)</f>
        <v>74.9125</v>
      </c>
      <c r="V2" s="13"/>
      <c r="AA2" s="14"/>
      <c r="AB2" s="14"/>
      <c r="AC2" s="14"/>
      <c r="AD2" s="14"/>
    </row>
    <row r="3">
      <c r="A3" s="22" t="s">
        <v>28</v>
      </c>
      <c r="B3" s="16" t="s">
        <v>29</v>
      </c>
      <c r="C3" s="23">
        <f t="shared" ref="C3:E3" si="1">1</f>
        <v>1</v>
      </c>
      <c r="D3" s="23">
        <f t="shared" si="1"/>
        <v>1</v>
      </c>
      <c r="E3" s="23">
        <f t="shared" si="1"/>
        <v>1</v>
      </c>
      <c r="F3" s="23">
        <v>1.0</v>
      </c>
      <c r="G3" s="23">
        <v>1.0</v>
      </c>
      <c r="H3" s="23">
        <v>1.0</v>
      </c>
      <c r="I3" s="23">
        <f t="shared" ref="I3:R3" si="2">1</f>
        <v>1</v>
      </c>
      <c r="J3" s="23">
        <f t="shared" si="2"/>
        <v>1</v>
      </c>
      <c r="K3" s="23">
        <f t="shared" si="2"/>
        <v>1</v>
      </c>
      <c r="L3" s="23">
        <f t="shared" si="2"/>
        <v>1</v>
      </c>
      <c r="M3" s="23">
        <f t="shared" si="2"/>
        <v>1</v>
      </c>
      <c r="N3" s="23">
        <f t="shared" si="2"/>
        <v>1</v>
      </c>
      <c r="O3" s="23">
        <f t="shared" si="2"/>
        <v>1</v>
      </c>
      <c r="P3" s="24">
        <f t="shared" si="2"/>
        <v>1</v>
      </c>
      <c r="Q3" s="25">
        <f t="shared" si="2"/>
        <v>1</v>
      </c>
      <c r="R3" s="25">
        <f t="shared" si="2"/>
        <v>1</v>
      </c>
      <c r="S3" s="25">
        <v>1.0</v>
      </c>
      <c r="U3" s="14"/>
      <c r="V3" s="14"/>
      <c r="W3" s="14"/>
      <c r="X3" s="14"/>
      <c r="AA3" s="14"/>
      <c r="AB3" s="14"/>
      <c r="AC3" s="14"/>
      <c r="AD3" s="14"/>
    </row>
    <row r="4">
      <c r="A4" s="22" t="s">
        <v>30</v>
      </c>
      <c r="B4" s="16" t="s">
        <v>31</v>
      </c>
      <c r="C4" s="22">
        <v>544.0</v>
      </c>
      <c r="D4" s="22">
        <v>460.2</v>
      </c>
      <c r="E4" s="22">
        <v>555.1</v>
      </c>
      <c r="F4" s="22">
        <v>1053.0</v>
      </c>
      <c r="G4" s="22">
        <v>1105.0</v>
      </c>
      <c r="H4" s="22">
        <v>2936.64</v>
      </c>
      <c r="I4" s="22">
        <v>717.6</v>
      </c>
      <c r="J4" s="22">
        <v>896.35</v>
      </c>
      <c r="K4" s="22">
        <v>725.4</v>
      </c>
      <c r="L4" s="22">
        <v>1011.4</v>
      </c>
      <c r="M4" s="22">
        <v>830.76</v>
      </c>
      <c r="N4" s="22">
        <v>1029.48</v>
      </c>
      <c r="O4" s="22">
        <f>R4+Q4</f>
        <v>1877.26</v>
      </c>
      <c r="P4" s="26">
        <f>S4+Q4*2</f>
        <v>2783</v>
      </c>
      <c r="Q4" s="27">
        <v>701.5</v>
      </c>
      <c r="R4" s="27">
        <v>1175.76</v>
      </c>
      <c r="S4" s="27">
        <v>1380.0</v>
      </c>
      <c r="U4" s="14"/>
      <c r="V4" s="14"/>
      <c r="W4" s="14"/>
      <c r="X4" s="14"/>
      <c r="AA4" s="14"/>
      <c r="AB4" s="14"/>
      <c r="AC4" s="14"/>
      <c r="AD4" s="14"/>
    </row>
    <row r="5">
      <c r="A5" s="22" t="s">
        <v>32</v>
      </c>
      <c r="B5" s="28">
        <v>75.5</v>
      </c>
      <c r="C5" s="23">
        <f t="shared" ref="C5:S5" si="3">C3*C4*$B$5</f>
        <v>41072</v>
      </c>
      <c r="D5" s="23">
        <f t="shared" si="3"/>
        <v>34745.1</v>
      </c>
      <c r="E5" s="23">
        <f t="shared" si="3"/>
        <v>41910.05</v>
      </c>
      <c r="F5" s="29">
        <f t="shared" si="3"/>
        <v>79501.5</v>
      </c>
      <c r="G5" s="29">
        <f t="shared" si="3"/>
        <v>83427.5</v>
      </c>
      <c r="H5" s="29">
        <f t="shared" si="3"/>
        <v>221716.32</v>
      </c>
      <c r="I5" s="23">
        <f t="shared" si="3"/>
        <v>54178.8</v>
      </c>
      <c r="J5" s="23">
        <f t="shared" si="3"/>
        <v>67674.425</v>
      </c>
      <c r="K5" s="23">
        <f t="shared" si="3"/>
        <v>54767.7</v>
      </c>
      <c r="L5" s="23">
        <f t="shared" si="3"/>
        <v>76360.7</v>
      </c>
      <c r="M5" s="23">
        <f t="shared" si="3"/>
        <v>62722.38</v>
      </c>
      <c r="N5" s="23">
        <f t="shared" si="3"/>
        <v>77725.74</v>
      </c>
      <c r="O5" s="23">
        <f t="shared" si="3"/>
        <v>141733.13</v>
      </c>
      <c r="P5" s="24">
        <f t="shared" si="3"/>
        <v>210116.5</v>
      </c>
      <c r="Q5" s="25">
        <f t="shared" si="3"/>
        <v>52963.25</v>
      </c>
      <c r="R5" s="25">
        <f t="shared" si="3"/>
        <v>88769.88</v>
      </c>
      <c r="S5" s="25">
        <f t="shared" si="3"/>
        <v>104190</v>
      </c>
      <c r="U5" s="14"/>
      <c r="V5" s="14"/>
      <c r="W5" s="14"/>
      <c r="X5" s="14"/>
      <c r="AA5" s="14"/>
      <c r="AB5" s="14"/>
      <c r="AC5" s="14"/>
      <c r="AD5" s="14"/>
    </row>
    <row r="6">
      <c r="A6" s="30" t="s">
        <v>33</v>
      </c>
      <c r="B6" s="31">
        <v>75.2</v>
      </c>
      <c r="C6" s="32">
        <f t="shared" ref="C6:S6" si="4">C3*C4*$B$6</f>
        <v>40908.8</v>
      </c>
      <c r="D6" s="32">
        <f t="shared" si="4"/>
        <v>34607.04</v>
      </c>
      <c r="E6" s="32">
        <f t="shared" si="4"/>
        <v>41743.52</v>
      </c>
      <c r="F6" s="33">
        <f t="shared" si="4"/>
        <v>79185.6</v>
      </c>
      <c r="G6" s="33">
        <f t="shared" si="4"/>
        <v>83096</v>
      </c>
      <c r="H6" s="32">
        <f t="shared" si="4"/>
        <v>220835.328</v>
      </c>
      <c r="I6" s="32">
        <f t="shared" si="4"/>
        <v>53963.52</v>
      </c>
      <c r="J6" s="32">
        <f t="shared" si="4"/>
        <v>67405.52</v>
      </c>
      <c r="K6" s="32">
        <f t="shared" si="4"/>
        <v>54550.08</v>
      </c>
      <c r="L6" s="33">
        <f t="shared" si="4"/>
        <v>76057.28</v>
      </c>
      <c r="M6" s="32">
        <f t="shared" si="4"/>
        <v>62473.152</v>
      </c>
      <c r="N6" s="32">
        <f t="shared" si="4"/>
        <v>77416.896</v>
      </c>
      <c r="O6" s="32">
        <f t="shared" si="4"/>
        <v>141169.952</v>
      </c>
      <c r="P6" s="34">
        <f t="shared" si="4"/>
        <v>209281.6</v>
      </c>
      <c r="Q6" s="25">
        <f t="shared" si="4"/>
        <v>52752.8</v>
      </c>
      <c r="R6" s="25">
        <f t="shared" si="4"/>
        <v>88417.152</v>
      </c>
      <c r="S6" s="25">
        <f t="shared" si="4"/>
        <v>103776</v>
      </c>
      <c r="U6" s="14"/>
      <c r="V6" s="14"/>
      <c r="W6" s="14"/>
      <c r="X6" s="14"/>
      <c r="AA6" s="14"/>
      <c r="AB6" s="14"/>
      <c r="AC6" s="14"/>
      <c r="AD6" s="14"/>
    </row>
    <row r="7">
      <c r="A7" s="22" t="s">
        <v>34</v>
      </c>
      <c r="B7" s="35">
        <v>0.1</v>
      </c>
      <c r="C7" s="23">
        <f t="shared" ref="C7:S7" si="5">C5*$B$7</f>
        <v>4107.2</v>
      </c>
      <c r="D7" s="23">
        <f t="shared" si="5"/>
        <v>3474.51</v>
      </c>
      <c r="E7" s="23">
        <f t="shared" si="5"/>
        <v>4191.005</v>
      </c>
      <c r="F7" s="29">
        <f t="shared" si="5"/>
        <v>7950.15</v>
      </c>
      <c r="G7" s="29">
        <f t="shared" si="5"/>
        <v>8342.75</v>
      </c>
      <c r="H7" s="29">
        <f t="shared" si="5"/>
        <v>22171.632</v>
      </c>
      <c r="I7" s="23">
        <f t="shared" si="5"/>
        <v>5417.88</v>
      </c>
      <c r="J7" s="23">
        <f t="shared" si="5"/>
        <v>6767.4425</v>
      </c>
      <c r="K7" s="23">
        <f t="shared" si="5"/>
        <v>5476.77</v>
      </c>
      <c r="L7" s="29">
        <f t="shared" si="5"/>
        <v>7636.07</v>
      </c>
      <c r="M7" s="23">
        <f t="shared" si="5"/>
        <v>6272.238</v>
      </c>
      <c r="N7" s="23">
        <f t="shared" si="5"/>
        <v>7772.574</v>
      </c>
      <c r="O7" s="23">
        <f t="shared" si="5"/>
        <v>14173.313</v>
      </c>
      <c r="P7" s="24">
        <f t="shared" si="5"/>
        <v>21011.65</v>
      </c>
      <c r="Q7" s="25">
        <f t="shared" si="5"/>
        <v>5296.325</v>
      </c>
      <c r="R7" s="25">
        <f t="shared" si="5"/>
        <v>8876.988</v>
      </c>
      <c r="S7" s="25">
        <f t="shared" si="5"/>
        <v>10419</v>
      </c>
      <c r="U7" s="14"/>
      <c r="V7" s="14"/>
      <c r="W7" s="14"/>
      <c r="X7" s="14"/>
      <c r="AA7" s="14"/>
      <c r="AB7" s="14"/>
      <c r="AC7" s="14"/>
      <c r="AD7" s="14"/>
    </row>
    <row r="8">
      <c r="A8" s="22" t="s">
        <v>35</v>
      </c>
      <c r="B8" s="35">
        <v>0.1</v>
      </c>
      <c r="C8" s="23">
        <f t="shared" ref="C8:S8" si="6">C7*$B$8</f>
        <v>410.72</v>
      </c>
      <c r="D8" s="23">
        <f t="shared" si="6"/>
        <v>347.451</v>
      </c>
      <c r="E8" s="23">
        <f t="shared" si="6"/>
        <v>419.1005</v>
      </c>
      <c r="F8" s="29">
        <f t="shared" si="6"/>
        <v>795.015</v>
      </c>
      <c r="G8" s="29">
        <f t="shared" si="6"/>
        <v>834.275</v>
      </c>
      <c r="H8" s="29">
        <f t="shared" si="6"/>
        <v>2217.1632</v>
      </c>
      <c r="I8" s="23">
        <f t="shared" si="6"/>
        <v>541.788</v>
      </c>
      <c r="J8" s="23">
        <f t="shared" si="6"/>
        <v>676.74425</v>
      </c>
      <c r="K8" s="23">
        <f t="shared" si="6"/>
        <v>547.677</v>
      </c>
      <c r="L8" s="29">
        <f t="shared" si="6"/>
        <v>763.607</v>
      </c>
      <c r="M8" s="23">
        <f t="shared" si="6"/>
        <v>627.2238</v>
      </c>
      <c r="N8" s="23">
        <f t="shared" si="6"/>
        <v>777.2574</v>
      </c>
      <c r="O8" s="23">
        <f t="shared" si="6"/>
        <v>1417.3313</v>
      </c>
      <c r="P8" s="24">
        <f t="shared" si="6"/>
        <v>2101.165</v>
      </c>
      <c r="Q8" s="25">
        <f t="shared" si="6"/>
        <v>529.6325</v>
      </c>
      <c r="R8" s="25">
        <f t="shared" si="6"/>
        <v>887.6988</v>
      </c>
      <c r="S8" s="25">
        <f t="shared" si="6"/>
        <v>1041.9</v>
      </c>
      <c r="U8" s="14"/>
      <c r="V8" s="14"/>
      <c r="W8" s="14"/>
      <c r="X8" s="14"/>
      <c r="AA8" s="14"/>
      <c r="AB8" s="14"/>
      <c r="AC8" s="14"/>
      <c r="AD8" s="14"/>
    </row>
    <row r="9">
      <c r="A9" s="22" t="s">
        <v>36</v>
      </c>
      <c r="B9" s="36">
        <v>0.05</v>
      </c>
      <c r="C9" s="29">
        <f t="shared" ref="C9:S9" si="7">SUM(C6:C8)*$B$9</f>
        <v>2271.336</v>
      </c>
      <c r="D9" s="29">
        <f t="shared" si="7"/>
        <v>1921.45005</v>
      </c>
      <c r="E9" s="29">
        <f t="shared" si="7"/>
        <v>2317.681275</v>
      </c>
      <c r="F9" s="29">
        <f t="shared" si="7"/>
        <v>4396.53825</v>
      </c>
      <c r="G9" s="29">
        <f t="shared" si="7"/>
        <v>4613.65125</v>
      </c>
      <c r="H9" s="29">
        <f t="shared" si="7"/>
        <v>12261.20616</v>
      </c>
      <c r="I9" s="29">
        <f t="shared" si="7"/>
        <v>2996.1594</v>
      </c>
      <c r="J9" s="29">
        <f t="shared" si="7"/>
        <v>3742.485338</v>
      </c>
      <c r="K9" s="29">
        <f t="shared" si="7"/>
        <v>3028.72635</v>
      </c>
      <c r="L9" s="29">
        <f t="shared" si="7"/>
        <v>4222.84785</v>
      </c>
      <c r="M9" s="29">
        <f t="shared" si="7"/>
        <v>3468.63069</v>
      </c>
      <c r="N9" s="29">
        <f t="shared" si="7"/>
        <v>4298.33637</v>
      </c>
      <c r="O9" s="29">
        <f t="shared" si="7"/>
        <v>7838.029815</v>
      </c>
      <c r="P9" s="29">
        <f t="shared" si="7"/>
        <v>11619.72075</v>
      </c>
      <c r="Q9" s="37">
        <f t="shared" si="7"/>
        <v>2928.937875</v>
      </c>
      <c r="R9" s="37">
        <f t="shared" si="7"/>
        <v>4909.09194</v>
      </c>
      <c r="S9" s="37">
        <f t="shared" si="7"/>
        <v>5761.845</v>
      </c>
      <c r="U9" s="14"/>
      <c r="V9" s="14"/>
      <c r="W9" s="14"/>
      <c r="X9" s="14"/>
      <c r="AA9" s="14"/>
      <c r="AB9" s="14"/>
      <c r="AC9" s="14"/>
      <c r="AD9" s="14"/>
    </row>
    <row r="10">
      <c r="A10" s="38" t="s">
        <v>37</v>
      </c>
      <c r="B10" s="39">
        <v>0.005</v>
      </c>
      <c r="C10" s="23">
        <f t="shared" ref="C10:S10" si="8">C6*$B$10</f>
        <v>204.544</v>
      </c>
      <c r="D10" s="23">
        <f t="shared" si="8"/>
        <v>173.0352</v>
      </c>
      <c r="E10" s="23">
        <f t="shared" si="8"/>
        <v>208.7176</v>
      </c>
      <c r="F10" s="29">
        <f t="shared" si="8"/>
        <v>395.928</v>
      </c>
      <c r="G10" s="29">
        <f t="shared" si="8"/>
        <v>415.48</v>
      </c>
      <c r="H10" s="29">
        <f t="shared" si="8"/>
        <v>1104.17664</v>
      </c>
      <c r="I10" s="23">
        <f t="shared" si="8"/>
        <v>269.8176</v>
      </c>
      <c r="J10" s="23">
        <f t="shared" si="8"/>
        <v>337.0276</v>
      </c>
      <c r="K10" s="23">
        <f t="shared" si="8"/>
        <v>272.7504</v>
      </c>
      <c r="L10" s="29">
        <f t="shared" si="8"/>
        <v>380.2864</v>
      </c>
      <c r="M10" s="23">
        <f t="shared" si="8"/>
        <v>312.36576</v>
      </c>
      <c r="N10" s="23">
        <f t="shared" si="8"/>
        <v>387.08448</v>
      </c>
      <c r="O10" s="23">
        <f t="shared" si="8"/>
        <v>705.84976</v>
      </c>
      <c r="P10" s="24">
        <f t="shared" si="8"/>
        <v>1046.408</v>
      </c>
      <c r="Q10" s="25">
        <f t="shared" si="8"/>
        <v>263.764</v>
      </c>
      <c r="R10" s="25">
        <f t="shared" si="8"/>
        <v>442.08576</v>
      </c>
      <c r="S10" s="25">
        <f t="shared" si="8"/>
        <v>518.88</v>
      </c>
      <c r="U10" s="14"/>
      <c r="V10" s="14"/>
      <c r="W10" s="14"/>
      <c r="X10" s="14"/>
      <c r="AA10" s="14"/>
      <c r="AB10" s="14"/>
      <c r="AC10" s="14"/>
      <c r="AD10" s="14"/>
    </row>
    <row r="11">
      <c r="A11" s="22" t="s">
        <v>38</v>
      </c>
      <c r="B11" s="40" t="s">
        <v>39</v>
      </c>
      <c r="C11" s="41">
        <f t="shared" ref="C11:S11" si="9">SUM(C6:C9)-C9+C10</f>
        <v>45631.264</v>
      </c>
      <c r="D11" s="41">
        <f t="shared" si="9"/>
        <v>38602.0362</v>
      </c>
      <c r="E11" s="41">
        <f t="shared" si="9"/>
        <v>46562.3431</v>
      </c>
      <c r="F11" s="29">
        <f t="shared" si="9"/>
        <v>88326.693</v>
      </c>
      <c r="G11" s="29">
        <f t="shared" si="9"/>
        <v>92688.505</v>
      </c>
      <c r="H11" s="41">
        <f t="shared" si="9"/>
        <v>246328.2998</v>
      </c>
      <c r="I11" s="41">
        <f t="shared" si="9"/>
        <v>60193.0056</v>
      </c>
      <c r="J11" s="41">
        <f t="shared" si="9"/>
        <v>75186.73435</v>
      </c>
      <c r="K11" s="41">
        <f t="shared" si="9"/>
        <v>60847.2774</v>
      </c>
      <c r="L11" s="41">
        <f t="shared" si="9"/>
        <v>84837.2434</v>
      </c>
      <c r="M11" s="41">
        <f t="shared" si="9"/>
        <v>69684.97956</v>
      </c>
      <c r="N11" s="41">
        <f t="shared" si="9"/>
        <v>86353.81188</v>
      </c>
      <c r="O11" s="41">
        <f t="shared" si="9"/>
        <v>157466.4461</v>
      </c>
      <c r="P11" s="42">
        <f t="shared" si="9"/>
        <v>233440.823</v>
      </c>
      <c r="Q11" s="43">
        <f t="shared" si="9"/>
        <v>58842.5215</v>
      </c>
      <c r="R11" s="43">
        <f t="shared" si="9"/>
        <v>98623.92456</v>
      </c>
      <c r="S11" s="43">
        <f t="shared" si="9"/>
        <v>115755.78</v>
      </c>
      <c r="U11" s="14"/>
      <c r="V11" s="14"/>
      <c r="W11" s="14"/>
      <c r="X11" s="14"/>
      <c r="AA11" s="14"/>
      <c r="AB11" s="14"/>
      <c r="AC11" s="14"/>
      <c r="AD11" s="14"/>
    </row>
    <row r="12">
      <c r="A12" s="44" t="s">
        <v>40</v>
      </c>
      <c r="B12" s="40" t="s">
        <v>41</v>
      </c>
      <c r="C12" s="45">
        <f t="shared" ref="C12:S12" si="10">ROUNDUP(C11,0)</f>
        <v>45632</v>
      </c>
      <c r="D12" s="45">
        <f t="shared" si="10"/>
        <v>38603</v>
      </c>
      <c r="E12" s="45">
        <f t="shared" si="10"/>
        <v>46563</v>
      </c>
      <c r="F12" s="45">
        <f t="shared" si="10"/>
        <v>88327</v>
      </c>
      <c r="G12" s="45">
        <f t="shared" si="10"/>
        <v>92689</v>
      </c>
      <c r="H12" s="45">
        <f t="shared" si="10"/>
        <v>246329</v>
      </c>
      <c r="I12" s="45">
        <f t="shared" si="10"/>
        <v>60194</v>
      </c>
      <c r="J12" s="45">
        <f t="shared" si="10"/>
        <v>75187</v>
      </c>
      <c r="K12" s="45">
        <f t="shared" si="10"/>
        <v>60848</v>
      </c>
      <c r="L12" s="45">
        <f t="shared" si="10"/>
        <v>84838</v>
      </c>
      <c r="M12" s="45">
        <f t="shared" si="10"/>
        <v>69685</v>
      </c>
      <c r="N12" s="45">
        <f t="shared" si="10"/>
        <v>86354</v>
      </c>
      <c r="O12" s="45">
        <f t="shared" si="10"/>
        <v>157467</v>
      </c>
      <c r="P12" s="46">
        <f t="shared" si="10"/>
        <v>233441</v>
      </c>
      <c r="Q12" s="47">
        <f t="shared" si="10"/>
        <v>58843</v>
      </c>
      <c r="R12" s="47">
        <f t="shared" si="10"/>
        <v>98624</v>
      </c>
      <c r="S12" s="47">
        <f t="shared" si="10"/>
        <v>115756</v>
      </c>
      <c r="T12" s="14"/>
      <c r="U12" s="14"/>
      <c r="V12" s="14"/>
      <c r="W12" s="14"/>
      <c r="X12" s="14"/>
      <c r="AA12" s="14"/>
      <c r="AB12" s="14"/>
      <c r="AC12" s="14"/>
      <c r="AD12" s="14"/>
    </row>
    <row r="13">
      <c r="A13" s="48"/>
      <c r="B13" s="49"/>
      <c r="C13" s="14"/>
      <c r="D13" s="14"/>
      <c r="E13" s="14"/>
      <c r="F13" s="14"/>
      <c r="G13" s="14"/>
      <c r="H13" s="14"/>
      <c r="I13" s="14"/>
      <c r="J13" s="14"/>
      <c r="K13" s="14" t="s">
        <v>42</v>
      </c>
      <c r="L13" s="14" t="s">
        <v>43</v>
      </c>
      <c r="M13" s="14" t="s">
        <v>44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AA13" s="14"/>
      <c r="AB13" s="14"/>
      <c r="AC13" s="14"/>
      <c r="AD13" s="14"/>
    </row>
    <row r="14">
      <c r="A14" s="48"/>
      <c r="B14" s="49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AA14" s="14"/>
      <c r="AB14" s="14"/>
      <c r="AC14" s="14"/>
      <c r="AD14" s="14"/>
    </row>
    <row r="15">
      <c r="A15" s="48"/>
      <c r="B15" s="49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AA15" s="14"/>
      <c r="AB15" s="14"/>
      <c r="AC15" s="14"/>
      <c r="AD15" s="14"/>
    </row>
    <row r="16">
      <c r="A16" s="50" t="s">
        <v>45</v>
      </c>
      <c r="B16" s="15" t="s">
        <v>46</v>
      </c>
      <c r="C16" s="51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3"/>
      <c r="Q16" s="51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3"/>
    </row>
    <row r="17">
      <c r="A17" s="50" t="s">
        <v>47</v>
      </c>
      <c r="B17" s="54">
        <v>1.01</v>
      </c>
      <c r="C17" s="55">
        <f t="shared" ref="C17:S17" si="11">ROUNDUP((C$12*$B17),0)</f>
        <v>46089</v>
      </c>
      <c r="D17" s="55">
        <f t="shared" si="11"/>
        <v>38990</v>
      </c>
      <c r="E17" s="55">
        <f t="shared" si="11"/>
        <v>47029</v>
      </c>
      <c r="F17" s="55">
        <f t="shared" si="11"/>
        <v>89211</v>
      </c>
      <c r="G17" s="55">
        <f t="shared" si="11"/>
        <v>93616</v>
      </c>
      <c r="H17" s="55">
        <f t="shared" si="11"/>
        <v>248793</v>
      </c>
      <c r="I17" s="55">
        <f t="shared" si="11"/>
        <v>60796</v>
      </c>
      <c r="J17" s="55">
        <f t="shared" si="11"/>
        <v>75939</v>
      </c>
      <c r="K17" s="55">
        <f t="shared" si="11"/>
        <v>61457</v>
      </c>
      <c r="L17" s="55">
        <f t="shared" si="11"/>
        <v>85687</v>
      </c>
      <c r="M17" s="55">
        <f t="shared" si="11"/>
        <v>70382</v>
      </c>
      <c r="N17" s="55">
        <f t="shared" si="11"/>
        <v>87218</v>
      </c>
      <c r="O17" s="55">
        <f t="shared" si="11"/>
        <v>159042</v>
      </c>
      <c r="P17" s="55">
        <f t="shared" si="11"/>
        <v>235776</v>
      </c>
      <c r="Q17" s="55">
        <f t="shared" si="11"/>
        <v>59432</v>
      </c>
      <c r="R17" s="55">
        <f t="shared" si="11"/>
        <v>99611</v>
      </c>
      <c r="S17" s="55">
        <f t="shared" si="11"/>
        <v>116914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>
      <c r="A18" s="56" t="s">
        <v>48</v>
      </c>
      <c r="B18" s="57">
        <v>1.02</v>
      </c>
      <c r="C18" s="58">
        <f t="shared" ref="C18:S18" si="12">ROUNDUP((C$12*$B18),0)</f>
        <v>46545</v>
      </c>
      <c r="D18" s="58">
        <f t="shared" si="12"/>
        <v>39376</v>
      </c>
      <c r="E18" s="58">
        <f t="shared" si="12"/>
        <v>47495</v>
      </c>
      <c r="F18" s="58">
        <f t="shared" si="12"/>
        <v>90094</v>
      </c>
      <c r="G18" s="58">
        <f t="shared" si="12"/>
        <v>94543</v>
      </c>
      <c r="H18" s="58">
        <f t="shared" si="12"/>
        <v>251256</v>
      </c>
      <c r="I18" s="58">
        <f t="shared" si="12"/>
        <v>61398</v>
      </c>
      <c r="J18" s="58">
        <f t="shared" si="12"/>
        <v>76691</v>
      </c>
      <c r="K18" s="58">
        <f t="shared" si="12"/>
        <v>62065</v>
      </c>
      <c r="L18" s="58">
        <f t="shared" si="12"/>
        <v>86535</v>
      </c>
      <c r="M18" s="58">
        <f t="shared" si="12"/>
        <v>71079</v>
      </c>
      <c r="N18" s="58">
        <f t="shared" si="12"/>
        <v>88082</v>
      </c>
      <c r="O18" s="58">
        <f t="shared" si="12"/>
        <v>160617</v>
      </c>
      <c r="P18" s="58">
        <f t="shared" si="12"/>
        <v>238110</v>
      </c>
      <c r="Q18" s="58">
        <f t="shared" si="12"/>
        <v>60020</v>
      </c>
      <c r="R18" s="58">
        <f t="shared" si="12"/>
        <v>100597</v>
      </c>
      <c r="S18" s="58">
        <f t="shared" si="12"/>
        <v>118072</v>
      </c>
      <c r="U18" s="14"/>
      <c r="V18" s="14"/>
      <c r="W18" s="14"/>
      <c r="X18" s="14"/>
      <c r="AA18" s="14"/>
      <c r="AB18" s="14"/>
      <c r="AC18" s="14"/>
      <c r="AD18" s="14"/>
    </row>
    <row r="19">
      <c r="A19" s="59" t="s">
        <v>49</v>
      </c>
      <c r="B19" s="57">
        <v>1.03</v>
      </c>
      <c r="C19" s="60">
        <f t="shared" ref="C19:S19" si="13">ROUNDUP((C$12*$B19),0)</f>
        <v>47001</v>
      </c>
      <c r="D19" s="60">
        <f t="shared" si="13"/>
        <v>39762</v>
      </c>
      <c r="E19" s="60">
        <f t="shared" si="13"/>
        <v>47960</v>
      </c>
      <c r="F19" s="60">
        <f t="shared" si="13"/>
        <v>90977</v>
      </c>
      <c r="G19" s="60">
        <f t="shared" si="13"/>
        <v>95470</v>
      </c>
      <c r="H19" s="60">
        <f t="shared" si="13"/>
        <v>253719</v>
      </c>
      <c r="I19" s="60">
        <f t="shared" si="13"/>
        <v>62000</v>
      </c>
      <c r="J19" s="60">
        <f t="shared" si="13"/>
        <v>77443</v>
      </c>
      <c r="K19" s="60">
        <f t="shared" si="13"/>
        <v>62674</v>
      </c>
      <c r="L19" s="60">
        <f t="shared" si="13"/>
        <v>87384</v>
      </c>
      <c r="M19" s="60">
        <f t="shared" si="13"/>
        <v>71776</v>
      </c>
      <c r="N19" s="60">
        <f t="shared" si="13"/>
        <v>88945</v>
      </c>
      <c r="O19" s="60">
        <f t="shared" si="13"/>
        <v>162192</v>
      </c>
      <c r="P19" s="60">
        <f t="shared" si="13"/>
        <v>240445</v>
      </c>
      <c r="Q19" s="60">
        <f t="shared" si="13"/>
        <v>60609</v>
      </c>
      <c r="R19" s="60">
        <f t="shared" si="13"/>
        <v>101583</v>
      </c>
      <c r="S19" s="60">
        <f t="shared" si="13"/>
        <v>119229</v>
      </c>
      <c r="U19" s="14"/>
      <c r="V19" s="14"/>
      <c r="W19" s="14"/>
      <c r="X19" s="14"/>
      <c r="AA19" s="14"/>
      <c r="AB19" s="14"/>
      <c r="AC19" s="14"/>
      <c r="AD19" s="14"/>
    </row>
    <row r="20">
      <c r="A20" s="56" t="s">
        <v>50</v>
      </c>
      <c r="B20" s="57">
        <v>1.04</v>
      </c>
      <c r="C20" s="61">
        <f t="shared" ref="C20:S20" si="14">ROUNDUP((C$12*$B20),0)</f>
        <v>47458</v>
      </c>
      <c r="D20" s="61">
        <f t="shared" si="14"/>
        <v>40148</v>
      </c>
      <c r="E20" s="61">
        <f t="shared" si="14"/>
        <v>48426</v>
      </c>
      <c r="F20" s="61">
        <f t="shared" si="14"/>
        <v>91861</v>
      </c>
      <c r="G20" s="61">
        <f t="shared" si="14"/>
        <v>96397</v>
      </c>
      <c r="H20" s="61">
        <f t="shared" si="14"/>
        <v>256183</v>
      </c>
      <c r="I20" s="61">
        <f t="shared" si="14"/>
        <v>62602</v>
      </c>
      <c r="J20" s="61">
        <f t="shared" si="14"/>
        <v>78195</v>
      </c>
      <c r="K20" s="61">
        <f t="shared" si="14"/>
        <v>63282</v>
      </c>
      <c r="L20" s="61">
        <f t="shared" si="14"/>
        <v>88232</v>
      </c>
      <c r="M20" s="61">
        <f t="shared" si="14"/>
        <v>72473</v>
      </c>
      <c r="N20" s="61">
        <f t="shared" si="14"/>
        <v>89809</v>
      </c>
      <c r="O20" s="61">
        <f t="shared" si="14"/>
        <v>163766</v>
      </c>
      <c r="P20" s="61">
        <f t="shared" si="14"/>
        <v>242779</v>
      </c>
      <c r="Q20" s="61">
        <f t="shared" si="14"/>
        <v>61197</v>
      </c>
      <c r="R20" s="61">
        <f t="shared" si="14"/>
        <v>102569</v>
      </c>
      <c r="S20" s="61">
        <f t="shared" si="14"/>
        <v>120387</v>
      </c>
      <c r="U20" s="14"/>
      <c r="V20" s="14"/>
      <c r="W20" s="14"/>
      <c r="X20" s="14"/>
      <c r="AA20" s="14"/>
      <c r="AB20" s="14"/>
      <c r="AC20" s="14"/>
      <c r="AD20" s="14"/>
    </row>
    <row r="21" ht="15.0" customHeight="1">
      <c r="A21" s="59" t="s">
        <v>51</v>
      </c>
      <c r="B21" s="57">
        <v>1.05</v>
      </c>
      <c r="C21" s="60">
        <f t="shared" ref="C21:S21" si="15">ROUNDUP((C$12*$B21),0)</f>
        <v>47914</v>
      </c>
      <c r="D21" s="60">
        <f t="shared" si="15"/>
        <v>40534</v>
      </c>
      <c r="E21" s="60">
        <f t="shared" si="15"/>
        <v>48892</v>
      </c>
      <c r="F21" s="60">
        <f t="shared" si="15"/>
        <v>92744</v>
      </c>
      <c r="G21" s="60">
        <f t="shared" si="15"/>
        <v>97324</v>
      </c>
      <c r="H21" s="60">
        <f t="shared" si="15"/>
        <v>258646</v>
      </c>
      <c r="I21" s="60">
        <f t="shared" si="15"/>
        <v>63204</v>
      </c>
      <c r="J21" s="60">
        <f t="shared" si="15"/>
        <v>78947</v>
      </c>
      <c r="K21" s="60">
        <f t="shared" si="15"/>
        <v>63891</v>
      </c>
      <c r="L21" s="60">
        <f t="shared" si="15"/>
        <v>89080</v>
      </c>
      <c r="M21" s="60">
        <f t="shared" si="15"/>
        <v>73170</v>
      </c>
      <c r="N21" s="60">
        <f t="shared" si="15"/>
        <v>90672</v>
      </c>
      <c r="O21" s="60">
        <f t="shared" si="15"/>
        <v>165341</v>
      </c>
      <c r="P21" s="60">
        <f t="shared" si="15"/>
        <v>245114</v>
      </c>
      <c r="Q21" s="60">
        <f t="shared" si="15"/>
        <v>61786</v>
      </c>
      <c r="R21" s="60">
        <f t="shared" si="15"/>
        <v>103556</v>
      </c>
      <c r="S21" s="60">
        <f t="shared" si="15"/>
        <v>121544</v>
      </c>
      <c r="U21" s="14"/>
      <c r="V21" s="14"/>
      <c r="W21" s="14"/>
      <c r="X21" s="14"/>
      <c r="AA21" s="14"/>
      <c r="AB21" s="14"/>
      <c r="AC21" s="14"/>
      <c r="AD21" s="14"/>
    </row>
    <row r="22" ht="15.0" customHeight="1">
      <c r="A22" s="56" t="s">
        <v>52</v>
      </c>
      <c r="B22" s="57">
        <v>1.06</v>
      </c>
      <c r="C22" s="61">
        <f t="shared" ref="C22:S22" si="16">ROUNDUP((C$12*$B22),0)</f>
        <v>48370</v>
      </c>
      <c r="D22" s="61">
        <f t="shared" si="16"/>
        <v>40920</v>
      </c>
      <c r="E22" s="61">
        <f t="shared" si="16"/>
        <v>49357</v>
      </c>
      <c r="F22" s="61">
        <f t="shared" si="16"/>
        <v>93627</v>
      </c>
      <c r="G22" s="61">
        <f t="shared" si="16"/>
        <v>98251</v>
      </c>
      <c r="H22" s="61">
        <f t="shared" si="16"/>
        <v>261109</v>
      </c>
      <c r="I22" s="61">
        <f t="shared" si="16"/>
        <v>63806</v>
      </c>
      <c r="J22" s="61">
        <f t="shared" si="16"/>
        <v>79699</v>
      </c>
      <c r="K22" s="61">
        <f t="shared" si="16"/>
        <v>64499</v>
      </c>
      <c r="L22" s="61">
        <f t="shared" si="16"/>
        <v>89929</v>
      </c>
      <c r="M22" s="61">
        <f t="shared" si="16"/>
        <v>73867</v>
      </c>
      <c r="N22" s="61">
        <f t="shared" si="16"/>
        <v>91536</v>
      </c>
      <c r="O22" s="61">
        <f t="shared" si="16"/>
        <v>166916</v>
      </c>
      <c r="P22" s="61">
        <f t="shared" si="16"/>
        <v>247448</v>
      </c>
      <c r="Q22" s="61">
        <f t="shared" si="16"/>
        <v>62374</v>
      </c>
      <c r="R22" s="61">
        <f t="shared" si="16"/>
        <v>104542</v>
      </c>
      <c r="S22" s="61">
        <f t="shared" si="16"/>
        <v>122702</v>
      </c>
      <c r="U22" s="14"/>
      <c r="V22" s="14"/>
      <c r="W22" s="14"/>
      <c r="X22" s="14"/>
      <c r="AA22" s="14"/>
      <c r="AB22" s="14"/>
      <c r="AC22" s="14"/>
      <c r="AD22" s="14"/>
    </row>
    <row r="23" ht="15.0" customHeight="1">
      <c r="A23" s="59" t="s">
        <v>53</v>
      </c>
      <c r="B23" s="57">
        <v>1.07</v>
      </c>
      <c r="C23" s="60">
        <f t="shared" ref="C23:S23" si="17">ROUNDUP((C$12*$B23),0)</f>
        <v>48827</v>
      </c>
      <c r="D23" s="60">
        <f t="shared" si="17"/>
        <v>41306</v>
      </c>
      <c r="E23" s="60">
        <f t="shared" si="17"/>
        <v>49823</v>
      </c>
      <c r="F23" s="60">
        <f t="shared" si="17"/>
        <v>94510</v>
      </c>
      <c r="G23" s="60">
        <f t="shared" si="17"/>
        <v>99178</v>
      </c>
      <c r="H23" s="60">
        <f t="shared" si="17"/>
        <v>263573</v>
      </c>
      <c r="I23" s="60">
        <f t="shared" si="17"/>
        <v>64408</v>
      </c>
      <c r="J23" s="60">
        <f t="shared" si="17"/>
        <v>80451</v>
      </c>
      <c r="K23" s="60">
        <f t="shared" si="17"/>
        <v>65108</v>
      </c>
      <c r="L23" s="60">
        <f t="shared" si="17"/>
        <v>90777</v>
      </c>
      <c r="M23" s="60">
        <f t="shared" si="17"/>
        <v>74563</v>
      </c>
      <c r="N23" s="60">
        <f t="shared" si="17"/>
        <v>92399</v>
      </c>
      <c r="O23" s="60">
        <f t="shared" si="17"/>
        <v>168490</v>
      </c>
      <c r="P23" s="60">
        <f t="shared" si="17"/>
        <v>249782</v>
      </c>
      <c r="Q23" s="60">
        <f t="shared" si="17"/>
        <v>62963</v>
      </c>
      <c r="R23" s="60">
        <f t="shared" si="17"/>
        <v>105528</v>
      </c>
      <c r="S23" s="60">
        <f t="shared" si="17"/>
        <v>123859</v>
      </c>
      <c r="U23" s="14"/>
      <c r="V23" s="14"/>
      <c r="W23" s="14"/>
      <c r="X23" s="14"/>
      <c r="AA23" s="14"/>
      <c r="AB23" s="14"/>
      <c r="AC23" s="14"/>
      <c r="AD23" s="14"/>
    </row>
    <row r="24" ht="15.0" customHeight="1">
      <c r="A24" s="56" t="s">
        <v>54</v>
      </c>
      <c r="B24" s="57">
        <v>1.08</v>
      </c>
      <c r="C24" s="61">
        <f t="shared" ref="C24:S24" si="18">ROUNDUP((C$12*$B24),0)</f>
        <v>49283</v>
      </c>
      <c r="D24" s="61">
        <f t="shared" si="18"/>
        <v>41692</v>
      </c>
      <c r="E24" s="61">
        <f t="shared" si="18"/>
        <v>50289</v>
      </c>
      <c r="F24" s="61">
        <f t="shared" si="18"/>
        <v>95394</v>
      </c>
      <c r="G24" s="61">
        <f t="shared" si="18"/>
        <v>100105</v>
      </c>
      <c r="H24" s="61">
        <f t="shared" si="18"/>
        <v>266036</v>
      </c>
      <c r="I24" s="61">
        <f t="shared" si="18"/>
        <v>65010</v>
      </c>
      <c r="J24" s="61">
        <f t="shared" si="18"/>
        <v>81202</v>
      </c>
      <c r="K24" s="61">
        <f t="shared" si="18"/>
        <v>65716</v>
      </c>
      <c r="L24" s="61">
        <f t="shared" si="18"/>
        <v>91626</v>
      </c>
      <c r="M24" s="61">
        <f t="shared" si="18"/>
        <v>75260</v>
      </c>
      <c r="N24" s="61">
        <f t="shared" si="18"/>
        <v>93263</v>
      </c>
      <c r="O24" s="61">
        <f t="shared" si="18"/>
        <v>170065</v>
      </c>
      <c r="P24" s="61">
        <f t="shared" si="18"/>
        <v>252117</v>
      </c>
      <c r="Q24" s="61">
        <f t="shared" si="18"/>
        <v>63551</v>
      </c>
      <c r="R24" s="61">
        <f t="shared" si="18"/>
        <v>106514</v>
      </c>
      <c r="S24" s="61">
        <f t="shared" si="18"/>
        <v>125017</v>
      </c>
      <c r="U24" s="14"/>
      <c r="V24" s="14"/>
      <c r="W24" s="14"/>
      <c r="X24" s="14"/>
      <c r="AA24" s="14"/>
      <c r="AB24" s="14"/>
      <c r="AC24" s="14"/>
      <c r="AD24" s="14"/>
    </row>
    <row r="25" ht="15.0" customHeight="1">
      <c r="A25" s="59" t="s">
        <v>55</v>
      </c>
      <c r="B25" s="57">
        <v>1.09</v>
      </c>
      <c r="C25" s="60">
        <f t="shared" ref="C25:S25" si="19">ROUNDUP((C$12*$B25),0)</f>
        <v>49739</v>
      </c>
      <c r="D25" s="60">
        <f t="shared" si="19"/>
        <v>42078</v>
      </c>
      <c r="E25" s="60">
        <f t="shared" si="19"/>
        <v>50754</v>
      </c>
      <c r="F25" s="60">
        <f t="shared" si="19"/>
        <v>96277</v>
      </c>
      <c r="G25" s="60">
        <f t="shared" si="19"/>
        <v>101032</v>
      </c>
      <c r="H25" s="60">
        <f t="shared" si="19"/>
        <v>268499</v>
      </c>
      <c r="I25" s="60">
        <f t="shared" si="19"/>
        <v>65612</v>
      </c>
      <c r="J25" s="60">
        <f t="shared" si="19"/>
        <v>81954</v>
      </c>
      <c r="K25" s="60">
        <f t="shared" si="19"/>
        <v>66325</v>
      </c>
      <c r="L25" s="60">
        <f t="shared" si="19"/>
        <v>92474</v>
      </c>
      <c r="M25" s="60">
        <f t="shared" si="19"/>
        <v>75957</v>
      </c>
      <c r="N25" s="60">
        <f t="shared" si="19"/>
        <v>94126</v>
      </c>
      <c r="O25" s="60">
        <f t="shared" si="19"/>
        <v>171640</v>
      </c>
      <c r="P25" s="60">
        <f t="shared" si="19"/>
        <v>254451</v>
      </c>
      <c r="Q25" s="60">
        <f t="shared" si="19"/>
        <v>64139</v>
      </c>
      <c r="R25" s="60">
        <f t="shared" si="19"/>
        <v>107501</v>
      </c>
      <c r="S25" s="60">
        <f t="shared" si="19"/>
        <v>126175</v>
      </c>
      <c r="U25" s="14"/>
      <c r="V25" s="14"/>
      <c r="W25" s="14"/>
      <c r="X25" s="14"/>
      <c r="AA25" s="14"/>
      <c r="AB25" s="14"/>
      <c r="AC25" s="14"/>
      <c r="AD25" s="14"/>
    </row>
    <row r="26" ht="15.0" customHeight="1">
      <c r="A26" s="56" t="s">
        <v>56</v>
      </c>
      <c r="B26" s="57">
        <v>1.1</v>
      </c>
      <c r="C26" s="61">
        <f t="shared" ref="C26:S26" si="20">ROUNDUP((C$12*$B26),0)</f>
        <v>50196</v>
      </c>
      <c r="D26" s="61">
        <f t="shared" si="20"/>
        <v>42464</v>
      </c>
      <c r="E26" s="61">
        <f t="shared" si="20"/>
        <v>51220</v>
      </c>
      <c r="F26" s="61">
        <f t="shared" si="20"/>
        <v>97160</v>
      </c>
      <c r="G26" s="61">
        <f t="shared" si="20"/>
        <v>101958</v>
      </c>
      <c r="H26" s="61">
        <f t="shared" si="20"/>
        <v>270962</v>
      </c>
      <c r="I26" s="61">
        <f t="shared" si="20"/>
        <v>66214</v>
      </c>
      <c r="J26" s="61">
        <f t="shared" si="20"/>
        <v>82706</v>
      </c>
      <c r="K26" s="61">
        <f t="shared" si="20"/>
        <v>66933</v>
      </c>
      <c r="L26" s="61">
        <f t="shared" si="20"/>
        <v>93322</v>
      </c>
      <c r="M26" s="61">
        <f t="shared" si="20"/>
        <v>76654</v>
      </c>
      <c r="N26" s="61">
        <f t="shared" si="20"/>
        <v>94990</v>
      </c>
      <c r="O26" s="61">
        <f t="shared" si="20"/>
        <v>173214</v>
      </c>
      <c r="P26" s="61">
        <f t="shared" si="20"/>
        <v>256786</v>
      </c>
      <c r="Q26" s="61">
        <f t="shared" si="20"/>
        <v>64728</v>
      </c>
      <c r="R26" s="61">
        <f t="shared" si="20"/>
        <v>108487</v>
      </c>
      <c r="S26" s="61">
        <f t="shared" si="20"/>
        <v>127332</v>
      </c>
      <c r="U26" s="14"/>
      <c r="V26" s="14"/>
      <c r="W26" s="14"/>
      <c r="X26" s="14"/>
      <c r="AA26" s="14"/>
      <c r="AB26" s="14"/>
      <c r="AC26" s="14"/>
      <c r="AD26" s="14"/>
    </row>
    <row r="27" ht="15.0" customHeight="1">
      <c r="A27" s="48"/>
      <c r="B27" s="49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62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AA27" s="14"/>
      <c r="AB27" s="14"/>
      <c r="AC27" s="14"/>
      <c r="AD27" s="14"/>
    </row>
    <row r="28" ht="15.0" customHeight="1">
      <c r="A28" s="48"/>
      <c r="B28" s="49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62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AA28" s="14"/>
      <c r="AB28" s="14"/>
      <c r="AC28" s="14"/>
      <c r="AD28" s="14"/>
    </row>
    <row r="29" ht="15.75" customHeight="1">
      <c r="A29" s="50" t="s">
        <v>45</v>
      </c>
      <c r="B29" s="15" t="s">
        <v>57</v>
      </c>
      <c r="C29" s="63" t="s">
        <v>58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5"/>
      <c r="U29" s="64" t="s">
        <v>59</v>
      </c>
      <c r="V29" s="65"/>
      <c r="W29" s="13"/>
      <c r="X29" s="14"/>
      <c r="AA29" s="14"/>
      <c r="AB29" s="14"/>
      <c r="AC29" s="14"/>
      <c r="AD29" s="14"/>
    </row>
    <row r="30" ht="16.5" customHeight="1">
      <c r="A30" s="56" t="s">
        <v>48</v>
      </c>
      <c r="B30" s="57">
        <v>1.0</v>
      </c>
      <c r="C30" s="66">
        <f t="shared" ref="C30:P30" si="21">(C18-C$12)*$B30</f>
        <v>913</v>
      </c>
      <c r="D30" s="66">
        <f t="shared" si="21"/>
        <v>773</v>
      </c>
      <c r="E30" s="66">
        <f t="shared" si="21"/>
        <v>932</v>
      </c>
      <c r="F30" s="66">
        <f t="shared" si="21"/>
        <v>1767</v>
      </c>
      <c r="G30" s="66">
        <f t="shared" si="21"/>
        <v>1854</v>
      </c>
      <c r="H30" s="66">
        <f t="shared" si="21"/>
        <v>4927</v>
      </c>
      <c r="I30" s="66">
        <f t="shared" si="21"/>
        <v>1204</v>
      </c>
      <c r="J30" s="66">
        <f t="shared" si="21"/>
        <v>1504</v>
      </c>
      <c r="K30" s="66">
        <f t="shared" si="21"/>
        <v>1217</v>
      </c>
      <c r="L30" s="66">
        <f t="shared" si="21"/>
        <v>1697</v>
      </c>
      <c r="M30" s="66">
        <f t="shared" si="21"/>
        <v>1394</v>
      </c>
      <c r="N30" s="66">
        <f t="shared" si="21"/>
        <v>1728</v>
      </c>
      <c r="O30" s="66">
        <f t="shared" si="21"/>
        <v>3150</v>
      </c>
      <c r="P30" s="66">
        <f t="shared" si="21"/>
        <v>4669</v>
      </c>
      <c r="U30" s="67" t="s">
        <v>60</v>
      </c>
      <c r="V30" s="13"/>
      <c r="W30" s="68">
        <v>5.0</v>
      </c>
      <c r="X30" s="14"/>
      <c r="AA30" s="14"/>
      <c r="AB30" s="14"/>
      <c r="AC30" s="14"/>
      <c r="AD30" s="14"/>
    </row>
    <row r="31" ht="16.5" customHeight="1">
      <c r="A31" s="59" t="s">
        <v>49</v>
      </c>
      <c r="B31" s="57">
        <v>1.0</v>
      </c>
      <c r="C31" s="69">
        <f t="shared" ref="C31:P31" si="22">(C19-C$12)*$B31</f>
        <v>1369</v>
      </c>
      <c r="D31" s="69">
        <f t="shared" si="22"/>
        <v>1159</v>
      </c>
      <c r="E31" s="69">
        <f t="shared" si="22"/>
        <v>1397</v>
      </c>
      <c r="F31" s="69">
        <f t="shared" si="22"/>
        <v>2650</v>
      </c>
      <c r="G31" s="69">
        <f t="shared" si="22"/>
        <v>2781</v>
      </c>
      <c r="H31" s="69">
        <f t="shared" si="22"/>
        <v>7390</v>
      </c>
      <c r="I31" s="69">
        <f t="shared" si="22"/>
        <v>1806</v>
      </c>
      <c r="J31" s="69">
        <f t="shared" si="22"/>
        <v>2256</v>
      </c>
      <c r="K31" s="69">
        <f t="shared" si="22"/>
        <v>1826</v>
      </c>
      <c r="L31" s="69">
        <f t="shared" si="22"/>
        <v>2546</v>
      </c>
      <c r="M31" s="69">
        <f t="shared" si="22"/>
        <v>2091</v>
      </c>
      <c r="N31" s="69">
        <f t="shared" si="22"/>
        <v>2591</v>
      </c>
      <c r="O31" s="69">
        <f t="shared" si="22"/>
        <v>4725</v>
      </c>
      <c r="P31" s="69">
        <f t="shared" si="22"/>
        <v>7004</v>
      </c>
      <c r="U31" s="70" t="s">
        <v>61</v>
      </c>
      <c r="V31" s="13"/>
      <c r="W31" s="68">
        <f>P31</f>
        <v>7004</v>
      </c>
      <c r="X31" s="14"/>
      <c r="AA31" s="14"/>
      <c r="AB31" s="14"/>
      <c r="AC31" s="14"/>
      <c r="AD31" s="14"/>
    </row>
    <row r="32" ht="15.75" customHeight="1">
      <c r="A32" s="56" t="s">
        <v>50</v>
      </c>
      <c r="B32" s="57">
        <v>1.0</v>
      </c>
      <c r="C32" s="66">
        <f t="shared" ref="C32:P32" si="23">(C20-C$12)*$B32</f>
        <v>1826</v>
      </c>
      <c r="D32" s="66">
        <f t="shared" si="23"/>
        <v>1545</v>
      </c>
      <c r="E32" s="66">
        <f t="shared" si="23"/>
        <v>1863</v>
      </c>
      <c r="F32" s="66">
        <f t="shared" si="23"/>
        <v>3534</v>
      </c>
      <c r="G32" s="66">
        <f t="shared" si="23"/>
        <v>3708</v>
      </c>
      <c r="H32" s="66">
        <f t="shared" si="23"/>
        <v>9854</v>
      </c>
      <c r="I32" s="66">
        <f t="shared" si="23"/>
        <v>2408</v>
      </c>
      <c r="J32" s="66">
        <f t="shared" si="23"/>
        <v>3008</v>
      </c>
      <c r="K32" s="66">
        <f t="shared" si="23"/>
        <v>2434</v>
      </c>
      <c r="L32" s="66">
        <f t="shared" si="23"/>
        <v>3394</v>
      </c>
      <c r="M32" s="66">
        <f t="shared" si="23"/>
        <v>2788</v>
      </c>
      <c r="N32" s="66">
        <f t="shared" si="23"/>
        <v>3455</v>
      </c>
      <c r="O32" s="66">
        <f t="shared" si="23"/>
        <v>6299</v>
      </c>
      <c r="P32" s="66">
        <f t="shared" si="23"/>
        <v>9338</v>
      </c>
      <c r="U32" s="67" t="s">
        <v>62</v>
      </c>
      <c r="V32" s="13"/>
      <c r="W32" s="68">
        <f>W31*W30</f>
        <v>35020</v>
      </c>
      <c r="X32" s="14"/>
      <c r="AA32" s="14"/>
      <c r="AB32" s="14"/>
      <c r="AC32" s="14"/>
      <c r="AD32" s="14"/>
    </row>
    <row r="33" ht="15.75" customHeight="1">
      <c r="A33" s="59" t="s">
        <v>51</v>
      </c>
      <c r="B33" s="57">
        <v>1.0</v>
      </c>
      <c r="C33" s="69">
        <f t="shared" ref="C33:P33" si="24">(C21-C$12)*$B33</f>
        <v>2282</v>
      </c>
      <c r="D33" s="69">
        <f t="shared" si="24"/>
        <v>1931</v>
      </c>
      <c r="E33" s="69">
        <f t="shared" si="24"/>
        <v>2329</v>
      </c>
      <c r="F33" s="69">
        <f t="shared" si="24"/>
        <v>4417</v>
      </c>
      <c r="G33" s="69">
        <f t="shared" si="24"/>
        <v>4635</v>
      </c>
      <c r="H33" s="69">
        <f t="shared" si="24"/>
        <v>12317</v>
      </c>
      <c r="I33" s="69">
        <f t="shared" si="24"/>
        <v>3010</v>
      </c>
      <c r="J33" s="69">
        <f t="shared" si="24"/>
        <v>3760</v>
      </c>
      <c r="K33" s="69">
        <f t="shared" si="24"/>
        <v>3043</v>
      </c>
      <c r="L33" s="69">
        <f t="shared" si="24"/>
        <v>4242</v>
      </c>
      <c r="M33" s="69">
        <f t="shared" si="24"/>
        <v>3485</v>
      </c>
      <c r="N33" s="69">
        <f t="shared" si="24"/>
        <v>4318</v>
      </c>
      <c r="O33" s="69">
        <f t="shared" si="24"/>
        <v>7874</v>
      </c>
      <c r="P33" s="69">
        <f t="shared" si="24"/>
        <v>11673</v>
      </c>
      <c r="V33" s="71"/>
      <c r="W33" s="14"/>
      <c r="X33" s="14"/>
      <c r="AA33" s="14"/>
      <c r="AB33" s="14"/>
      <c r="AC33" s="14"/>
      <c r="AD33" s="14"/>
    </row>
    <row r="34" ht="15.75" customHeight="1">
      <c r="A34" s="56" t="s">
        <v>52</v>
      </c>
      <c r="B34" s="57">
        <v>1.0</v>
      </c>
      <c r="C34" s="66">
        <f t="shared" ref="C34:P34" si="25">(C22-C$12)*$B34</f>
        <v>2738</v>
      </c>
      <c r="D34" s="66">
        <f t="shared" si="25"/>
        <v>2317</v>
      </c>
      <c r="E34" s="66">
        <f t="shared" si="25"/>
        <v>2794</v>
      </c>
      <c r="F34" s="66">
        <f t="shared" si="25"/>
        <v>5300</v>
      </c>
      <c r="G34" s="66">
        <f t="shared" si="25"/>
        <v>5562</v>
      </c>
      <c r="H34" s="66">
        <f t="shared" si="25"/>
        <v>14780</v>
      </c>
      <c r="I34" s="66">
        <f t="shared" si="25"/>
        <v>3612</v>
      </c>
      <c r="J34" s="66">
        <f t="shared" si="25"/>
        <v>4512</v>
      </c>
      <c r="K34" s="66">
        <f t="shared" si="25"/>
        <v>3651</v>
      </c>
      <c r="L34" s="66">
        <f t="shared" si="25"/>
        <v>5091</v>
      </c>
      <c r="M34" s="66">
        <f t="shared" si="25"/>
        <v>4182</v>
      </c>
      <c r="N34" s="66">
        <f t="shared" si="25"/>
        <v>5182</v>
      </c>
      <c r="O34" s="66">
        <f t="shared" si="25"/>
        <v>9449</v>
      </c>
      <c r="P34" s="66">
        <f t="shared" si="25"/>
        <v>14007</v>
      </c>
      <c r="V34" s="62"/>
      <c r="W34" s="14"/>
      <c r="X34" s="14"/>
      <c r="AA34" s="14"/>
      <c r="AB34" s="14"/>
      <c r="AC34" s="14"/>
      <c r="AD34" s="14"/>
    </row>
    <row r="35" ht="15.75" customHeight="1">
      <c r="A35" s="59" t="s">
        <v>53</v>
      </c>
      <c r="B35" s="57">
        <v>1.0</v>
      </c>
      <c r="C35" s="69">
        <f t="shared" ref="C35:P35" si="26">(C23-C$12)*$B35</f>
        <v>3195</v>
      </c>
      <c r="D35" s="69">
        <f t="shared" si="26"/>
        <v>2703</v>
      </c>
      <c r="E35" s="69">
        <f t="shared" si="26"/>
        <v>3260</v>
      </c>
      <c r="F35" s="69">
        <f t="shared" si="26"/>
        <v>6183</v>
      </c>
      <c r="G35" s="69">
        <f t="shared" si="26"/>
        <v>6489</v>
      </c>
      <c r="H35" s="69">
        <f t="shared" si="26"/>
        <v>17244</v>
      </c>
      <c r="I35" s="69">
        <f t="shared" si="26"/>
        <v>4214</v>
      </c>
      <c r="J35" s="69">
        <f t="shared" si="26"/>
        <v>5264</v>
      </c>
      <c r="K35" s="69">
        <f t="shared" si="26"/>
        <v>4260</v>
      </c>
      <c r="L35" s="69">
        <f t="shared" si="26"/>
        <v>5939</v>
      </c>
      <c r="M35" s="69">
        <f t="shared" si="26"/>
        <v>4878</v>
      </c>
      <c r="N35" s="69">
        <f t="shared" si="26"/>
        <v>6045</v>
      </c>
      <c r="O35" s="69">
        <f t="shared" si="26"/>
        <v>11023</v>
      </c>
      <c r="P35" s="69">
        <f t="shared" si="26"/>
        <v>16341</v>
      </c>
      <c r="V35" s="62"/>
      <c r="W35" s="14"/>
      <c r="X35" s="14"/>
      <c r="AA35" s="14"/>
      <c r="AB35" s="14"/>
      <c r="AC35" s="14"/>
      <c r="AD35" s="14"/>
    </row>
    <row r="36" ht="15.75" customHeight="1">
      <c r="A36" s="56" t="s">
        <v>54</v>
      </c>
      <c r="B36" s="57">
        <v>1.0</v>
      </c>
      <c r="C36" s="66">
        <f t="shared" ref="C36:P36" si="27">(C24-C$12)*$B36</f>
        <v>3651</v>
      </c>
      <c r="D36" s="66">
        <f t="shared" si="27"/>
        <v>3089</v>
      </c>
      <c r="E36" s="66">
        <f t="shared" si="27"/>
        <v>3726</v>
      </c>
      <c r="F36" s="66">
        <f t="shared" si="27"/>
        <v>7067</v>
      </c>
      <c r="G36" s="66">
        <f t="shared" si="27"/>
        <v>7416</v>
      </c>
      <c r="H36" s="66">
        <f t="shared" si="27"/>
        <v>19707</v>
      </c>
      <c r="I36" s="66">
        <f t="shared" si="27"/>
        <v>4816</v>
      </c>
      <c r="J36" s="66">
        <f t="shared" si="27"/>
        <v>6015</v>
      </c>
      <c r="K36" s="66">
        <f t="shared" si="27"/>
        <v>4868</v>
      </c>
      <c r="L36" s="66">
        <f t="shared" si="27"/>
        <v>6788</v>
      </c>
      <c r="M36" s="66">
        <f t="shared" si="27"/>
        <v>5575</v>
      </c>
      <c r="N36" s="66">
        <f t="shared" si="27"/>
        <v>6909</v>
      </c>
      <c r="O36" s="66">
        <f t="shared" si="27"/>
        <v>12598</v>
      </c>
      <c r="P36" s="66">
        <f t="shared" si="27"/>
        <v>18676</v>
      </c>
      <c r="V36" s="62"/>
      <c r="W36" s="14"/>
      <c r="X36" s="14"/>
      <c r="AA36" s="14"/>
      <c r="AB36" s="14"/>
      <c r="AC36" s="14"/>
      <c r="AD36" s="14"/>
    </row>
    <row r="37" ht="15.75" customHeight="1">
      <c r="A37" s="59" t="s">
        <v>55</v>
      </c>
      <c r="B37" s="57">
        <v>1.0</v>
      </c>
      <c r="C37" s="69">
        <f t="shared" ref="C37:P37" si="28">(C25-C$12)*$B37</f>
        <v>4107</v>
      </c>
      <c r="D37" s="69">
        <f t="shared" si="28"/>
        <v>3475</v>
      </c>
      <c r="E37" s="69">
        <f t="shared" si="28"/>
        <v>4191</v>
      </c>
      <c r="F37" s="69">
        <f t="shared" si="28"/>
        <v>7950</v>
      </c>
      <c r="G37" s="69">
        <f t="shared" si="28"/>
        <v>8343</v>
      </c>
      <c r="H37" s="69">
        <f t="shared" si="28"/>
        <v>22170</v>
      </c>
      <c r="I37" s="69">
        <f t="shared" si="28"/>
        <v>5418</v>
      </c>
      <c r="J37" s="69">
        <f t="shared" si="28"/>
        <v>6767</v>
      </c>
      <c r="K37" s="69">
        <f t="shared" si="28"/>
        <v>5477</v>
      </c>
      <c r="L37" s="69">
        <f t="shared" si="28"/>
        <v>7636</v>
      </c>
      <c r="M37" s="69">
        <f t="shared" si="28"/>
        <v>6272</v>
      </c>
      <c r="N37" s="69">
        <f t="shared" si="28"/>
        <v>7772</v>
      </c>
      <c r="O37" s="69">
        <f t="shared" si="28"/>
        <v>14173</v>
      </c>
      <c r="P37" s="69">
        <f t="shared" si="28"/>
        <v>21010</v>
      </c>
      <c r="V37" s="62"/>
      <c r="W37" s="14"/>
      <c r="X37" s="14"/>
      <c r="AA37" s="14"/>
      <c r="AB37" s="14"/>
      <c r="AC37" s="14"/>
      <c r="AD37" s="14"/>
    </row>
    <row r="38" ht="15.75" customHeight="1">
      <c r="A38" s="56" t="s">
        <v>56</v>
      </c>
      <c r="B38" s="57">
        <v>1.0</v>
      </c>
      <c r="C38" s="66">
        <f t="shared" ref="C38:P38" si="29">(C26-C$12)*$B38</f>
        <v>4564</v>
      </c>
      <c r="D38" s="66">
        <f t="shared" si="29"/>
        <v>3861</v>
      </c>
      <c r="E38" s="66">
        <f t="shared" si="29"/>
        <v>4657</v>
      </c>
      <c r="F38" s="66">
        <f t="shared" si="29"/>
        <v>8833</v>
      </c>
      <c r="G38" s="66">
        <f t="shared" si="29"/>
        <v>9269</v>
      </c>
      <c r="H38" s="66">
        <f t="shared" si="29"/>
        <v>24633</v>
      </c>
      <c r="I38" s="66">
        <f t="shared" si="29"/>
        <v>6020</v>
      </c>
      <c r="J38" s="66">
        <f t="shared" si="29"/>
        <v>7519</v>
      </c>
      <c r="K38" s="66">
        <f t="shared" si="29"/>
        <v>6085</v>
      </c>
      <c r="L38" s="66">
        <f t="shared" si="29"/>
        <v>8484</v>
      </c>
      <c r="M38" s="66">
        <f t="shared" si="29"/>
        <v>6969</v>
      </c>
      <c r="N38" s="66">
        <f t="shared" si="29"/>
        <v>8636</v>
      </c>
      <c r="O38" s="66">
        <f t="shared" si="29"/>
        <v>15747</v>
      </c>
      <c r="P38" s="66">
        <f t="shared" si="29"/>
        <v>23345</v>
      </c>
      <c r="V38" s="62"/>
      <c r="W38" s="14"/>
      <c r="X38" s="14"/>
      <c r="AA38" s="14"/>
      <c r="AB38" s="14"/>
      <c r="AC38" s="14"/>
      <c r="AD38" s="14"/>
    </row>
    <row r="39" ht="15.75" customHeight="1">
      <c r="F39" s="14"/>
      <c r="G39" s="14"/>
      <c r="L39" s="14"/>
      <c r="V39" s="48"/>
      <c r="W39" s="14"/>
      <c r="X39" s="14"/>
      <c r="AA39" s="14"/>
      <c r="AB39" s="14"/>
      <c r="AC39" s="14"/>
      <c r="AD39" s="14"/>
    </row>
    <row r="40" ht="15.75" customHeight="1">
      <c r="F40" s="14"/>
      <c r="G40" s="14"/>
      <c r="L40" s="14"/>
      <c r="V40" s="14"/>
      <c r="W40" s="14"/>
      <c r="X40" s="14"/>
      <c r="AA40" s="14"/>
      <c r="AB40" s="14"/>
      <c r="AC40" s="14"/>
      <c r="AD40" s="14"/>
    </row>
    <row r="41" ht="15.75" customHeight="1">
      <c r="F41" s="14"/>
      <c r="G41" s="14"/>
      <c r="L41" s="14"/>
      <c r="V41" s="14"/>
      <c r="W41" s="14"/>
      <c r="X41" s="14"/>
      <c r="AA41" s="14"/>
      <c r="AB41" s="14"/>
      <c r="AC41" s="14"/>
      <c r="AD41" s="14"/>
    </row>
    <row r="42" ht="15.75" customHeight="1">
      <c r="F42" s="14"/>
      <c r="G42" s="14"/>
      <c r="L42" s="14"/>
      <c r="V42" s="14"/>
      <c r="W42" s="14"/>
      <c r="X42" s="14"/>
      <c r="AA42" s="14"/>
      <c r="AB42" s="14"/>
      <c r="AC42" s="14"/>
      <c r="AD42" s="14"/>
    </row>
    <row r="43" ht="15.75" customHeight="1">
      <c r="F43" s="14"/>
      <c r="G43" s="14"/>
      <c r="L43" s="14"/>
      <c r="V43" s="72"/>
      <c r="W43" s="14"/>
      <c r="X43" s="14"/>
      <c r="AA43" s="14"/>
      <c r="AB43" s="14"/>
      <c r="AC43" s="14"/>
      <c r="AD43" s="14"/>
    </row>
    <row r="44" ht="15.75" customHeight="1">
      <c r="F44" s="14"/>
      <c r="G44" s="14"/>
      <c r="L44" s="14"/>
      <c r="V44" s="72"/>
      <c r="W44" s="14"/>
      <c r="X44" s="14"/>
      <c r="AA44" s="14"/>
      <c r="AB44" s="14"/>
      <c r="AC44" s="14"/>
      <c r="AD44" s="14"/>
    </row>
    <row r="45" ht="15.75" customHeight="1">
      <c r="F45" s="14"/>
      <c r="G45" s="14"/>
      <c r="L45" s="14"/>
      <c r="V45" s="72"/>
      <c r="W45" s="14"/>
      <c r="X45" s="14"/>
      <c r="AA45" s="14"/>
      <c r="AB45" s="14"/>
      <c r="AC45" s="14"/>
      <c r="AD45" s="14"/>
    </row>
    <row r="46" ht="15.75" customHeight="1">
      <c r="F46" s="14"/>
      <c r="G46" s="14"/>
      <c r="L46" s="14"/>
      <c r="V46" s="72"/>
      <c r="W46" s="14"/>
      <c r="X46" s="14"/>
      <c r="AA46" s="14"/>
      <c r="AB46" s="14"/>
      <c r="AC46" s="14"/>
      <c r="AD46" s="14"/>
    </row>
    <row r="47" ht="15.75" customHeight="1">
      <c r="F47" s="14"/>
      <c r="G47" s="14"/>
      <c r="L47" s="14"/>
      <c r="V47" s="72"/>
      <c r="W47" s="14"/>
      <c r="X47" s="14"/>
      <c r="AA47" s="14"/>
      <c r="AB47" s="14"/>
      <c r="AC47" s="14"/>
      <c r="AD47" s="14"/>
    </row>
    <row r="48" ht="15.75" customHeight="1">
      <c r="F48" s="14"/>
      <c r="G48" s="14"/>
      <c r="L48" s="14"/>
      <c r="V48" s="14"/>
      <c r="W48" s="14"/>
      <c r="X48" s="14"/>
      <c r="AA48" s="14"/>
      <c r="AB48" s="14"/>
      <c r="AC48" s="14"/>
      <c r="AD48" s="14"/>
    </row>
    <row r="49" ht="15.75" customHeight="1">
      <c r="F49" s="14"/>
      <c r="G49" s="14"/>
      <c r="L49" s="14"/>
      <c r="V49" s="14"/>
      <c r="W49" s="14"/>
      <c r="X49" s="14"/>
      <c r="AA49" s="14"/>
      <c r="AB49" s="14"/>
      <c r="AC49" s="14"/>
      <c r="AD49" s="14"/>
    </row>
    <row r="50" ht="15.75" customHeight="1">
      <c r="F50" s="14"/>
      <c r="G50" s="14"/>
      <c r="L50" s="14"/>
      <c r="V50" s="14"/>
      <c r="W50" s="14"/>
      <c r="X50" s="14"/>
      <c r="AA50" s="14"/>
      <c r="AB50" s="14"/>
      <c r="AC50" s="14"/>
      <c r="AD50" s="14"/>
    </row>
    <row r="51" ht="15.75" customHeight="1">
      <c r="F51" s="14"/>
      <c r="G51" s="14"/>
      <c r="L51" s="14"/>
      <c r="V51" s="14"/>
      <c r="W51" s="14"/>
      <c r="X51" s="14"/>
      <c r="AA51" s="14"/>
      <c r="AB51" s="14"/>
      <c r="AC51" s="14"/>
      <c r="AD51" s="14"/>
    </row>
    <row r="52" ht="15.75" customHeight="1">
      <c r="F52" s="14"/>
      <c r="G52" s="14"/>
      <c r="L52" s="14"/>
      <c r="V52" s="14"/>
      <c r="W52" s="14"/>
      <c r="X52" s="14"/>
      <c r="AA52" s="14"/>
      <c r="AB52" s="14"/>
      <c r="AC52" s="14"/>
      <c r="AD52" s="14"/>
    </row>
    <row r="53" ht="15.75" customHeight="1">
      <c r="F53" s="14"/>
      <c r="G53" s="14"/>
      <c r="L53" s="14"/>
      <c r="V53" s="14"/>
      <c r="W53" s="14"/>
      <c r="X53" s="14"/>
      <c r="AA53" s="14"/>
      <c r="AB53" s="14"/>
      <c r="AC53" s="14"/>
      <c r="AD53" s="14"/>
    </row>
    <row r="54" ht="15.75" customHeight="1">
      <c r="F54" s="14"/>
      <c r="G54" s="14"/>
      <c r="L54" s="14"/>
      <c r="V54" s="14"/>
      <c r="W54" s="14"/>
      <c r="X54" s="14"/>
      <c r="AA54" s="14"/>
      <c r="AB54" s="14"/>
      <c r="AC54" s="14"/>
      <c r="AD54" s="14"/>
    </row>
    <row r="55" ht="15.75" customHeight="1">
      <c r="F55" s="14"/>
      <c r="G55" s="14"/>
      <c r="L55" s="14"/>
      <c r="V55" s="14"/>
      <c r="W55" s="14"/>
      <c r="X55" s="14"/>
      <c r="AA55" s="14"/>
      <c r="AB55" s="14"/>
      <c r="AC55" s="14"/>
      <c r="AD55" s="14"/>
    </row>
    <row r="56" ht="15.75" customHeight="1">
      <c r="F56" s="14"/>
      <c r="G56" s="14"/>
      <c r="L56" s="14"/>
      <c r="V56" s="14"/>
      <c r="W56" s="14"/>
      <c r="X56" s="14"/>
      <c r="AA56" s="14"/>
      <c r="AB56" s="14"/>
      <c r="AC56" s="14"/>
      <c r="AD56" s="14"/>
    </row>
    <row r="57" ht="15.75" customHeight="1">
      <c r="F57" s="14"/>
      <c r="G57" s="14"/>
      <c r="L57" s="14"/>
      <c r="V57" s="14"/>
      <c r="W57" s="14"/>
      <c r="X57" s="14"/>
      <c r="AA57" s="14"/>
      <c r="AB57" s="14"/>
      <c r="AC57" s="14"/>
      <c r="AD57" s="14"/>
    </row>
    <row r="58" ht="15.75" customHeight="1">
      <c r="F58" s="14"/>
      <c r="G58" s="14"/>
      <c r="L58" s="14"/>
      <c r="V58" s="14"/>
      <c r="W58" s="14"/>
      <c r="X58" s="14"/>
      <c r="AA58" s="14"/>
      <c r="AB58" s="14"/>
      <c r="AC58" s="14"/>
      <c r="AD58" s="14"/>
    </row>
    <row r="59" ht="15.75" customHeight="1">
      <c r="F59" s="14"/>
      <c r="G59" s="14"/>
      <c r="L59" s="14"/>
      <c r="V59" s="14"/>
      <c r="W59" s="14"/>
      <c r="X59" s="14"/>
      <c r="AA59" s="14"/>
      <c r="AB59" s="14"/>
      <c r="AC59" s="14"/>
      <c r="AD59" s="14"/>
    </row>
    <row r="60" ht="15.75" customHeight="1">
      <c r="F60" s="14"/>
      <c r="G60" s="14"/>
      <c r="L60" s="14"/>
      <c r="V60" s="14"/>
      <c r="W60" s="14"/>
      <c r="X60" s="14"/>
      <c r="AA60" s="14"/>
      <c r="AB60" s="14"/>
      <c r="AC60" s="14"/>
      <c r="AD60" s="14"/>
    </row>
    <row r="61" ht="15.75" customHeight="1">
      <c r="F61" s="14"/>
      <c r="G61" s="14"/>
      <c r="L61" s="14"/>
      <c r="V61" s="14"/>
      <c r="W61" s="14"/>
      <c r="X61" s="14"/>
      <c r="AA61" s="14"/>
      <c r="AB61" s="14"/>
      <c r="AC61" s="14"/>
      <c r="AD61" s="14"/>
    </row>
    <row r="62" ht="15.75" customHeight="1">
      <c r="F62" s="14"/>
      <c r="G62" s="14"/>
      <c r="L62" s="14"/>
      <c r="V62" s="14"/>
      <c r="W62" s="14"/>
      <c r="X62" s="14"/>
      <c r="AA62" s="14"/>
      <c r="AB62" s="14"/>
      <c r="AC62" s="14"/>
      <c r="AD62" s="14"/>
    </row>
    <row r="63" ht="15.75" customHeight="1">
      <c r="F63" s="14"/>
      <c r="G63" s="14"/>
      <c r="L63" s="14"/>
      <c r="V63" s="14"/>
      <c r="W63" s="14"/>
      <c r="X63" s="14"/>
      <c r="AA63" s="14"/>
      <c r="AB63" s="14"/>
      <c r="AC63" s="14"/>
      <c r="AD63" s="14"/>
    </row>
    <row r="64" ht="15.75" customHeight="1">
      <c r="F64" s="14"/>
      <c r="G64" s="14"/>
      <c r="L64" s="14"/>
      <c r="V64" s="14"/>
      <c r="W64" s="14"/>
      <c r="X64" s="14"/>
      <c r="AA64" s="14"/>
      <c r="AB64" s="14"/>
      <c r="AC64" s="14"/>
      <c r="AD64" s="14"/>
    </row>
    <row r="65" ht="15.75" customHeight="1">
      <c r="F65" s="14"/>
      <c r="G65" s="14"/>
      <c r="L65" s="14"/>
      <c r="V65" s="14"/>
      <c r="W65" s="14"/>
      <c r="X65" s="14"/>
      <c r="AA65" s="14"/>
      <c r="AB65" s="14"/>
      <c r="AC65" s="14"/>
      <c r="AD65" s="14"/>
    </row>
    <row r="66" ht="15.75" customHeight="1">
      <c r="F66" s="14"/>
      <c r="G66" s="14"/>
      <c r="L66" s="14"/>
      <c r="V66" s="14"/>
      <c r="W66" s="14"/>
      <c r="X66" s="14"/>
      <c r="AA66" s="14"/>
      <c r="AB66" s="14"/>
      <c r="AC66" s="14"/>
      <c r="AD66" s="14"/>
    </row>
    <row r="67" ht="15.75" customHeight="1">
      <c r="F67" s="14"/>
      <c r="G67" s="14"/>
      <c r="L67" s="14"/>
      <c r="V67" s="14"/>
      <c r="W67" s="14"/>
      <c r="X67" s="14"/>
      <c r="AA67" s="14"/>
      <c r="AB67" s="14"/>
      <c r="AC67" s="14"/>
      <c r="AD67" s="14"/>
    </row>
    <row r="68" ht="15.75" customHeight="1">
      <c r="F68" s="14"/>
      <c r="G68" s="14"/>
      <c r="L68" s="14"/>
      <c r="V68" s="14"/>
      <c r="W68" s="14"/>
      <c r="X68" s="14"/>
      <c r="AA68" s="14"/>
      <c r="AB68" s="14"/>
      <c r="AC68" s="14"/>
      <c r="AD68" s="14"/>
    </row>
    <row r="69" ht="15.75" customHeight="1">
      <c r="F69" s="14"/>
      <c r="G69" s="14"/>
      <c r="L69" s="14"/>
      <c r="V69" s="14"/>
      <c r="W69" s="14"/>
      <c r="X69" s="14"/>
      <c r="AA69" s="14"/>
      <c r="AB69" s="14"/>
      <c r="AC69" s="14"/>
      <c r="AD69" s="14"/>
    </row>
    <row r="70" ht="15.75" customHeight="1">
      <c r="F70" s="14"/>
      <c r="G70" s="14"/>
      <c r="L70" s="14"/>
      <c r="V70" s="14"/>
      <c r="W70" s="14"/>
      <c r="X70" s="14"/>
      <c r="AA70" s="14"/>
      <c r="AB70" s="14"/>
      <c r="AC70" s="14"/>
      <c r="AD70" s="14"/>
    </row>
    <row r="71" ht="15.75" customHeight="1">
      <c r="F71" s="14"/>
      <c r="G71" s="14"/>
      <c r="L71" s="14"/>
      <c r="V71" s="14"/>
      <c r="W71" s="14"/>
      <c r="X71" s="14"/>
      <c r="AA71" s="14"/>
      <c r="AB71" s="14"/>
      <c r="AC71" s="14"/>
      <c r="AD71" s="14"/>
    </row>
    <row r="72" ht="15.75" customHeight="1">
      <c r="F72" s="14"/>
      <c r="G72" s="14"/>
      <c r="L72" s="14"/>
      <c r="V72" s="14"/>
      <c r="W72" s="14"/>
      <c r="X72" s="14"/>
      <c r="AA72" s="14"/>
      <c r="AB72" s="14"/>
      <c r="AC72" s="14"/>
      <c r="AD72" s="14"/>
    </row>
    <row r="73" ht="15.75" customHeight="1">
      <c r="F73" s="14"/>
      <c r="G73" s="14"/>
      <c r="L73" s="14"/>
      <c r="V73" s="14"/>
      <c r="W73" s="14"/>
      <c r="X73" s="14"/>
      <c r="AA73" s="14"/>
      <c r="AB73" s="14"/>
      <c r="AC73" s="14"/>
      <c r="AD73" s="14"/>
    </row>
    <row r="74" ht="15.75" customHeight="1">
      <c r="F74" s="14"/>
      <c r="G74" s="14"/>
      <c r="L74" s="14"/>
      <c r="V74" s="14"/>
      <c r="W74" s="14"/>
      <c r="X74" s="14"/>
      <c r="AA74" s="14"/>
      <c r="AB74" s="14"/>
      <c r="AC74" s="14"/>
      <c r="AD74" s="14"/>
    </row>
    <row r="75" ht="15.75" customHeight="1">
      <c r="F75" s="14"/>
      <c r="G75" s="14"/>
      <c r="L75" s="14"/>
      <c r="V75" s="14"/>
      <c r="W75" s="14"/>
      <c r="X75" s="14"/>
      <c r="AA75" s="14"/>
      <c r="AB75" s="14"/>
      <c r="AC75" s="14"/>
      <c r="AD75" s="14"/>
    </row>
    <row r="76" ht="15.75" customHeight="1">
      <c r="F76" s="14"/>
      <c r="G76" s="14"/>
      <c r="L76" s="14"/>
      <c r="V76" s="14"/>
      <c r="W76" s="14"/>
      <c r="X76" s="14"/>
      <c r="AA76" s="14"/>
      <c r="AB76" s="14"/>
      <c r="AC76" s="14"/>
      <c r="AD76" s="14"/>
    </row>
    <row r="77" ht="15.75" customHeight="1">
      <c r="F77" s="14"/>
      <c r="G77" s="14"/>
      <c r="L77" s="14"/>
      <c r="V77" s="14"/>
      <c r="W77" s="14"/>
      <c r="X77" s="14"/>
      <c r="AA77" s="14"/>
      <c r="AB77" s="14"/>
      <c r="AC77" s="14"/>
      <c r="AD77" s="14"/>
    </row>
    <row r="78" ht="15.75" customHeight="1">
      <c r="F78" s="14"/>
      <c r="G78" s="14"/>
      <c r="L78" s="14"/>
      <c r="V78" s="14"/>
      <c r="W78" s="14"/>
      <c r="X78" s="14"/>
      <c r="AA78" s="14"/>
      <c r="AB78" s="14"/>
      <c r="AC78" s="14"/>
      <c r="AD78" s="14"/>
    </row>
    <row r="79" ht="15.75" customHeight="1">
      <c r="F79" s="14"/>
      <c r="G79" s="14"/>
      <c r="L79" s="14"/>
      <c r="V79" s="14"/>
      <c r="W79" s="14"/>
      <c r="X79" s="14"/>
      <c r="AA79" s="14"/>
      <c r="AB79" s="14"/>
      <c r="AC79" s="14"/>
      <c r="AD79" s="14"/>
    </row>
    <row r="80" ht="15.75" customHeight="1">
      <c r="F80" s="14"/>
      <c r="G80" s="14"/>
      <c r="L80" s="14"/>
      <c r="V80" s="14"/>
      <c r="W80" s="14"/>
      <c r="X80" s="14"/>
      <c r="AA80" s="14"/>
      <c r="AB80" s="14"/>
      <c r="AC80" s="14"/>
      <c r="AD80" s="14"/>
    </row>
    <row r="81" ht="15.75" customHeight="1">
      <c r="F81" s="14"/>
      <c r="G81" s="14"/>
      <c r="L81" s="14"/>
      <c r="V81" s="14"/>
      <c r="W81" s="14"/>
      <c r="X81" s="14"/>
      <c r="AA81" s="14"/>
      <c r="AB81" s="14"/>
      <c r="AC81" s="14"/>
      <c r="AD81" s="14"/>
    </row>
    <row r="82" ht="15.75" customHeight="1">
      <c r="F82" s="14"/>
      <c r="G82" s="14"/>
      <c r="L82" s="14"/>
      <c r="V82" s="14"/>
      <c r="W82" s="14"/>
      <c r="X82" s="14"/>
      <c r="AA82" s="14"/>
      <c r="AB82" s="14"/>
      <c r="AC82" s="14"/>
      <c r="AD82" s="14"/>
    </row>
    <row r="83" ht="15.75" customHeight="1">
      <c r="A83" s="14"/>
      <c r="B83" s="73"/>
      <c r="C83" s="73"/>
      <c r="D83" s="73"/>
      <c r="W83" s="14"/>
      <c r="X83" s="14"/>
      <c r="AA83" s="14"/>
      <c r="AB83" s="14"/>
      <c r="AC83" s="14"/>
      <c r="AD83" s="14"/>
    </row>
    <row r="84" ht="15.75" customHeight="1">
      <c r="A84" s="14"/>
      <c r="B84" s="48"/>
      <c r="C84" s="48"/>
      <c r="D84" s="74"/>
      <c r="E84" s="75"/>
      <c r="F84" s="75"/>
      <c r="G84" s="75"/>
      <c r="H84" s="74"/>
      <c r="I84" s="74"/>
      <c r="J84" s="74"/>
      <c r="K84" s="74"/>
      <c r="L84" s="74"/>
      <c r="M84" s="76"/>
      <c r="N84" s="76"/>
      <c r="O84" s="74"/>
      <c r="P84" s="74"/>
      <c r="Q84" s="74"/>
      <c r="R84" s="74"/>
      <c r="S84" s="74"/>
      <c r="T84" s="74"/>
      <c r="U84" s="74"/>
      <c r="V84" s="74"/>
      <c r="W84" s="14"/>
      <c r="X84" s="14"/>
      <c r="AA84" s="14"/>
      <c r="AB84" s="14"/>
      <c r="AC84" s="14"/>
      <c r="AD84" s="14"/>
    </row>
    <row r="85" ht="15.75" customHeight="1">
      <c r="A85" s="14"/>
      <c r="B85" s="48"/>
      <c r="C85" s="48"/>
      <c r="D85" s="77"/>
      <c r="E85" s="77"/>
      <c r="F85" s="77"/>
      <c r="G85" s="77"/>
      <c r="H85" s="74"/>
      <c r="I85" s="74"/>
      <c r="J85" s="74"/>
      <c r="K85" s="74"/>
      <c r="L85" s="74"/>
      <c r="M85" s="78"/>
      <c r="N85" s="78"/>
      <c r="O85" s="74"/>
      <c r="P85" s="74"/>
      <c r="Q85" s="74"/>
      <c r="R85" s="74"/>
      <c r="S85" s="74"/>
      <c r="T85" s="74"/>
      <c r="U85" s="74"/>
      <c r="V85" s="74"/>
      <c r="W85" s="14"/>
      <c r="X85" s="14"/>
      <c r="AA85" s="14"/>
      <c r="AB85" s="14"/>
      <c r="AC85" s="14"/>
      <c r="AD85" s="14"/>
    </row>
    <row r="86" ht="15.75" customHeight="1">
      <c r="A86" s="14"/>
      <c r="B86" s="48"/>
      <c r="C86" s="48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14"/>
      <c r="X86" s="14"/>
      <c r="AA86" s="14"/>
      <c r="AB86" s="14"/>
      <c r="AC86" s="14"/>
      <c r="AD86" s="14"/>
    </row>
    <row r="87" ht="15.75" customHeight="1">
      <c r="A87" s="14"/>
      <c r="B87" s="48"/>
      <c r="C87" s="48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14"/>
      <c r="X87" s="14"/>
      <c r="AA87" s="14"/>
      <c r="AB87" s="14"/>
      <c r="AC87" s="14"/>
      <c r="AD87" s="14"/>
    </row>
    <row r="88" ht="15.75" customHeight="1">
      <c r="A88" s="14"/>
      <c r="B88" s="79"/>
      <c r="C88" s="79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14"/>
      <c r="X88" s="14"/>
      <c r="AA88" s="14"/>
      <c r="AB88" s="14"/>
      <c r="AC88" s="14"/>
      <c r="AD88" s="14"/>
    </row>
    <row r="89" ht="15.75" customHeight="1">
      <c r="A89" s="14"/>
      <c r="B89" s="79"/>
      <c r="C89" s="79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14"/>
      <c r="X89" s="14"/>
      <c r="AA89" s="14"/>
      <c r="AB89" s="14"/>
      <c r="AC89" s="14"/>
      <c r="AD89" s="14"/>
    </row>
    <row r="90" ht="15.75" customHeight="1">
      <c r="A90" s="14"/>
      <c r="B90" s="48"/>
      <c r="C90" s="48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14"/>
      <c r="X90" s="14"/>
      <c r="AA90" s="14"/>
      <c r="AB90" s="14"/>
      <c r="AC90" s="14"/>
      <c r="AD90" s="14"/>
    </row>
    <row r="91" ht="15.75" customHeight="1">
      <c r="A91" s="14"/>
      <c r="B91" s="62"/>
      <c r="C91" s="62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14"/>
      <c r="X91" s="14"/>
      <c r="AA91" s="14"/>
      <c r="AB91" s="14"/>
      <c r="AC91" s="14"/>
      <c r="AD91" s="14"/>
    </row>
    <row r="92" ht="15.75" customHeight="1">
      <c r="A92" s="14"/>
      <c r="B92" s="81"/>
      <c r="C92" s="81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14"/>
      <c r="X92" s="14"/>
      <c r="AA92" s="14"/>
      <c r="AB92" s="14"/>
      <c r="AC92" s="14"/>
      <c r="AD92" s="14"/>
    </row>
    <row r="93" ht="15.75" customHeight="1">
      <c r="A93" s="14"/>
      <c r="B93" s="48"/>
      <c r="C93" s="48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14"/>
      <c r="X93" s="14"/>
      <c r="AA93" s="14"/>
      <c r="AB93" s="14"/>
      <c r="AC93" s="14"/>
      <c r="AD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AA94" s="14"/>
      <c r="AB94" s="14"/>
      <c r="AC94" s="14"/>
      <c r="AD94" s="14"/>
    </row>
    <row r="95" ht="15.75" customHeight="1">
      <c r="A95" s="14"/>
      <c r="B95" s="48"/>
      <c r="C95" s="48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14"/>
      <c r="X95" s="14"/>
      <c r="AA95" s="14"/>
      <c r="AB95" s="14"/>
      <c r="AC95" s="14"/>
      <c r="AD95" s="14"/>
    </row>
    <row r="96" ht="15.75" customHeight="1">
      <c r="A96" s="14"/>
      <c r="B96" s="48"/>
      <c r="C96" s="48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14"/>
      <c r="X96" s="14"/>
      <c r="AA96" s="14"/>
      <c r="AB96" s="14"/>
      <c r="AC96" s="14"/>
      <c r="AD96" s="14"/>
    </row>
    <row r="97" ht="15.75" customHeight="1">
      <c r="A97" s="14"/>
      <c r="B97" s="48"/>
      <c r="C97" s="48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14"/>
      <c r="X97" s="14"/>
      <c r="AA97" s="14"/>
      <c r="AB97" s="14"/>
      <c r="AC97" s="14"/>
      <c r="AD97" s="14"/>
    </row>
    <row r="98" ht="15.75" customHeight="1">
      <c r="A98" s="14"/>
      <c r="B98" s="48"/>
      <c r="C98" s="48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14"/>
      <c r="X98" s="14"/>
      <c r="AA98" s="14"/>
      <c r="AB98" s="14"/>
      <c r="AC98" s="14"/>
      <c r="AD98" s="14"/>
    </row>
    <row r="99" ht="15.75" customHeight="1">
      <c r="A99" s="14"/>
      <c r="B99" s="48"/>
      <c r="C99" s="48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14"/>
      <c r="X99" s="14"/>
      <c r="AA99" s="14"/>
      <c r="AB99" s="14"/>
      <c r="AC99" s="14"/>
      <c r="AD99" s="14"/>
    </row>
    <row r="100" ht="15.75" customHeight="1">
      <c r="A100" s="14"/>
      <c r="B100" s="48"/>
      <c r="C100" s="48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14"/>
      <c r="X100" s="14"/>
      <c r="AA100" s="14"/>
      <c r="AB100" s="14"/>
      <c r="AC100" s="14"/>
      <c r="AD100" s="14"/>
    </row>
    <row r="101" ht="15.75" customHeight="1">
      <c r="A101" s="14"/>
      <c r="B101" s="48"/>
      <c r="C101" s="48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14"/>
      <c r="X101" s="14"/>
      <c r="AA101" s="14"/>
      <c r="AB101" s="14"/>
      <c r="AC101" s="14"/>
      <c r="AD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AA102" s="14"/>
      <c r="AB102" s="14"/>
      <c r="AC102" s="14"/>
      <c r="AD102" s="14"/>
    </row>
    <row r="103" ht="15.75" customHeight="1">
      <c r="A103" s="14"/>
      <c r="B103" s="73"/>
      <c r="C103" s="73"/>
      <c r="D103" s="73"/>
      <c r="E103" s="73"/>
      <c r="F103" s="73"/>
      <c r="G103" s="73"/>
      <c r="H103" s="73"/>
      <c r="I103" s="14"/>
      <c r="J103" s="76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AA103" s="14"/>
      <c r="AB103" s="14"/>
      <c r="AC103" s="14"/>
      <c r="AD103" s="14"/>
    </row>
    <row r="104" ht="15.75" customHeight="1">
      <c r="A104" s="14"/>
      <c r="B104" s="48"/>
      <c r="C104" s="48"/>
      <c r="D104" s="83"/>
      <c r="E104" s="83"/>
      <c r="F104" s="83"/>
      <c r="G104" s="83"/>
      <c r="H104" s="62"/>
      <c r="I104" s="14"/>
      <c r="J104" s="8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AA104" s="14"/>
      <c r="AB104" s="14"/>
      <c r="AC104" s="14"/>
      <c r="AD104" s="14"/>
    </row>
    <row r="105" ht="15.75" customHeight="1">
      <c r="A105" s="14"/>
      <c r="B105" s="48"/>
      <c r="C105" s="48"/>
      <c r="D105" s="62"/>
      <c r="E105" s="62"/>
      <c r="F105" s="62"/>
      <c r="G105" s="62"/>
      <c r="H105" s="62"/>
      <c r="I105" s="14"/>
      <c r="J105" s="6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AA105" s="14"/>
      <c r="AB105" s="14"/>
      <c r="AC105" s="14"/>
      <c r="AD105" s="14"/>
    </row>
    <row r="106" ht="15.75" customHeight="1">
      <c r="A106" s="14"/>
      <c r="B106" s="48"/>
      <c r="C106" s="48"/>
      <c r="D106" s="62"/>
      <c r="E106" s="62"/>
      <c r="F106" s="62"/>
      <c r="G106" s="62"/>
      <c r="H106" s="62"/>
      <c r="I106" s="14"/>
      <c r="J106" s="85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AA106" s="14"/>
      <c r="AB106" s="14"/>
      <c r="AC106" s="14"/>
      <c r="AD106" s="14"/>
    </row>
    <row r="107" ht="15.75" customHeight="1">
      <c r="A107" s="14"/>
      <c r="B107" s="79"/>
      <c r="C107" s="79"/>
      <c r="D107" s="86"/>
      <c r="E107" s="86"/>
      <c r="F107" s="86"/>
      <c r="G107" s="86"/>
      <c r="H107" s="86"/>
      <c r="I107" s="14"/>
      <c r="J107" s="6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AA107" s="14"/>
      <c r="AB107" s="14"/>
      <c r="AC107" s="14"/>
      <c r="AD107" s="14"/>
    </row>
    <row r="108" ht="15.75" customHeight="1">
      <c r="A108" s="14"/>
      <c r="B108" s="48"/>
      <c r="C108" s="48"/>
      <c r="D108" s="86"/>
      <c r="E108" s="86"/>
      <c r="F108" s="86"/>
      <c r="G108" s="86"/>
      <c r="H108" s="86"/>
      <c r="I108" s="14"/>
      <c r="J108" s="6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AA108" s="14"/>
      <c r="AB108" s="14"/>
      <c r="AC108" s="14"/>
      <c r="AD108" s="14"/>
    </row>
    <row r="109" ht="15.75" customHeight="1">
      <c r="A109" s="14"/>
      <c r="B109" s="48"/>
      <c r="C109" s="48"/>
      <c r="D109" s="86"/>
      <c r="E109" s="86"/>
      <c r="F109" s="86"/>
      <c r="G109" s="86"/>
      <c r="H109" s="86"/>
      <c r="I109" s="14"/>
      <c r="J109" s="6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AA109" s="14"/>
      <c r="AB109" s="14"/>
      <c r="AC109" s="14"/>
      <c r="AD109" s="14"/>
    </row>
    <row r="110" ht="15.75" customHeight="1">
      <c r="A110" s="14"/>
      <c r="B110" s="62"/>
      <c r="C110" s="62"/>
      <c r="D110" s="86"/>
      <c r="E110" s="86"/>
      <c r="F110" s="86"/>
      <c r="G110" s="86"/>
      <c r="H110" s="86"/>
      <c r="I110" s="14"/>
      <c r="J110" s="6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AA110" s="14"/>
      <c r="AB110" s="14"/>
      <c r="AC110" s="14"/>
      <c r="AD110" s="14"/>
    </row>
    <row r="111" ht="15.75" customHeight="1">
      <c r="A111" s="14"/>
      <c r="B111" s="81"/>
      <c r="C111" s="81"/>
      <c r="D111" s="86"/>
      <c r="E111" s="86"/>
      <c r="F111" s="86"/>
      <c r="G111" s="86"/>
      <c r="H111" s="86"/>
      <c r="I111" s="14"/>
      <c r="J111" s="6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AA111" s="14"/>
      <c r="AB111" s="14"/>
      <c r="AC111" s="14"/>
      <c r="AD111" s="14"/>
    </row>
    <row r="112" ht="15.75" customHeight="1">
      <c r="A112" s="14"/>
      <c r="B112" s="48"/>
      <c r="C112" s="48"/>
      <c r="D112" s="87"/>
      <c r="E112" s="87"/>
      <c r="F112" s="87"/>
      <c r="G112" s="87"/>
      <c r="H112" s="87">
        <f>SUM(H107:H110)-H110</f>
        <v>0</v>
      </c>
      <c r="I112" s="14"/>
      <c r="J112" s="48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AA112" s="14"/>
      <c r="AB112" s="14"/>
      <c r="AC112" s="14"/>
      <c r="AD112" s="14"/>
    </row>
    <row r="113" ht="15.75" customHeight="1">
      <c r="A113" s="14"/>
      <c r="B113" s="14"/>
      <c r="C113" s="14"/>
      <c r="D113" s="14"/>
      <c r="E113" s="72"/>
      <c r="F113" s="72"/>
      <c r="G113" s="72"/>
      <c r="H113" s="72">
        <f>H112*3</f>
        <v>0</v>
      </c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AA113" s="14"/>
      <c r="AB113" s="14"/>
      <c r="AC113" s="14"/>
      <c r="AD113" s="14"/>
    </row>
    <row r="114" ht="15.75" customHeight="1">
      <c r="A114" s="14"/>
      <c r="B114" s="14"/>
      <c r="C114" s="14"/>
      <c r="D114" s="7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AA114" s="14"/>
      <c r="AB114" s="14"/>
      <c r="AC114" s="14"/>
      <c r="AD114" s="14"/>
    </row>
    <row r="115" ht="15.75" customHeight="1">
      <c r="A115" s="14"/>
      <c r="B115" s="14"/>
      <c r="C115" s="14"/>
      <c r="D115" s="7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AA115" s="14"/>
      <c r="AB115" s="14"/>
      <c r="AC115" s="14"/>
      <c r="AD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AA116" s="14"/>
      <c r="AB116" s="14"/>
      <c r="AC116" s="14"/>
      <c r="AD116" s="14"/>
    </row>
    <row r="117" ht="15.75" customHeight="1">
      <c r="A117" s="14"/>
      <c r="B117" s="84"/>
      <c r="C117" s="84"/>
      <c r="D117" s="88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AA117" s="14"/>
      <c r="AB117" s="14"/>
      <c r="AC117" s="14"/>
      <c r="AD117" s="14"/>
    </row>
    <row r="118" ht="15.75" customHeight="1">
      <c r="A118" s="14"/>
      <c r="B118" s="84"/>
      <c r="C118" s="84"/>
      <c r="D118" s="88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AA118" s="14"/>
      <c r="AB118" s="14"/>
      <c r="AC118" s="14"/>
      <c r="AD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AA119" s="14"/>
      <c r="AB119" s="14"/>
      <c r="AC119" s="14"/>
      <c r="AD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AA120" s="14"/>
      <c r="AB120" s="14"/>
      <c r="AC120" s="14"/>
      <c r="AD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AA121" s="14"/>
      <c r="AB121" s="14"/>
      <c r="AC121" s="14"/>
      <c r="AD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AA122" s="14"/>
      <c r="AB122" s="14"/>
      <c r="AC122" s="14"/>
      <c r="AD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AA123" s="14"/>
      <c r="AB123" s="14"/>
      <c r="AC123" s="14"/>
      <c r="AD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AA124" s="14"/>
      <c r="AB124" s="14"/>
      <c r="AC124" s="14"/>
      <c r="AD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AA125" s="14"/>
      <c r="AB125" s="14"/>
      <c r="AC125" s="14"/>
      <c r="AD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AA126" s="14"/>
      <c r="AB126" s="14"/>
      <c r="AC126" s="14"/>
      <c r="AD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AA127" s="14"/>
      <c r="AB127" s="14"/>
      <c r="AC127" s="14"/>
      <c r="AD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AA128" s="14"/>
      <c r="AB128" s="14"/>
      <c r="AC128" s="14"/>
      <c r="AD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AA129" s="14"/>
      <c r="AB129" s="14"/>
      <c r="AC129" s="14"/>
      <c r="AD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AA130" s="14"/>
      <c r="AB130" s="14"/>
      <c r="AC130" s="14"/>
      <c r="AD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AA131" s="14"/>
      <c r="AB131" s="14"/>
      <c r="AC131" s="14"/>
      <c r="AD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AA132" s="14"/>
      <c r="AB132" s="14"/>
      <c r="AC132" s="14"/>
      <c r="AD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AA133" s="14"/>
      <c r="AB133" s="14"/>
      <c r="AC133" s="14"/>
      <c r="AD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AA134" s="14"/>
      <c r="AB134" s="14"/>
      <c r="AC134" s="14"/>
      <c r="AD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AA135" s="14"/>
      <c r="AB135" s="14"/>
      <c r="AC135" s="14"/>
      <c r="AD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AA136" s="14"/>
      <c r="AB136" s="14"/>
      <c r="AC136" s="14"/>
      <c r="AD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AA137" s="14"/>
      <c r="AB137" s="14"/>
      <c r="AC137" s="14"/>
      <c r="AD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AA138" s="14"/>
      <c r="AB138" s="14"/>
      <c r="AC138" s="14"/>
      <c r="AD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AA139" s="14"/>
      <c r="AB139" s="14"/>
      <c r="AC139" s="14"/>
      <c r="AD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AA140" s="14"/>
      <c r="AB140" s="14"/>
      <c r="AC140" s="14"/>
      <c r="AD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AA141" s="14"/>
      <c r="AB141" s="14"/>
      <c r="AC141" s="14"/>
      <c r="AD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AA142" s="14"/>
      <c r="AB142" s="14"/>
      <c r="AC142" s="14"/>
      <c r="AD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AA143" s="14"/>
      <c r="AB143" s="14"/>
      <c r="AC143" s="14"/>
      <c r="AD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AA144" s="14"/>
      <c r="AB144" s="14"/>
      <c r="AC144" s="14"/>
      <c r="AD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AA145" s="14"/>
      <c r="AB145" s="14"/>
      <c r="AC145" s="14"/>
      <c r="AD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AA146" s="14"/>
      <c r="AB146" s="14"/>
      <c r="AC146" s="14"/>
      <c r="AD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AA147" s="14"/>
      <c r="AB147" s="14"/>
      <c r="AC147" s="14"/>
      <c r="AD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AA148" s="14"/>
      <c r="AB148" s="14"/>
      <c r="AC148" s="14"/>
      <c r="AD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AA149" s="14"/>
      <c r="AB149" s="14"/>
      <c r="AC149" s="14"/>
      <c r="AD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AA150" s="14"/>
      <c r="AB150" s="14"/>
      <c r="AC150" s="14"/>
      <c r="AD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AA151" s="14"/>
      <c r="AB151" s="14"/>
      <c r="AC151" s="14"/>
      <c r="AD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AA152" s="14"/>
      <c r="AB152" s="14"/>
      <c r="AC152" s="14"/>
      <c r="AD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 ht="15.75" customHeight="1">
      <c r="F314" s="14"/>
      <c r="G314" s="14"/>
      <c r="L314" s="14"/>
    </row>
    <row r="315" ht="15.75" customHeight="1">
      <c r="F315" s="14"/>
      <c r="G315" s="14"/>
      <c r="L315" s="14"/>
    </row>
    <row r="316" ht="15.75" customHeight="1">
      <c r="F316" s="14"/>
      <c r="G316" s="14"/>
      <c r="L316" s="14"/>
    </row>
    <row r="317" ht="15.75" customHeight="1">
      <c r="F317" s="14"/>
      <c r="G317" s="14"/>
      <c r="L317" s="14"/>
    </row>
    <row r="318" ht="15.75" customHeight="1">
      <c r="F318" s="14"/>
      <c r="G318" s="14"/>
      <c r="L318" s="14"/>
    </row>
    <row r="319" ht="15.75" customHeight="1">
      <c r="F319" s="14"/>
      <c r="G319" s="14"/>
      <c r="L319" s="14"/>
    </row>
    <row r="320" ht="15.75" customHeight="1">
      <c r="F320" s="14"/>
      <c r="G320" s="14"/>
      <c r="L320" s="14"/>
    </row>
    <row r="321" ht="15.75" customHeight="1">
      <c r="F321" s="14"/>
      <c r="G321" s="14"/>
      <c r="L321" s="14"/>
    </row>
    <row r="322" ht="15.75" customHeight="1">
      <c r="F322" s="14"/>
      <c r="G322" s="14"/>
      <c r="L322" s="14"/>
    </row>
    <row r="323" ht="15.75" customHeight="1">
      <c r="F323" s="14"/>
      <c r="G323" s="14"/>
      <c r="L323" s="14"/>
    </row>
    <row r="324" ht="15.75" customHeight="1">
      <c r="F324" s="14"/>
      <c r="G324" s="14"/>
      <c r="L324" s="14"/>
    </row>
    <row r="325" ht="15.75" customHeight="1">
      <c r="F325" s="14"/>
      <c r="G325" s="14"/>
      <c r="L325" s="14"/>
    </row>
    <row r="326" ht="15.75" customHeight="1">
      <c r="F326" s="14"/>
      <c r="G326" s="14"/>
      <c r="L326" s="14"/>
    </row>
    <row r="327" ht="15.75" customHeight="1">
      <c r="F327" s="14"/>
      <c r="G327" s="14"/>
      <c r="L327" s="14"/>
    </row>
    <row r="328" ht="15.75" customHeight="1">
      <c r="F328" s="14"/>
      <c r="G328" s="14"/>
      <c r="L328" s="14"/>
    </row>
    <row r="329" ht="15.75" customHeight="1">
      <c r="F329" s="14"/>
      <c r="G329" s="14"/>
      <c r="L329" s="14"/>
    </row>
    <row r="330" ht="15.75" customHeight="1">
      <c r="F330" s="14"/>
      <c r="G330" s="14"/>
      <c r="L330" s="14"/>
    </row>
    <row r="331" ht="15.75" customHeight="1">
      <c r="F331" s="14"/>
      <c r="G331" s="14"/>
      <c r="L331" s="14"/>
    </row>
    <row r="332" ht="15.75" customHeight="1">
      <c r="F332" s="14"/>
      <c r="G332" s="14"/>
      <c r="L332" s="14"/>
    </row>
    <row r="333" ht="15.75" customHeight="1">
      <c r="F333" s="14"/>
      <c r="G333" s="14"/>
      <c r="L333" s="14"/>
    </row>
    <row r="334" ht="15.75" customHeight="1">
      <c r="F334" s="14"/>
      <c r="G334" s="14"/>
      <c r="L334" s="14"/>
    </row>
    <row r="335" ht="15.75" customHeight="1">
      <c r="F335" s="14"/>
      <c r="G335" s="14"/>
      <c r="L335" s="14"/>
    </row>
    <row r="336" ht="15.75" customHeight="1">
      <c r="F336" s="14"/>
      <c r="G336" s="14"/>
      <c r="L336" s="14"/>
    </row>
    <row r="337" ht="15.75" customHeight="1">
      <c r="F337" s="14"/>
      <c r="G337" s="14"/>
      <c r="L337" s="14"/>
    </row>
    <row r="338" ht="15.75" customHeight="1">
      <c r="F338" s="14"/>
      <c r="G338" s="14"/>
      <c r="L338" s="14"/>
    </row>
    <row r="339" ht="15.75" customHeight="1">
      <c r="F339" s="14"/>
      <c r="G339" s="14"/>
      <c r="L339" s="14"/>
    </row>
    <row r="340" ht="15.75" customHeight="1">
      <c r="F340" s="14"/>
      <c r="G340" s="14"/>
      <c r="L340" s="14"/>
    </row>
    <row r="341" ht="15.75" customHeight="1">
      <c r="F341" s="14"/>
      <c r="G341" s="14"/>
      <c r="L341" s="14"/>
    </row>
    <row r="342" ht="15.75" customHeight="1">
      <c r="F342" s="14"/>
      <c r="G342" s="14"/>
      <c r="L342" s="14"/>
    </row>
    <row r="343" ht="15.75" customHeight="1">
      <c r="F343" s="14"/>
      <c r="G343" s="14"/>
      <c r="L343" s="14"/>
    </row>
    <row r="344" ht="15.75" customHeight="1">
      <c r="F344" s="14"/>
      <c r="G344" s="14"/>
      <c r="L344" s="14"/>
    </row>
    <row r="345" ht="15.75" customHeight="1">
      <c r="F345" s="14"/>
      <c r="G345" s="14"/>
      <c r="L345" s="14"/>
    </row>
    <row r="346" ht="15.75" customHeight="1">
      <c r="F346" s="14"/>
      <c r="G346" s="14"/>
      <c r="L346" s="14"/>
    </row>
    <row r="347" ht="15.75" customHeight="1">
      <c r="F347" s="14"/>
      <c r="G347" s="14"/>
      <c r="L347" s="14"/>
    </row>
    <row r="348" ht="15.75" customHeight="1">
      <c r="F348" s="14"/>
      <c r="G348" s="14"/>
      <c r="L348" s="14"/>
    </row>
    <row r="349" ht="15.75" customHeight="1">
      <c r="F349" s="14"/>
      <c r="G349" s="14"/>
      <c r="L349" s="14"/>
    </row>
    <row r="350" ht="15.75" customHeight="1">
      <c r="F350" s="14"/>
      <c r="G350" s="14"/>
      <c r="L350" s="14"/>
    </row>
    <row r="351" ht="15.75" customHeight="1">
      <c r="F351" s="14"/>
      <c r="G351" s="14"/>
      <c r="L351" s="14"/>
    </row>
    <row r="352" ht="15.75" customHeight="1">
      <c r="F352" s="14"/>
      <c r="G352" s="14"/>
      <c r="L352" s="14"/>
    </row>
    <row r="353" ht="15.75" customHeight="1">
      <c r="F353" s="14"/>
      <c r="G353" s="14"/>
      <c r="L353" s="14"/>
    </row>
    <row r="354" ht="15.75" customHeight="1">
      <c r="F354" s="14"/>
      <c r="G354" s="14"/>
      <c r="L354" s="14"/>
    </row>
    <row r="355" ht="15.75" customHeight="1">
      <c r="F355" s="14"/>
      <c r="G355" s="14"/>
      <c r="L355" s="14"/>
    </row>
    <row r="356" ht="15.75" customHeight="1">
      <c r="F356" s="14"/>
      <c r="G356" s="14"/>
      <c r="L356" s="14"/>
    </row>
    <row r="357" ht="15.75" customHeight="1">
      <c r="F357" s="14"/>
      <c r="G357" s="14"/>
      <c r="L357" s="14"/>
    </row>
    <row r="358" ht="15.75" customHeight="1">
      <c r="F358" s="14"/>
      <c r="G358" s="14"/>
      <c r="L358" s="14"/>
    </row>
    <row r="359" ht="15.75" customHeight="1">
      <c r="F359" s="14"/>
      <c r="G359" s="14"/>
      <c r="L359" s="14"/>
    </row>
    <row r="360" ht="15.75" customHeight="1">
      <c r="F360" s="14"/>
      <c r="G360" s="14"/>
      <c r="L360" s="14"/>
    </row>
    <row r="361" ht="15.75" customHeight="1">
      <c r="F361" s="14"/>
      <c r="G361" s="14"/>
      <c r="L361" s="14"/>
    </row>
    <row r="362" ht="15.75" customHeight="1">
      <c r="F362" s="14"/>
      <c r="G362" s="14"/>
      <c r="L362" s="14"/>
    </row>
    <row r="363" ht="15.75" customHeight="1">
      <c r="F363" s="14"/>
      <c r="G363" s="14"/>
      <c r="L363" s="14"/>
    </row>
    <row r="364" ht="15.75" customHeight="1">
      <c r="F364" s="14"/>
      <c r="G364" s="14"/>
      <c r="L364" s="14"/>
    </row>
    <row r="365" ht="15.75" customHeight="1">
      <c r="F365" s="14"/>
      <c r="G365" s="14"/>
      <c r="L365" s="14"/>
    </row>
    <row r="366" ht="15.75" customHeight="1">
      <c r="F366" s="14"/>
      <c r="G366" s="14"/>
      <c r="L366" s="14"/>
    </row>
    <row r="367" ht="15.75" customHeight="1">
      <c r="F367" s="14"/>
      <c r="G367" s="14"/>
      <c r="L367" s="14"/>
    </row>
    <row r="368" ht="15.75" customHeight="1">
      <c r="F368" s="14"/>
      <c r="G368" s="14"/>
      <c r="L368" s="14"/>
    </row>
    <row r="369" ht="15.75" customHeight="1">
      <c r="F369" s="14"/>
      <c r="G369" s="14"/>
      <c r="L369" s="14"/>
    </row>
    <row r="370" ht="15.75" customHeight="1">
      <c r="F370" s="14"/>
      <c r="G370" s="14"/>
      <c r="L370" s="14"/>
    </row>
    <row r="371" ht="15.75" customHeight="1">
      <c r="F371" s="14"/>
      <c r="G371" s="14"/>
      <c r="L371" s="14"/>
    </row>
    <row r="372" ht="15.75" customHeight="1">
      <c r="F372" s="14"/>
      <c r="G372" s="14"/>
      <c r="L372" s="14"/>
    </row>
    <row r="373" ht="15.75" customHeight="1">
      <c r="F373" s="14"/>
      <c r="G373" s="14"/>
      <c r="L373" s="14"/>
    </row>
    <row r="374" ht="15.75" customHeight="1">
      <c r="F374" s="14"/>
      <c r="G374" s="14"/>
      <c r="L374" s="14"/>
    </row>
    <row r="375" ht="15.75" customHeight="1">
      <c r="F375" s="14"/>
      <c r="G375" s="14"/>
      <c r="L375" s="14"/>
    </row>
    <row r="376" ht="15.75" customHeight="1">
      <c r="F376" s="14"/>
      <c r="G376" s="14"/>
      <c r="L376" s="14"/>
    </row>
    <row r="377" ht="15.75" customHeight="1">
      <c r="F377" s="14"/>
      <c r="G377" s="14"/>
      <c r="L377" s="14"/>
    </row>
    <row r="378" ht="15.75" customHeight="1">
      <c r="F378" s="14"/>
      <c r="G378" s="14"/>
      <c r="L378" s="14"/>
    </row>
    <row r="379" ht="15.75" customHeight="1">
      <c r="F379" s="14"/>
      <c r="G379" s="14"/>
      <c r="L379" s="14"/>
    </row>
    <row r="380" ht="15.75" customHeight="1">
      <c r="F380" s="14"/>
      <c r="G380" s="14"/>
      <c r="L380" s="14"/>
    </row>
    <row r="381" ht="15.75" customHeight="1">
      <c r="F381" s="14"/>
      <c r="G381" s="14"/>
      <c r="L381" s="14"/>
    </row>
    <row r="382" ht="15.75" customHeight="1">
      <c r="F382" s="14"/>
      <c r="G382" s="14"/>
      <c r="L382" s="14"/>
    </row>
    <row r="383" ht="15.75" customHeight="1">
      <c r="F383" s="14"/>
      <c r="G383" s="14"/>
      <c r="L383" s="14"/>
    </row>
    <row r="384" ht="15.75" customHeight="1">
      <c r="F384" s="14"/>
      <c r="G384" s="14"/>
      <c r="L384" s="14"/>
    </row>
    <row r="385" ht="15.75" customHeight="1">
      <c r="F385" s="14"/>
      <c r="G385" s="14"/>
      <c r="L385" s="14"/>
    </row>
    <row r="386" ht="15.75" customHeight="1">
      <c r="F386" s="14"/>
      <c r="G386" s="14"/>
      <c r="L386" s="14"/>
    </row>
    <row r="387" ht="15.75" customHeight="1">
      <c r="F387" s="14"/>
      <c r="G387" s="14"/>
      <c r="L387" s="14"/>
    </row>
    <row r="388" ht="15.75" customHeight="1">
      <c r="F388" s="14"/>
      <c r="G388" s="14"/>
      <c r="L388" s="14"/>
    </row>
    <row r="389" ht="15.75" customHeight="1">
      <c r="F389" s="14"/>
      <c r="G389" s="14"/>
      <c r="L389" s="14"/>
    </row>
    <row r="390" ht="15.75" customHeight="1">
      <c r="F390" s="14"/>
      <c r="G390" s="14"/>
      <c r="L390" s="14"/>
    </row>
    <row r="391" ht="15.75" customHeight="1">
      <c r="F391" s="14"/>
      <c r="G391" s="14"/>
      <c r="L391" s="14"/>
    </row>
    <row r="392" ht="15.75" customHeight="1">
      <c r="F392" s="14"/>
      <c r="G392" s="14"/>
      <c r="L392" s="14"/>
    </row>
    <row r="393" ht="15.75" customHeight="1">
      <c r="F393" s="14"/>
      <c r="G393" s="14"/>
      <c r="L393" s="14"/>
    </row>
    <row r="394" ht="15.75" customHeight="1">
      <c r="F394" s="14"/>
      <c r="G394" s="14"/>
      <c r="L394" s="14"/>
    </row>
    <row r="395" ht="15.75" customHeight="1">
      <c r="F395" s="14"/>
      <c r="G395" s="14"/>
      <c r="L395" s="14"/>
    </row>
    <row r="396" ht="15.75" customHeight="1">
      <c r="F396" s="14"/>
      <c r="G396" s="14"/>
      <c r="L396" s="14"/>
    </row>
    <row r="397" ht="15.75" customHeight="1">
      <c r="F397" s="14"/>
      <c r="G397" s="14"/>
      <c r="L397" s="14"/>
    </row>
    <row r="398" ht="15.75" customHeight="1">
      <c r="F398" s="14"/>
      <c r="G398" s="14"/>
      <c r="L398" s="14"/>
    </row>
    <row r="399" ht="15.75" customHeight="1">
      <c r="F399" s="14"/>
      <c r="G399" s="14"/>
      <c r="L399" s="14"/>
    </row>
    <row r="400" ht="15.75" customHeight="1">
      <c r="F400" s="14"/>
      <c r="G400" s="14"/>
      <c r="L400" s="14"/>
    </row>
    <row r="401" ht="15.75" customHeight="1">
      <c r="F401" s="14"/>
      <c r="G401" s="14"/>
      <c r="L401" s="14"/>
    </row>
    <row r="402" ht="15.75" customHeight="1">
      <c r="F402" s="14"/>
      <c r="G402" s="14"/>
      <c r="L402" s="14"/>
    </row>
    <row r="403" ht="15.75" customHeight="1">
      <c r="F403" s="14"/>
      <c r="G403" s="14"/>
      <c r="L403" s="14"/>
    </row>
    <row r="404" ht="15.75" customHeight="1">
      <c r="F404" s="14"/>
      <c r="G404" s="14"/>
      <c r="L404" s="14"/>
    </row>
    <row r="405" ht="15.75" customHeight="1">
      <c r="F405" s="14"/>
      <c r="G405" s="14"/>
      <c r="L405" s="14"/>
    </row>
    <row r="406" ht="15.75" customHeight="1">
      <c r="F406" s="14"/>
      <c r="G406" s="14"/>
      <c r="L406" s="14"/>
    </row>
    <row r="407" ht="15.75" customHeight="1">
      <c r="F407" s="14"/>
      <c r="G407" s="14"/>
      <c r="L407" s="14"/>
    </row>
    <row r="408" ht="15.75" customHeight="1">
      <c r="F408" s="14"/>
      <c r="G408" s="14"/>
      <c r="L408" s="14"/>
    </row>
    <row r="409" ht="15.75" customHeight="1">
      <c r="F409" s="14"/>
      <c r="G409" s="14"/>
      <c r="L409" s="14"/>
    </row>
    <row r="410" ht="15.75" customHeight="1">
      <c r="F410" s="14"/>
      <c r="G410" s="14"/>
      <c r="L410" s="14"/>
    </row>
    <row r="411" ht="15.75" customHeight="1">
      <c r="F411" s="14"/>
      <c r="G411" s="14"/>
      <c r="L411" s="14"/>
    </row>
    <row r="412" ht="15.75" customHeight="1">
      <c r="F412" s="14"/>
      <c r="G412" s="14"/>
      <c r="L412" s="14"/>
    </row>
    <row r="413" ht="15.75" customHeight="1">
      <c r="F413" s="14"/>
      <c r="G413" s="14"/>
      <c r="L413" s="14"/>
    </row>
    <row r="414" ht="15.75" customHeight="1">
      <c r="F414" s="14"/>
      <c r="G414" s="14"/>
      <c r="L414" s="14"/>
    </row>
    <row r="415" ht="15.75" customHeight="1">
      <c r="F415" s="14"/>
      <c r="G415" s="14"/>
      <c r="L415" s="14"/>
    </row>
    <row r="416" ht="15.75" customHeight="1">
      <c r="F416" s="14"/>
      <c r="G416" s="14"/>
      <c r="L416" s="14"/>
    </row>
    <row r="417" ht="15.75" customHeight="1">
      <c r="F417" s="14"/>
      <c r="G417" s="14"/>
      <c r="L417" s="14"/>
    </row>
    <row r="418" ht="15.75" customHeight="1">
      <c r="F418" s="14"/>
      <c r="G418" s="14"/>
      <c r="L418" s="14"/>
    </row>
    <row r="419" ht="15.75" customHeight="1">
      <c r="F419" s="14"/>
      <c r="G419" s="14"/>
      <c r="L419" s="14"/>
    </row>
    <row r="420" ht="15.75" customHeight="1">
      <c r="F420" s="14"/>
      <c r="G420" s="14"/>
      <c r="L420" s="14"/>
    </row>
    <row r="421" ht="15.75" customHeight="1">
      <c r="F421" s="14"/>
      <c r="G421" s="14"/>
      <c r="L421" s="14"/>
    </row>
    <row r="422" ht="15.75" customHeight="1">
      <c r="F422" s="14"/>
      <c r="G422" s="14"/>
      <c r="L422" s="14"/>
    </row>
    <row r="423" ht="15.75" customHeight="1">
      <c r="F423" s="14"/>
      <c r="G423" s="14"/>
      <c r="L423" s="14"/>
    </row>
    <row r="424" ht="15.75" customHeight="1">
      <c r="F424" s="14"/>
      <c r="G424" s="14"/>
      <c r="L424" s="14"/>
    </row>
    <row r="425" ht="15.75" customHeight="1">
      <c r="F425" s="14"/>
      <c r="G425" s="14"/>
      <c r="L425" s="14"/>
    </row>
    <row r="426" ht="15.75" customHeight="1">
      <c r="F426" s="14"/>
      <c r="G426" s="14"/>
      <c r="L426" s="14"/>
    </row>
    <row r="427" ht="15.75" customHeight="1">
      <c r="F427" s="14"/>
      <c r="G427" s="14"/>
      <c r="L427" s="14"/>
    </row>
    <row r="428" ht="15.75" customHeight="1">
      <c r="F428" s="14"/>
      <c r="G428" s="14"/>
      <c r="L428" s="14"/>
    </row>
    <row r="429" ht="15.75" customHeight="1">
      <c r="F429" s="14"/>
      <c r="G429" s="14"/>
      <c r="L429" s="14"/>
    </row>
    <row r="430" ht="15.75" customHeight="1">
      <c r="F430" s="14"/>
      <c r="G430" s="14"/>
      <c r="L430" s="14"/>
    </row>
    <row r="431" ht="15.75" customHeight="1">
      <c r="F431" s="14"/>
      <c r="G431" s="14"/>
      <c r="L431" s="14"/>
    </row>
    <row r="432" ht="15.75" customHeight="1">
      <c r="F432" s="14"/>
      <c r="G432" s="14"/>
      <c r="L432" s="14"/>
    </row>
    <row r="433" ht="15.75" customHeight="1">
      <c r="F433" s="14"/>
      <c r="G433" s="14"/>
      <c r="L433" s="14"/>
    </row>
    <row r="434" ht="15.75" customHeight="1">
      <c r="F434" s="14"/>
      <c r="G434" s="14"/>
      <c r="L434" s="14"/>
    </row>
    <row r="435" ht="15.75" customHeight="1">
      <c r="F435" s="14"/>
      <c r="G435" s="14"/>
      <c r="L435" s="14"/>
    </row>
    <row r="436" ht="15.75" customHeight="1">
      <c r="F436" s="14"/>
      <c r="G436" s="14"/>
      <c r="L436" s="14"/>
    </row>
    <row r="437" ht="15.75" customHeight="1">
      <c r="F437" s="14"/>
      <c r="G437" s="14"/>
      <c r="L437" s="14"/>
    </row>
    <row r="438" ht="15.75" customHeight="1">
      <c r="F438" s="14"/>
      <c r="G438" s="14"/>
      <c r="L438" s="14"/>
    </row>
    <row r="439" ht="15.75" customHeight="1">
      <c r="F439" s="14"/>
      <c r="G439" s="14"/>
      <c r="L439" s="14"/>
    </row>
    <row r="440" ht="15.75" customHeight="1">
      <c r="F440" s="14"/>
      <c r="G440" s="14"/>
      <c r="L440" s="14"/>
    </row>
    <row r="441" ht="15.75" customHeight="1">
      <c r="F441" s="14"/>
      <c r="G441" s="14"/>
      <c r="L441" s="14"/>
    </row>
    <row r="442" ht="15.75" customHeight="1">
      <c r="F442" s="14"/>
      <c r="G442" s="14"/>
      <c r="L442" s="14"/>
    </row>
    <row r="443" ht="15.75" customHeight="1">
      <c r="F443" s="14"/>
      <c r="G443" s="14"/>
      <c r="L443" s="14"/>
    </row>
    <row r="444" ht="15.75" customHeight="1">
      <c r="F444" s="14"/>
      <c r="G444" s="14"/>
      <c r="L444" s="14"/>
    </row>
    <row r="445" ht="15.75" customHeight="1">
      <c r="F445" s="14"/>
      <c r="G445" s="14"/>
      <c r="L445" s="14"/>
    </row>
    <row r="446" ht="15.75" customHeight="1">
      <c r="F446" s="14"/>
      <c r="G446" s="14"/>
      <c r="L446" s="14"/>
    </row>
    <row r="447" ht="15.75" customHeight="1">
      <c r="F447" s="14"/>
      <c r="G447" s="14"/>
      <c r="L447" s="14"/>
    </row>
    <row r="448" ht="15.75" customHeight="1">
      <c r="F448" s="14"/>
      <c r="G448" s="14"/>
      <c r="L448" s="14"/>
    </row>
    <row r="449" ht="15.75" customHeight="1">
      <c r="F449" s="14"/>
      <c r="G449" s="14"/>
      <c r="L449" s="14"/>
    </row>
    <row r="450" ht="15.75" customHeight="1">
      <c r="F450" s="14"/>
      <c r="G450" s="14"/>
      <c r="L450" s="14"/>
    </row>
    <row r="451" ht="15.75" customHeight="1">
      <c r="F451" s="14"/>
      <c r="G451" s="14"/>
      <c r="L451" s="14"/>
    </row>
    <row r="452" ht="15.75" customHeight="1">
      <c r="F452" s="14"/>
      <c r="G452" s="14"/>
      <c r="L452" s="14"/>
    </row>
    <row r="453" ht="15.75" customHeight="1">
      <c r="F453" s="14"/>
      <c r="G453" s="14"/>
      <c r="L453" s="14"/>
    </row>
    <row r="454" ht="15.75" customHeight="1">
      <c r="F454" s="14"/>
      <c r="G454" s="14"/>
      <c r="L454" s="14"/>
    </row>
    <row r="455" ht="15.75" customHeight="1">
      <c r="F455" s="14"/>
      <c r="G455" s="14"/>
      <c r="L455" s="14"/>
    </row>
    <row r="456" ht="15.75" customHeight="1">
      <c r="F456" s="14"/>
      <c r="G456" s="14"/>
      <c r="L456" s="14"/>
    </row>
    <row r="457" ht="15.75" customHeight="1">
      <c r="F457" s="14"/>
      <c r="G457" s="14"/>
      <c r="L457" s="14"/>
    </row>
    <row r="458" ht="15.75" customHeight="1">
      <c r="F458" s="14"/>
      <c r="G458" s="14"/>
      <c r="L458" s="14"/>
    </row>
    <row r="459" ht="15.75" customHeight="1">
      <c r="F459" s="14"/>
      <c r="G459" s="14"/>
      <c r="L459" s="14"/>
    </row>
    <row r="460" ht="15.75" customHeight="1">
      <c r="F460" s="14"/>
      <c r="G460" s="14"/>
      <c r="L460" s="14"/>
    </row>
    <row r="461" ht="15.75" customHeight="1">
      <c r="F461" s="14"/>
      <c r="G461" s="14"/>
      <c r="L461" s="14"/>
    </row>
    <row r="462" ht="15.75" customHeight="1">
      <c r="F462" s="14"/>
      <c r="G462" s="14"/>
      <c r="L462" s="14"/>
    </row>
    <row r="463" ht="15.75" customHeight="1">
      <c r="F463" s="14"/>
      <c r="G463" s="14"/>
      <c r="L463" s="14"/>
    </row>
    <row r="464" ht="15.75" customHeight="1">
      <c r="F464" s="14"/>
      <c r="G464" s="14"/>
      <c r="L464" s="14"/>
    </row>
    <row r="465" ht="15.75" customHeight="1">
      <c r="F465" s="14"/>
      <c r="G465" s="14"/>
      <c r="L465" s="14"/>
    </row>
    <row r="466" ht="15.75" customHeight="1">
      <c r="F466" s="14"/>
      <c r="G466" s="14"/>
      <c r="L466" s="14"/>
    </row>
    <row r="467" ht="15.75" customHeight="1">
      <c r="F467" s="14"/>
      <c r="G467" s="14"/>
      <c r="L467" s="14"/>
    </row>
    <row r="468" ht="15.75" customHeight="1">
      <c r="F468" s="14"/>
      <c r="G468" s="14"/>
      <c r="L468" s="14"/>
    </row>
    <row r="469" ht="15.75" customHeight="1">
      <c r="F469" s="14"/>
      <c r="G469" s="14"/>
      <c r="L469" s="14"/>
    </row>
    <row r="470" ht="15.75" customHeight="1">
      <c r="F470" s="14"/>
      <c r="G470" s="14"/>
      <c r="L470" s="14"/>
    </row>
    <row r="471" ht="15.75" customHeight="1">
      <c r="F471" s="14"/>
      <c r="G471" s="14"/>
      <c r="L471" s="14"/>
    </row>
    <row r="472" ht="15.75" customHeight="1">
      <c r="F472" s="14"/>
      <c r="G472" s="14"/>
      <c r="L472" s="14"/>
    </row>
    <row r="473" ht="15.75" customHeight="1">
      <c r="F473" s="14"/>
      <c r="G473" s="14"/>
      <c r="L473" s="14"/>
    </row>
    <row r="474" ht="15.75" customHeight="1">
      <c r="F474" s="14"/>
      <c r="G474" s="14"/>
      <c r="L474" s="14"/>
    </row>
    <row r="475" ht="15.75" customHeight="1">
      <c r="F475" s="14"/>
      <c r="G475" s="14"/>
      <c r="L475" s="14"/>
    </row>
    <row r="476" ht="15.75" customHeight="1">
      <c r="F476" s="14"/>
      <c r="G476" s="14"/>
      <c r="L476" s="14"/>
    </row>
    <row r="477" ht="15.75" customHeight="1">
      <c r="F477" s="14"/>
      <c r="G477" s="14"/>
      <c r="L477" s="14"/>
    </row>
    <row r="478" ht="15.75" customHeight="1">
      <c r="F478" s="14"/>
      <c r="G478" s="14"/>
      <c r="L478" s="14"/>
    </row>
    <row r="479" ht="15.75" customHeight="1">
      <c r="F479" s="14"/>
      <c r="G479" s="14"/>
      <c r="L479" s="14"/>
    </row>
    <row r="480" ht="15.75" customHeight="1">
      <c r="F480" s="14"/>
      <c r="G480" s="14"/>
      <c r="L480" s="14"/>
    </row>
    <row r="481" ht="15.75" customHeight="1">
      <c r="F481" s="14"/>
      <c r="G481" s="14"/>
      <c r="L481" s="14"/>
    </row>
    <row r="482" ht="15.75" customHeight="1">
      <c r="F482" s="14"/>
      <c r="G482" s="14"/>
      <c r="L482" s="14"/>
    </row>
    <row r="483" ht="15.75" customHeight="1">
      <c r="F483" s="14"/>
      <c r="G483" s="14"/>
      <c r="L483" s="14"/>
    </row>
    <row r="484" ht="15.75" customHeight="1">
      <c r="F484" s="14"/>
      <c r="G484" s="14"/>
      <c r="L484" s="14"/>
    </row>
    <row r="485" ht="15.75" customHeight="1">
      <c r="F485" s="14"/>
      <c r="G485" s="14"/>
      <c r="L485" s="14"/>
    </row>
    <row r="486" ht="15.75" customHeight="1">
      <c r="F486" s="14"/>
      <c r="G486" s="14"/>
      <c r="L486" s="14"/>
    </row>
    <row r="487" ht="15.75" customHeight="1">
      <c r="F487" s="14"/>
      <c r="G487" s="14"/>
      <c r="L487" s="14"/>
    </row>
    <row r="488" ht="15.75" customHeight="1">
      <c r="F488" s="14"/>
      <c r="G488" s="14"/>
      <c r="L488" s="14"/>
    </row>
    <row r="489" ht="15.75" customHeight="1">
      <c r="F489" s="14"/>
      <c r="G489" s="14"/>
      <c r="L489" s="14"/>
    </row>
    <row r="490" ht="15.75" customHeight="1">
      <c r="F490" s="14"/>
      <c r="G490" s="14"/>
      <c r="L490" s="14"/>
    </row>
    <row r="491" ht="15.75" customHeight="1">
      <c r="F491" s="14"/>
      <c r="G491" s="14"/>
      <c r="L491" s="14"/>
    </row>
    <row r="492" ht="15.75" customHeight="1">
      <c r="F492" s="14"/>
      <c r="G492" s="14"/>
      <c r="L492" s="14"/>
    </row>
    <row r="493" ht="15.75" customHeight="1">
      <c r="F493" s="14"/>
      <c r="G493" s="14"/>
      <c r="L493" s="14"/>
    </row>
    <row r="494" ht="15.75" customHeight="1">
      <c r="F494" s="14"/>
      <c r="G494" s="14"/>
      <c r="L494" s="14"/>
    </row>
    <row r="495" ht="15.75" customHeight="1">
      <c r="F495" s="14"/>
      <c r="G495" s="14"/>
      <c r="L495" s="14"/>
    </row>
    <row r="496" ht="15.75" customHeight="1">
      <c r="F496" s="14"/>
      <c r="G496" s="14"/>
      <c r="L496" s="14"/>
    </row>
    <row r="497" ht="15.75" customHeight="1">
      <c r="F497" s="14"/>
      <c r="G497" s="14"/>
      <c r="L497" s="14"/>
    </row>
    <row r="498" ht="15.75" customHeight="1">
      <c r="F498" s="14"/>
      <c r="G498" s="14"/>
      <c r="L498" s="14"/>
    </row>
    <row r="499" ht="15.75" customHeight="1">
      <c r="F499" s="14"/>
      <c r="G499" s="14"/>
      <c r="L499" s="14"/>
    </row>
    <row r="500" ht="15.75" customHeight="1">
      <c r="F500" s="14"/>
      <c r="G500" s="14"/>
      <c r="L500" s="14"/>
    </row>
    <row r="501" ht="15.75" customHeight="1">
      <c r="F501" s="14"/>
      <c r="G501" s="14"/>
      <c r="L501" s="14"/>
    </row>
    <row r="502" ht="15.75" customHeight="1">
      <c r="F502" s="14"/>
      <c r="G502" s="14"/>
      <c r="L502" s="14"/>
    </row>
    <row r="503" ht="15.75" customHeight="1">
      <c r="F503" s="14"/>
      <c r="G503" s="14"/>
      <c r="L503" s="14"/>
    </row>
    <row r="504" ht="15.75" customHeight="1">
      <c r="F504" s="14"/>
      <c r="G504" s="14"/>
      <c r="L504" s="14"/>
    </row>
    <row r="505" ht="15.75" customHeight="1">
      <c r="F505" s="14"/>
      <c r="G505" s="14"/>
      <c r="L505" s="14"/>
    </row>
    <row r="506" ht="15.75" customHeight="1">
      <c r="F506" s="14"/>
      <c r="G506" s="14"/>
      <c r="L506" s="14"/>
    </row>
    <row r="507" ht="15.75" customHeight="1">
      <c r="F507" s="14"/>
      <c r="G507" s="14"/>
      <c r="L507" s="14"/>
    </row>
    <row r="508" ht="15.75" customHeight="1">
      <c r="F508" s="14"/>
      <c r="G508" s="14"/>
      <c r="L508" s="14"/>
    </row>
    <row r="509" ht="15.75" customHeight="1">
      <c r="F509" s="14"/>
      <c r="G509" s="14"/>
      <c r="L509" s="14"/>
    </row>
    <row r="510" ht="15.75" customHeight="1">
      <c r="F510" s="14"/>
      <c r="G510" s="14"/>
      <c r="L510" s="14"/>
    </row>
    <row r="511" ht="15.75" customHeight="1">
      <c r="F511" s="14"/>
      <c r="G511" s="14"/>
      <c r="L511" s="14"/>
    </row>
    <row r="512" ht="15.75" customHeight="1">
      <c r="F512" s="14"/>
      <c r="G512" s="14"/>
      <c r="L512" s="14"/>
    </row>
    <row r="513" ht="15.75" customHeight="1">
      <c r="F513" s="14"/>
      <c r="G513" s="14"/>
      <c r="L513" s="14"/>
    </row>
    <row r="514" ht="15.75" customHeight="1">
      <c r="F514" s="14"/>
      <c r="G514" s="14"/>
      <c r="L514" s="14"/>
    </row>
    <row r="515" ht="15.75" customHeight="1">
      <c r="F515" s="14"/>
      <c r="G515" s="14"/>
      <c r="L515" s="14"/>
    </row>
    <row r="516" ht="15.75" customHeight="1">
      <c r="F516" s="14"/>
      <c r="G516" s="14"/>
      <c r="L516" s="14"/>
    </row>
    <row r="517" ht="15.75" customHeight="1">
      <c r="F517" s="14"/>
      <c r="G517" s="14"/>
      <c r="L517" s="14"/>
    </row>
    <row r="518" ht="15.75" customHeight="1">
      <c r="F518" s="14"/>
      <c r="G518" s="14"/>
      <c r="L518" s="14"/>
    </row>
    <row r="519" ht="15.75" customHeight="1">
      <c r="F519" s="14"/>
      <c r="G519" s="14"/>
      <c r="L519" s="14"/>
    </row>
    <row r="520" ht="15.75" customHeight="1">
      <c r="F520" s="14"/>
      <c r="G520" s="14"/>
      <c r="L520" s="14"/>
    </row>
    <row r="521" ht="15.75" customHeight="1">
      <c r="F521" s="14"/>
      <c r="G521" s="14"/>
      <c r="L521" s="14"/>
    </row>
    <row r="522" ht="15.75" customHeight="1">
      <c r="F522" s="14"/>
      <c r="G522" s="14"/>
      <c r="L522" s="14"/>
    </row>
    <row r="523" ht="15.75" customHeight="1">
      <c r="F523" s="14"/>
      <c r="G523" s="14"/>
      <c r="L523" s="14"/>
    </row>
    <row r="524" ht="15.75" customHeight="1">
      <c r="F524" s="14"/>
      <c r="G524" s="14"/>
      <c r="L524" s="14"/>
    </row>
    <row r="525" ht="15.75" customHeight="1">
      <c r="F525" s="14"/>
      <c r="G525" s="14"/>
      <c r="L525" s="14"/>
    </row>
    <row r="526" ht="15.75" customHeight="1">
      <c r="F526" s="14"/>
      <c r="G526" s="14"/>
      <c r="L526" s="14"/>
    </row>
    <row r="527" ht="15.75" customHeight="1">
      <c r="F527" s="14"/>
      <c r="G527" s="14"/>
      <c r="L527" s="14"/>
    </row>
    <row r="528" ht="15.75" customHeight="1">
      <c r="F528" s="14"/>
      <c r="G528" s="14"/>
      <c r="L528" s="14"/>
    </row>
    <row r="529" ht="15.75" customHeight="1">
      <c r="F529" s="14"/>
      <c r="G529" s="14"/>
      <c r="L529" s="14"/>
    </row>
    <row r="530" ht="15.75" customHeight="1">
      <c r="F530" s="14"/>
      <c r="G530" s="14"/>
      <c r="L530" s="14"/>
    </row>
    <row r="531" ht="15.75" customHeight="1">
      <c r="F531" s="14"/>
      <c r="G531" s="14"/>
      <c r="L531" s="14"/>
    </row>
    <row r="532" ht="15.75" customHeight="1">
      <c r="F532" s="14"/>
      <c r="G532" s="14"/>
      <c r="L532" s="14"/>
    </row>
    <row r="533" ht="15.75" customHeight="1">
      <c r="F533" s="14"/>
      <c r="G533" s="14"/>
      <c r="L533" s="14"/>
    </row>
    <row r="534" ht="15.75" customHeight="1">
      <c r="F534" s="14"/>
      <c r="G534" s="14"/>
      <c r="L534" s="14"/>
    </row>
    <row r="535" ht="15.75" customHeight="1">
      <c r="F535" s="14"/>
      <c r="G535" s="14"/>
      <c r="L535" s="14"/>
    </row>
    <row r="536" ht="15.75" customHeight="1">
      <c r="F536" s="14"/>
      <c r="G536" s="14"/>
      <c r="L536" s="14"/>
    </row>
    <row r="537" ht="15.75" customHeight="1">
      <c r="F537" s="14"/>
      <c r="G537" s="14"/>
      <c r="L537" s="14"/>
    </row>
    <row r="538" ht="15.75" customHeight="1">
      <c r="F538" s="14"/>
      <c r="G538" s="14"/>
      <c r="L538" s="14"/>
    </row>
    <row r="539" ht="15.75" customHeight="1">
      <c r="F539" s="14"/>
      <c r="G539" s="14"/>
      <c r="L539" s="14"/>
    </row>
    <row r="540" ht="15.75" customHeight="1">
      <c r="F540" s="14"/>
      <c r="G540" s="14"/>
      <c r="L540" s="14"/>
    </row>
    <row r="541" ht="15.75" customHeight="1">
      <c r="F541" s="14"/>
      <c r="G541" s="14"/>
      <c r="L541" s="14"/>
    </row>
    <row r="542" ht="15.75" customHeight="1">
      <c r="F542" s="14"/>
      <c r="G542" s="14"/>
      <c r="L542" s="14"/>
    </row>
    <row r="543" ht="15.75" customHeight="1">
      <c r="F543" s="14"/>
      <c r="G543" s="14"/>
      <c r="L543" s="14"/>
    </row>
    <row r="544" ht="15.75" customHeight="1">
      <c r="F544" s="14"/>
      <c r="G544" s="14"/>
      <c r="L544" s="14"/>
    </row>
    <row r="545" ht="15.75" customHeight="1">
      <c r="F545" s="14"/>
      <c r="G545" s="14"/>
      <c r="L545" s="14"/>
    </row>
    <row r="546" ht="15.75" customHeight="1">
      <c r="F546" s="14"/>
      <c r="G546" s="14"/>
      <c r="L546" s="14"/>
    </row>
    <row r="547" ht="15.75" customHeight="1">
      <c r="F547" s="14"/>
      <c r="G547" s="14"/>
      <c r="L547" s="14"/>
    </row>
    <row r="548" ht="15.75" customHeight="1">
      <c r="F548" s="14"/>
      <c r="G548" s="14"/>
      <c r="L548" s="14"/>
    </row>
    <row r="549" ht="15.75" customHeight="1">
      <c r="F549" s="14"/>
      <c r="G549" s="14"/>
      <c r="L549" s="14"/>
    </row>
    <row r="550" ht="15.75" customHeight="1">
      <c r="F550" s="14"/>
      <c r="G550" s="14"/>
      <c r="L550" s="14"/>
    </row>
    <row r="551" ht="15.75" customHeight="1">
      <c r="F551" s="14"/>
      <c r="G551" s="14"/>
      <c r="L551" s="14"/>
    </row>
    <row r="552" ht="15.75" customHeight="1">
      <c r="F552" s="14"/>
      <c r="G552" s="14"/>
      <c r="L552" s="14"/>
    </row>
    <row r="553" ht="15.75" customHeight="1">
      <c r="F553" s="14"/>
      <c r="G553" s="14"/>
      <c r="L553" s="14"/>
    </row>
    <row r="554" ht="15.75" customHeight="1">
      <c r="F554" s="14"/>
      <c r="G554" s="14"/>
      <c r="L554" s="14"/>
    </row>
    <row r="555" ht="15.75" customHeight="1">
      <c r="F555" s="14"/>
      <c r="G555" s="14"/>
      <c r="L555" s="14"/>
    </row>
    <row r="556" ht="15.75" customHeight="1">
      <c r="F556" s="14"/>
      <c r="G556" s="14"/>
      <c r="L556" s="14"/>
    </row>
    <row r="557" ht="15.75" customHeight="1">
      <c r="F557" s="14"/>
      <c r="G557" s="14"/>
      <c r="L557" s="14"/>
    </row>
    <row r="558" ht="15.75" customHeight="1">
      <c r="F558" s="14"/>
      <c r="G558" s="14"/>
      <c r="L558" s="14"/>
    </row>
    <row r="559" ht="15.75" customHeight="1">
      <c r="F559" s="14"/>
      <c r="G559" s="14"/>
      <c r="L559" s="14"/>
    </row>
    <row r="560" ht="15.75" customHeight="1">
      <c r="F560" s="14"/>
      <c r="G560" s="14"/>
      <c r="L560" s="14"/>
    </row>
    <row r="561" ht="15.75" customHeight="1">
      <c r="F561" s="14"/>
      <c r="G561" s="14"/>
      <c r="L561" s="14"/>
    </row>
    <row r="562" ht="15.75" customHeight="1">
      <c r="F562" s="14"/>
      <c r="G562" s="14"/>
      <c r="L562" s="14"/>
    </row>
    <row r="563" ht="15.75" customHeight="1">
      <c r="F563" s="14"/>
      <c r="G563" s="14"/>
      <c r="L563" s="14"/>
    </row>
    <row r="564" ht="15.75" customHeight="1">
      <c r="F564" s="14"/>
      <c r="G564" s="14"/>
      <c r="L564" s="14"/>
    </row>
    <row r="565" ht="15.75" customHeight="1">
      <c r="F565" s="14"/>
      <c r="G565" s="14"/>
      <c r="L565" s="14"/>
    </row>
    <row r="566" ht="15.75" customHeight="1">
      <c r="F566" s="14"/>
      <c r="G566" s="14"/>
      <c r="L566" s="14"/>
    </row>
    <row r="567" ht="15.75" customHeight="1">
      <c r="F567" s="14"/>
      <c r="G567" s="14"/>
      <c r="L567" s="14"/>
    </row>
    <row r="568" ht="15.75" customHeight="1">
      <c r="F568" s="14"/>
      <c r="G568" s="14"/>
      <c r="L568" s="14"/>
    </row>
    <row r="569" ht="15.75" customHeight="1">
      <c r="F569" s="14"/>
      <c r="G569" s="14"/>
      <c r="L569" s="14"/>
    </row>
    <row r="570" ht="15.75" customHeight="1">
      <c r="F570" s="14"/>
      <c r="G570" s="14"/>
      <c r="L570" s="14"/>
    </row>
    <row r="571" ht="15.75" customHeight="1">
      <c r="F571" s="14"/>
      <c r="G571" s="14"/>
      <c r="L571" s="14"/>
    </row>
    <row r="572" ht="15.75" customHeight="1">
      <c r="F572" s="14"/>
      <c r="G572" s="14"/>
      <c r="L572" s="14"/>
    </row>
    <row r="573" ht="15.75" customHeight="1">
      <c r="F573" s="14"/>
      <c r="G573" s="14"/>
      <c r="L573" s="14"/>
    </row>
    <row r="574" ht="15.75" customHeight="1">
      <c r="F574" s="14"/>
      <c r="G574" s="14"/>
      <c r="L574" s="14"/>
    </row>
    <row r="575" ht="15.75" customHeight="1">
      <c r="F575" s="14"/>
      <c r="G575" s="14"/>
      <c r="L575" s="14"/>
    </row>
    <row r="576" ht="15.75" customHeight="1">
      <c r="F576" s="14"/>
      <c r="G576" s="14"/>
      <c r="L576" s="14"/>
    </row>
    <row r="577" ht="15.75" customHeight="1">
      <c r="F577" s="14"/>
      <c r="G577" s="14"/>
      <c r="L577" s="14"/>
    </row>
    <row r="578" ht="15.75" customHeight="1">
      <c r="F578" s="14"/>
      <c r="G578" s="14"/>
      <c r="L578" s="14"/>
    </row>
    <row r="579" ht="15.75" customHeight="1">
      <c r="F579" s="14"/>
      <c r="G579" s="14"/>
      <c r="L579" s="14"/>
    </row>
    <row r="580" ht="15.75" customHeight="1">
      <c r="F580" s="14"/>
      <c r="G580" s="14"/>
      <c r="L580" s="14"/>
    </row>
    <row r="581" ht="15.75" customHeight="1">
      <c r="F581" s="14"/>
      <c r="G581" s="14"/>
      <c r="L581" s="14"/>
    </row>
    <row r="582" ht="15.75" customHeight="1">
      <c r="F582" s="14"/>
      <c r="G582" s="14"/>
      <c r="L582" s="14"/>
    </row>
    <row r="583" ht="15.75" customHeight="1">
      <c r="F583" s="14"/>
      <c r="G583" s="14"/>
      <c r="L583" s="14"/>
    </row>
    <row r="584" ht="15.75" customHeight="1">
      <c r="F584" s="14"/>
      <c r="G584" s="14"/>
      <c r="L584" s="14"/>
    </row>
    <row r="585" ht="15.75" customHeight="1">
      <c r="F585" s="14"/>
      <c r="G585" s="14"/>
      <c r="L585" s="14"/>
    </row>
    <row r="586" ht="15.75" customHeight="1">
      <c r="F586" s="14"/>
      <c r="G586" s="14"/>
      <c r="L586" s="14"/>
    </row>
    <row r="587" ht="15.75" customHeight="1">
      <c r="F587" s="14"/>
      <c r="G587" s="14"/>
      <c r="L587" s="14"/>
    </row>
    <row r="588" ht="15.75" customHeight="1">
      <c r="F588" s="14"/>
      <c r="G588" s="14"/>
      <c r="L588" s="14"/>
    </row>
    <row r="589" ht="15.75" customHeight="1">
      <c r="F589" s="14"/>
      <c r="G589" s="14"/>
      <c r="L589" s="14"/>
    </row>
    <row r="590" ht="15.75" customHeight="1">
      <c r="F590" s="14"/>
      <c r="G590" s="14"/>
      <c r="L590" s="14"/>
    </row>
    <row r="591" ht="15.75" customHeight="1">
      <c r="F591" s="14"/>
      <c r="G591" s="14"/>
      <c r="L591" s="14"/>
    </row>
    <row r="592" ht="15.75" customHeight="1">
      <c r="F592" s="14"/>
      <c r="G592" s="14"/>
      <c r="L592" s="14"/>
    </row>
    <row r="593" ht="15.75" customHeight="1">
      <c r="F593" s="14"/>
      <c r="G593" s="14"/>
      <c r="L593" s="14"/>
    </row>
    <row r="594" ht="15.75" customHeight="1">
      <c r="F594" s="14"/>
      <c r="G594" s="14"/>
      <c r="L594" s="14"/>
    </row>
    <row r="595" ht="15.75" customHeight="1">
      <c r="F595" s="14"/>
      <c r="G595" s="14"/>
      <c r="L595" s="14"/>
    </row>
    <row r="596" ht="15.75" customHeight="1">
      <c r="F596" s="14"/>
      <c r="G596" s="14"/>
      <c r="L596" s="14"/>
    </row>
    <row r="597" ht="15.75" customHeight="1">
      <c r="F597" s="14"/>
      <c r="G597" s="14"/>
      <c r="L597" s="14"/>
    </row>
    <row r="598" ht="15.75" customHeight="1">
      <c r="F598" s="14"/>
      <c r="G598" s="14"/>
      <c r="L598" s="14"/>
    </row>
    <row r="599" ht="15.75" customHeight="1">
      <c r="F599" s="14"/>
      <c r="G599" s="14"/>
      <c r="L599" s="14"/>
    </row>
    <row r="600" ht="15.75" customHeight="1">
      <c r="F600" s="14"/>
      <c r="G600" s="14"/>
      <c r="L600" s="14"/>
    </row>
    <row r="601" ht="15.75" customHeight="1">
      <c r="F601" s="14"/>
      <c r="G601" s="14"/>
      <c r="L601" s="14"/>
    </row>
    <row r="602" ht="15.75" customHeight="1">
      <c r="F602" s="14"/>
      <c r="G602" s="14"/>
      <c r="L602" s="14"/>
    </row>
    <row r="603" ht="15.75" customHeight="1">
      <c r="F603" s="14"/>
      <c r="G603" s="14"/>
      <c r="L603" s="14"/>
    </row>
    <row r="604" ht="15.75" customHeight="1">
      <c r="F604" s="14"/>
      <c r="G604" s="14"/>
      <c r="L604" s="14"/>
    </row>
    <row r="605" ht="15.75" customHeight="1">
      <c r="F605" s="14"/>
      <c r="G605" s="14"/>
      <c r="L605" s="14"/>
    </row>
    <row r="606" ht="15.75" customHeight="1">
      <c r="F606" s="14"/>
      <c r="G606" s="14"/>
      <c r="L606" s="14"/>
    </row>
    <row r="607" ht="15.75" customHeight="1">
      <c r="F607" s="14"/>
      <c r="G607" s="14"/>
      <c r="L607" s="14"/>
    </row>
    <row r="608" ht="15.75" customHeight="1">
      <c r="F608" s="14"/>
      <c r="G608" s="14"/>
      <c r="L608" s="14"/>
    </row>
    <row r="609" ht="15.75" customHeight="1">
      <c r="F609" s="14"/>
      <c r="G609" s="14"/>
      <c r="L609" s="14"/>
    </row>
    <row r="610" ht="15.75" customHeight="1">
      <c r="F610" s="14"/>
      <c r="G610" s="14"/>
      <c r="L610" s="14"/>
    </row>
    <row r="611" ht="15.75" customHeight="1">
      <c r="F611" s="14"/>
      <c r="G611" s="14"/>
      <c r="L611" s="14"/>
    </row>
    <row r="612" ht="15.75" customHeight="1">
      <c r="F612" s="14"/>
      <c r="G612" s="14"/>
      <c r="L612" s="14"/>
    </row>
    <row r="613" ht="15.75" customHeight="1">
      <c r="F613" s="14"/>
      <c r="G613" s="14"/>
      <c r="L613" s="14"/>
    </row>
    <row r="614" ht="15.75" customHeight="1">
      <c r="F614" s="14"/>
      <c r="G614" s="14"/>
      <c r="L614" s="14"/>
    </row>
    <row r="615" ht="15.75" customHeight="1">
      <c r="F615" s="14"/>
      <c r="G615" s="14"/>
      <c r="L615" s="14"/>
    </row>
    <row r="616" ht="15.75" customHeight="1">
      <c r="F616" s="14"/>
      <c r="G616" s="14"/>
      <c r="L616" s="14"/>
    </row>
    <row r="617" ht="15.75" customHeight="1">
      <c r="F617" s="14"/>
      <c r="G617" s="14"/>
      <c r="L617" s="14"/>
    </row>
    <row r="618" ht="15.75" customHeight="1">
      <c r="F618" s="14"/>
      <c r="G618" s="14"/>
      <c r="L618" s="14"/>
    </row>
    <row r="619" ht="15.75" customHeight="1">
      <c r="F619" s="14"/>
      <c r="G619" s="14"/>
      <c r="L619" s="14"/>
    </row>
    <row r="620" ht="15.75" customHeight="1">
      <c r="F620" s="14"/>
      <c r="G620" s="14"/>
      <c r="L620" s="14"/>
    </row>
    <row r="621" ht="15.75" customHeight="1">
      <c r="F621" s="14"/>
      <c r="G621" s="14"/>
      <c r="L621" s="14"/>
    </row>
    <row r="622" ht="15.75" customHeight="1">
      <c r="F622" s="14"/>
      <c r="G622" s="14"/>
      <c r="L622" s="14"/>
    </row>
    <row r="623" ht="15.75" customHeight="1">
      <c r="F623" s="14"/>
      <c r="G623" s="14"/>
      <c r="L623" s="14"/>
    </row>
    <row r="624" ht="15.75" customHeight="1">
      <c r="F624" s="14"/>
      <c r="G624" s="14"/>
      <c r="L624" s="14"/>
    </row>
    <row r="625" ht="15.75" customHeight="1">
      <c r="F625" s="14"/>
      <c r="G625" s="14"/>
      <c r="L625" s="14"/>
    </row>
    <row r="626" ht="15.75" customHeight="1">
      <c r="F626" s="14"/>
      <c r="G626" s="14"/>
      <c r="L626" s="14"/>
    </row>
    <row r="627" ht="15.75" customHeight="1">
      <c r="F627" s="14"/>
      <c r="G627" s="14"/>
      <c r="L627" s="14"/>
    </row>
    <row r="628" ht="15.75" customHeight="1">
      <c r="F628" s="14"/>
      <c r="G628" s="14"/>
      <c r="L628" s="14"/>
    </row>
    <row r="629" ht="15.75" customHeight="1">
      <c r="F629" s="14"/>
      <c r="G629" s="14"/>
      <c r="L629" s="14"/>
    </row>
    <row r="630" ht="15.75" customHeight="1">
      <c r="F630" s="14"/>
      <c r="G630" s="14"/>
      <c r="L630" s="14"/>
    </row>
    <row r="631" ht="15.75" customHeight="1">
      <c r="F631" s="14"/>
      <c r="G631" s="14"/>
      <c r="L631" s="14"/>
    </row>
    <row r="632" ht="15.75" customHeight="1">
      <c r="F632" s="14"/>
      <c r="G632" s="14"/>
      <c r="L632" s="14"/>
    </row>
    <row r="633" ht="15.75" customHeight="1">
      <c r="F633" s="14"/>
      <c r="G633" s="14"/>
      <c r="L633" s="14"/>
    </row>
    <row r="634" ht="15.75" customHeight="1">
      <c r="F634" s="14"/>
      <c r="G634" s="14"/>
      <c r="L634" s="14"/>
    </row>
    <row r="635" ht="15.75" customHeight="1">
      <c r="F635" s="14"/>
      <c r="G635" s="14"/>
      <c r="L635" s="14"/>
    </row>
    <row r="636" ht="15.75" customHeight="1">
      <c r="F636" s="14"/>
      <c r="G636" s="14"/>
      <c r="L636" s="14"/>
    </row>
    <row r="637" ht="15.75" customHeight="1">
      <c r="F637" s="14"/>
      <c r="G637" s="14"/>
      <c r="L637" s="14"/>
    </row>
    <row r="638" ht="15.75" customHeight="1">
      <c r="F638" s="14"/>
      <c r="G638" s="14"/>
      <c r="L638" s="14"/>
    </row>
    <row r="639" ht="15.75" customHeight="1">
      <c r="F639" s="14"/>
      <c r="G639" s="14"/>
      <c r="L639" s="14"/>
    </row>
    <row r="640" ht="15.75" customHeight="1">
      <c r="F640" s="14"/>
      <c r="G640" s="14"/>
      <c r="L640" s="14"/>
    </row>
    <row r="641" ht="15.75" customHeight="1">
      <c r="F641" s="14"/>
      <c r="G641" s="14"/>
      <c r="L641" s="14"/>
    </row>
    <row r="642" ht="15.75" customHeight="1">
      <c r="F642" s="14"/>
      <c r="G642" s="14"/>
      <c r="L642" s="14"/>
    </row>
    <row r="643" ht="15.75" customHeight="1">
      <c r="F643" s="14"/>
      <c r="G643" s="14"/>
      <c r="L643" s="14"/>
    </row>
    <row r="644" ht="15.75" customHeight="1">
      <c r="F644" s="14"/>
      <c r="G644" s="14"/>
      <c r="L644" s="14"/>
    </row>
    <row r="645" ht="15.75" customHeight="1">
      <c r="F645" s="14"/>
      <c r="G645" s="14"/>
      <c r="L645" s="14"/>
    </row>
    <row r="646" ht="15.75" customHeight="1">
      <c r="F646" s="14"/>
      <c r="G646" s="14"/>
      <c r="L646" s="14"/>
    </row>
    <row r="647" ht="15.75" customHeight="1">
      <c r="F647" s="14"/>
      <c r="G647" s="14"/>
      <c r="L647" s="14"/>
    </row>
    <row r="648" ht="15.75" customHeight="1">
      <c r="F648" s="14"/>
      <c r="G648" s="14"/>
      <c r="L648" s="14"/>
    </row>
    <row r="649" ht="15.75" customHeight="1">
      <c r="F649" s="14"/>
      <c r="G649" s="14"/>
      <c r="L649" s="14"/>
    </row>
    <row r="650" ht="15.75" customHeight="1">
      <c r="F650" s="14"/>
      <c r="G650" s="14"/>
      <c r="L650" s="14"/>
    </row>
    <row r="651" ht="15.75" customHeight="1">
      <c r="F651" s="14"/>
      <c r="G651" s="14"/>
      <c r="L651" s="14"/>
    </row>
    <row r="652" ht="15.75" customHeight="1">
      <c r="F652" s="14"/>
      <c r="G652" s="14"/>
      <c r="L652" s="14"/>
    </row>
    <row r="653" ht="15.75" customHeight="1">
      <c r="F653" s="14"/>
      <c r="G653" s="14"/>
      <c r="L653" s="14"/>
    </row>
    <row r="654" ht="15.75" customHeight="1">
      <c r="F654" s="14"/>
      <c r="G654" s="14"/>
      <c r="L654" s="14"/>
    </row>
    <row r="655" ht="15.75" customHeight="1">
      <c r="F655" s="14"/>
      <c r="G655" s="14"/>
      <c r="L655" s="14"/>
    </row>
    <row r="656" ht="15.75" customHeight="1">
      <c r="F656" s="14"/>
      <c r="G656" s="14"/>
      <c r="L656" s="14"/>
    </row>
    <row r="657" ht="15.75" customHeight="1">
      <c r="F657" s="14"/>
      <c r="G657" s="14"/>
      <c r="L657" s="14"/>
    </row>
    <row r="658" ht="15.75" customHeight="1">
      <c r="F658" s="14"/>
      <c r="G658" s="14"/>
      <c r="L658" s="14"/>
    </row>
    <row r="659" ht="15.75" customHeight="1">
      <c r="F659" s="14"/>
      <c r="G659" s="14"/>
      <c r="L659" s="14"/>
    </row>
    <row r="660" ht="15.75" customHeight="1">
      <c r="F660" s="14"/>
      <c r="G660" s="14"/>
      <c r="L660" s="14"/>
    </row>
    <row r="661" ht="15.75" customHeight="1">
      <c r="F661" s="14"/>
      <c r="G661" s="14"/>
      <c r="L661" s="14"/>
    </row>
    <row r="662" ht="15.75" customHeight="1">
      <c r="F662" s="14"/>
      <c r="G662" s="14"/>
      <c r="L662" s="14"/>
    </row>
    <row r="663" ht="15.75" customHeight="1">
      <c r="F663" s="14"/>
      <c r="G663" s="14"/>
      <c r="L663" s="14"/>
    </row>
    <row r="664" ht="15.75" customHeight="1">
      <c r="F664" s="14"/>
      <c r="G664" s="14"/>
      <c r="L664" s="14"/>
    </row>
    <row r="665" ht="15.75" customHeight="1">
      <c r="F665" s="14"/>
      <c r="G665" s="14"/>
      <c r="L665" s="14"/>
    </row>
    <row r="666" ht="15.75" customHeight="1">
      <c r="F666" s="14"/>
      <c r="G666" s="14"/>
      <c r="L666" s="14"/>
    </row>
    <row r="667" ht="15.75" customHeight="1">
      <c r="F667" s="14"/>
      <c r="G667" s="14"/>
      <c r="L667" s="14"/>
    </row>
    <row r="668" ht="15.75" customHeight="1">
      <c r="F668" s="14"/>
      <c r="G668" s="14"/>
      <c r="L668" s="14"/>
    </row>
    <row r="669" ht="15.75" customHeight="1">
      <c r="F669" s="14"/>
      <c r="G669" s="14"/>
      <c r="L669" s="14"/>
    </row>
    <row r="670" ht="15.75" customHeight="1">
      <c r="F670" s="14"/>
      <c r="G670" s="14"/>
      <c r="L670" s="14"/>
    </row>
    <row r="671" ht="15.75" customHeight="1">
      <c r="F671" s="14"/>
      <c r="G671" s="14"/>
      <c r="L671" s="14"/>
    </row>
    <row r="672" ht="15.75" customHeight="1">
      <c r="F672" s="14"/>
      <c r="G672" s="14"/>
      <c r="L672" s="14"/>
    </row>
    <row r="673" ht="15.75" customHeight="1">
      <c r="F673" s="14"/>
      <c r="G673" s="14"/>
      <c r="L673" s="14"/>
    </row>
    <row r="674" ht="15.75" customHeight="1">
      <c r="F674" s="14"/>
      <c r="G674" s="14"/>
      <c r="L674" s="14"/>
    </row>
    <row r="675" ht="15.75" customHeight="1">
      <c r="F675" s="14"/>
      <c r="G675" s="14"/>
      <c r="L675" s="14"/>
    </row>
    <row r="676" ht="15.75" customHeight="1">
      <c r="F676" s="14"/>
      <c r="G676" s="14"/>
      <c r="L676" s="14"/>
    </row>
    <row r="677" ht="15.75" customHeight="1">
      <c r="F677" s="14"/>
      <c r="G677" s="14"/>
      <c r="L677" s="14"/>
    </row>
    <row r="678" ht="15.75" customHeight="1">
      <c r="F678" s="14"/>
      <c r="G678" s="14"/>
      <c r="L678" s="14"/>
    </row>
    <row r="679" ht="15.75" customHeight="1">
      <c r="F679" s="14"/>
      <c r="G679" s="14"/>
      <c r="L679" s="14"/>
    </row>
    <row r="680" ht="15.75" customHeight="1">
      <c r="F680" s="14"/>
      <c r="G680" s="14"/>
      <c r="L680" s="14"/>
    </row>
    <row r="681" ht="15.75" customHeight="1">
      <c r="F681" s="14"/>
      <c r="G681" s="14"/>
      <c r="L681" s="14"/>
    </row>
    <row r="682" ht="15.75" customHeight="1">
      <c r="F682" s="14"/>
      <c r="G682" s="14"/>
      <c r="L682" s="14"/>
    </row>
    <row r="683" ht="15.75" customHeight="1">
      <c r="F683" s="14"/>
      <c r="G683" s="14"/>
      <c r="L683" s="14"/>
    </row>
    <row r="684" ht="15.75" customHeight="1">
      <c r="F684" s="14"/>
      <c r="G684" s="14"/>
      <c r="L684" s="14"/>
    </row>
    <row r="685" ht="15.75" customHeight="1">
      <c r="F685" s="14"/>
      <c r="G685" s="14"/>
      <c r="L685" s="14"/>
    </row>
    <row r="686" ht="15.75" customHeight="1">
      <c r="F686" s="14"/>
      <c r="G686" s="14"/>
      <c r="L686" s="14"/>
    </row>
    <row r="687" ht="15.75" customHeight="1">
      <c r="F687" s="14"/>
      <c r="G687" s="14"/>
      <c r="L687" s="14"/>
    </row>
    <row r="688" ht="15.75" customHeight="1">
      <c r="F688" s="14"/>
      <c r="G688" s="14"/>
      <c r="L688" s="14"/>
    </row>
    <row r="689" ht="15.75" customHeight="1">
      <c r="F689" s="14"/>
      <c r="G689" s="14"/>
      <c r="L689" s="14"/>
    </row>
    <row r="690" ht="15.75" customHeight="1">
      <c r="F690" s="14"/>
      <c r="G690" s="14"/>
      <c r="L690" s="14"/>
    </row>
    <row r="691" ht="15.75" customHeight="1">
      <c r="F691" s="14"/>
      <c r="G691" s="14"/>
      <c r="L691" s="14"/>
    </row>
    <row r="692" ht="15.75" customHeight="1">
      <c r="F692" s="14"/>
      <c r="G692" s="14"/>
      <c r="L692" s="14"/>
    </row>
    <row r="693" ht="15.75" customHeight="1">
      <c r="F693" s="14"/>
      <c r="G693" s="14"/>
      <c r="L693" s="14"/>
    </row>
    <row r="694" ht="15.75" customHeight="1">
      <c r="F694" s="14"/>
      <c r="G694" s="14"/>
      <c r="L694" s="14"/>
    </row>
    <row r="695" ht="15.75" customHeight="1">
      <c r="F695" s="14"/>
      <c r="G695" s="14"/>
      <c r="L695" s="14"/>
    </row>
    <row r="696" ht="15.75" customHeight="1">
      <c r="F696" s="14"/>
      <c r="G696" s="14"/>
      <c r="L696" s="14"/>
    </row>
    <row r="697" ht="15.75" customHeight="1">
      <c r="F697" s="14"/>
      <c r="G697" s="14"/>
      <c r="L697" s="14"/>
    </row>
    <row r="698" ht="15.75" customHeight="1">
      <c r="F698" s="14"/>
      <c r="G698" s="14"/>
      <c r="L698" s="14"/>
    </row>
    <row r="699" ht="15.75" customHeight="1">
      <c r="F699" s="14"/>
      <c r="G699" s="14"/>
      <c r="L699" s="14"/>
    </row>
    <row r="700" ht="15.75" customHeight="1">
      <c r="F700" s="14"/>
      <c r="G700" s="14"/>
      <c r="L700" s="14"/>
    </row>
    <row r="701" ht="15.75" customHeight="1">
      <c r="F701" s="14"/>
      <c r="G701" s="14"/>
      <c r="L701" s="14"/>
    </row>
    <row r="702" ht="15.75" customHeight="1">
      <c r="F702" s="14"/>
      <c r="G702" s="14"/>
      <c r="L702" s="14"/>
    </row>
    <row r="703" ht="15.75" customHeight="1">
      <c r="F703" s="14"/>
      <c r="G703" s="14"/>
      <c r="L703" s="14"/>
    </row>
    <row r="704" ht="15.75" customHeight="1">
      <c r="F704" s="14"/>
      <c r="G704" s="14"/>
      <c r="L704" s="14"/>
    </row>
    <row r="705" ht="15.75" customHeight="1">
      <c r="F705" s="14"/>
      <c r="G705" s="14"/>
      <c r="L705" s="14"/>
    </row>
    <row r="706" ht="15.75" customHeight="1">
      <c r="F706" s="14"/>
      <c r="G706" s="14"/>
      <c r="L706" s="14"/>
    </row>
    <row r="707" ht="15.75" customHeight="1">
      <c r="F707" s="14"/>
      <c r="G707" s="14"/>
      <c r="L707" s="14"/>
    </row>
    <row r="708" ht="15.75" customHeight="1">
      <c r="F708" s="14"/>
      <c r="G708" s="14"/>
      <c r="L708" s="14"/>
    </row>
    <row r="709" ht="15.75" customHeight="1">
      <c r="F709" s="14"/>
      <c r="G709" s="14"/>
      <c r="L709" s="14"/>
    </row>
    <row r="710" ht="15.75" customHeight="1">
      <c r="F710" s="14"/>
      <c r="G710" s="14"/>
      <c r="L710" s="14"/>
    </row>
    <row r="711" ht="15.75" customHeight="1">
      <c r="F711" s="14"/>
      <c r="G711" s="14"/>
      <c r="L711" s="14"/>
    </row>
    <row r="712" ht="15.75" customHeight="1">
      <c r="F712" s="14"/>
      <c r="G712" s="14"/>
      <c r="L712" s="14"/>
    </row>
    <row r="713" ht="15.75" customHeight="1">
      <c r="F713" s="14"/>
      <c r="G713" s="14"/>
      <c r="L713" s="14"/>
    </row>
    <row r="714" ht="15.75" customHeight="1">
      <c r="F714" s="14"/>
      <c r="G714" s="14"/>
      <c r="L714" s="14"/>
    </row>
    <row r="715" ht="15.75" customHeight="1">
      <c r="F715" s="14"/>
      <c r="G715" s="14"/>
      <c r="L715" s="14"/>
    </row>
    <row r="716" ht="15.75" customHeight="1">
      <c r="F716" s="14"/>
      <c r="G716" s="14"/>
      <c r="L716" s="14"/>
    </row>
    <row r="717" ht="15.75" customHeight="1">
      <c r="F717" s="14"/>
      <c r="G717" s="14"/>
      <c r="L717" s="14"/>
    </row>
    <row r="718" ht="15.75" customHeight="1">
      <c r="F718" s="14"/>
      <c r="G718" s="14"/>
      <c r="L718" s="14"/>
    </row>
    <row r="719" ht="15.75" customHeight="1">
      <c r="F719" s="14"/>
      <c r="G719" s="14"/>
      <c r="L719" s="14"/>
    </row>
    <row r="720" ht="15.75" customHeight="1">
      <c r="F720" s="14"/>
      <c r="G720" s="14"/>
      <c r="L720" s="14"/>
    </row>
    <row r="721" ht="15.75" customHeight="1">
      <c r="F721" s="14"/>
      <c r="G721" s="14"/>
      <c r="L721" s="14"/>
    </row>
    <row r="722" ht="15.75" customHeight="1">
      <c r="F722" s="14"/>
      <c r="G722" s="14"/>
      <c r="L722" s="14"/>
    </row>
    <row r="723" ht="15.75" customHeight="1">
      <c r="F723" s="14"/>
      <c r="G723" s="14"/>
      <c r="L723" s="14"/>
    </row>
    <row r="724" ht="15.75" customHeight="1">
      <c r="F724" s="14"/>
      <c r="G724" s="14"/>
      <c r="L724" s="14"/>
    </row>
    <row r="725" ht="15.75" customHeight="1">
      <c r="F725" s="14"/>
      <c r="G725" s="14"/>
      <c r="L725" s="14"/>
    </row>
    <row r="726" ht="15.75" customHeight="1">
      <c r="F726" s="14"/>
      <c r="G726" s="14"/>
      <c r="L726" s="14"/>
    </row>
    <row r="727" ht="15.75" customHeight="1">
      <c r="F727" s="14"/>
      <c r="G727" s="14"/>
      <c r="L727" s="14"/>
    </row>
    <row r="728" ht="15.75" customHeight="1">
      <c r="F728" s="14"/>
      <c r="G728" s="14"/>
      <c r="L728" s="14"/>
    </row>
    <row r="729" ht="15.75" customHeight="1">
      <c r="F729" s="14"/>
      <c r="G729" s="14"/>
      <c r="L729" s="14"/>
    </row>
    <row r="730" ht="15.75" customHeight="1">
      <c r="F730" s="14"/>
      <c r="G730" s="14"/>
      <c r="L730" s="14"/>
    </row>
    <row r="731" ht="15.75" customHeight="1">
      <c r="F731" s="14"/>
      <c r="G731" s="14"/>
      <c r="L731" s="14"/>
    </row>
    <row r="732" ht="15.75" customHeight="1">
      <c r="F732" s="14"/>
      <c r="G732" s="14"/>
      <c r="L732" s="14"/>
    </row>
    <row r="733" ht="15.75" customHeight="1">
      <c r="F733" s="14"/>
      <c r="G733" s="14"/>
      <c r="L733" s="14"/>
    </row>
    <row r="734" ht="15.75" customHeight="1">
      <c r="F734" s="14"/>
      <c r="G734" s="14"/>
      <c r="L734" s="14"/>
    </row>
    <row r="735" ht="15.75" customHeight="1">
      <c r="F735" s="14"/>
      <c r="G735" s="14"/>
      <c r="L735" s="14"/>
    </row>
    <row r="736" ht="15.75" customHeight="1">
      <c r="F736" s="14"/>
      <c r="G736" s="14"/>
      <c r="L736" s="14"/>
    </row>
    <row r="737" ht="15.75" customHeight="1">
      <c r="F737" s="14"/>
      <c r="G737" s="14"/>
      <c r="L737" s="14"/>
    </row>
    <row r="738" ht="15.75" customHeight="1">
      <c r="F738" s="14"/>
      <c r="G738" s="14"/>
      <c r="L738" s="14"/>
    </row>
    <row r="739" ht="15.75" customHeight="1">
      <c r="F739" s="14"/>
      <c r="G739" s="14"/>
      <c r="L739" s="14"/>
    </row>
    <row r="740" ht="15.75" customHeight="1">
      <c r="F740" s="14"/>
      <c r="G740" s="14"/>
      <c r="L740" s="14"/>
    </row>
    <row r="741" ht="15.75" customHeight="1">
      <c r="F741" s="14"/>
      <c r="G741" s="14"/>
      <c r="L741" s="14"/>
    </row>
    <row r="742" ht="15.75" customHeight="1">
      <c r="F742" s="14"/>
      <c r="G742" s="14"/>
      <c r="L742" s="14"/>
    </row>
    <row r="743" ht="15.75" customHeight="1">
      <c r="F743" s="14"/>
      <c r="G743" s="14"/>
      <c r="L743" s="14"/>
    </row>
    <row r="744" ht="15.75" customHeight="1">
      <c r="F744" s="14"/>
      <c r="G744" s="14"/>
      <c r="L744" s="14"/>
    </row>
    <row r="745" ht="15.75" customHeight="1">
      <c r="F745" s="14"/>
      <c r="G745" s="14"/>
      <c r="L745" s="14"/>
    </row>
    <row r="746" ht="15.75" customHeight="1">
      <c r="F746" s="14"/>
      <c r="G746" s="14"/>
      <c r="L746" s="14"/>
    </row>
    <row r="747" ht="15.75" customHeight="1">
      <c r="F747" s="14"/>
      <c r="G747" s="14"/>
      <c r="L747" s="14"/>
    </row>
    <row r="748" ht="15.75" customHeight="1">
      <c r="F748" s="14"/>
      <c r="G748" s="14"/>
      <c r="L748" s="14"/>
    </row>
    <row r="749" ht="15.75" customHeight="1">
      <c r="F749" s="14"/>
      <c r="G749" s="14"/>
      <c r="L749" s="14"/>
    </row>
    <row r="750" ht="15.75" customHeight="1">
      <c r="F750" s="14"/>
      <c r="G750" s="14"/>
      <c r="L750" s="14"/>
    </row>
    <row r="751" ht="15.75" customHeight="1">
      <c r="F751" s="14"/>
      <c r="G751" s="14"/>
      <c r="L751" s="14"/>
    </row>
    <row r="752" ht="15.75" customHeight="1">
      <c r="F752" s="14"/>
      <c r="G752" s="14"/>
      <c r="L752" s="14"/>
    </row>
    <row r="753" ht="15.75" customHeight="1">
      <c r="F753" s="14"/>
      <c r="G753" s="14"/>
      <c r="L753" s="14"/>
    </row>
    <row r="754" ht="15.75" customHeight="1">
      <c r="F754" s="14"/>
      <c r="G754" s="14"/>
      <c r="L754" s="14"/>
    </row>
    <row r="755" ht="15.75" customHeight="1">
      <c r="F755" s="14"/>
      <c r="G755" s="14"/>
      <c r="L755" s="14"/>
    </row>
    <row r="756" ht="15.75" customHeight="1">
      <c r="F756" s="14"/>
      <c r="G756" s="14"/>
      <c r="L756" s="14"/>
    </row>
    <row r="757" ht="15.75" customHeight="1">
      <c r="F757" s="14"/>
      <c r="G757" s="14"/>
      <c r="L757" s="14"/>
    </row>
    <row r="758" ht="15.75" customHeight="1">
      <c r="F758" s="14"/>
      <c r="G758" s="14"/>
      <c r="L758" s="14"/>
    </row>
    <row r="759" ht="15.75" customHeight="1">
      <c r="F759" s="14"/>
      <c r="G759" s="14"/>
      <c r="L759" s="14"/>
    </row>
    <row r="760" ht="15.75" customHeight="1">
      <c r="F760" s="14"/>
      <c r="G760" s="14"/>
      <c r="L760" s="14"/>
    </row>
    <row r="761" ht="15.75" customHeight="1">
      <c r="F761" s="14"/>
      <c r="G761" s="14"/>
      <c r="L761" s="14"/>
    </row>
    <row r="762" ht="15.75" customHeight="1">
      <c r="F762" s="14"/>
      <c r="G762" s="14"/>
      <c r="L762" s="14"/>
    </row>
    <row r="763" ht="15.75" customHeight="1">
      <c r="F763" s="14"/>
      <c r="G763" s="14"/>
      <c r="L763" s="14"/>
    </row>
    <row r="764" ht="15.75" customHeight="1">
      <c r="F764" s="14"/>
      <c r="G764" s="14"/>
      <c r="L764" s="14"/>
    </row>
    <row r="765" ht="15.75" customHeight="1">
      <c r="F765" s="14"/>
      <c r="G765" s="14"/>
      <c r="L765" s="14"/>
    </row>
    <row r="766" ht="15.75" customHeight="1">
      <c r="F766" s="14"/>
      <c r="G766" s="14"/>
      <c r="L766" s="14"/>
    </row>
    <row r="767" ht="15.75" customHeight="1">
      <c r="F767" s="14"/>
      <c r="G767" s="14"/>
      <c r="L767" s="14"/>
    </row>
    <row r="768" ht="15.75" customHeight="1">
      <c r="F768" s="14"/>
      <c r="G768" s="14"/>
      <c r="L768" s="14"/>
    </row>
    <row r="769" ht="15.75" customHeight="1">
      <c r="F769" s="14"/>
      <c r="G769" s="14"/>
      <c r="L769" s="14"/>
    </row>
    <row r="770" ht="15.75" customHeight="1">
      <c r="F770" s="14"/>
      <c r="G770" s="14"/>
      <c r="L770" s="14"/>
    </row>
    <row r="771" ht="15.75" customHeight="1">
      <c r="F771" s="14"/>
      <c r="G771" s="14"/>
      <c r="L771" s="14"/>
    </row>
    <row r="772" ht="15.75" customHeight="1">
      <c r="F772" s="14"/>
      <c r="G772" s="14"/>
      <c r="L772" s="14"/>
    </row>
    <row r="773" ht="15.75" customHeight="1">
      <c r="F773" s="14"/>
      <c r="G773" s="14"/>
      <c r="L773" s="14"/>
    </row>
    <row r="774" ht="15.75" customHeight="1">
      <c r="F774" s="14"/>
      <c r="G774" s="14"/>
      <c r="L774" s="14"/>
    </row>
    <row r="775" ht="15.75" customHeight="1">
      <c r="F775" s="14"/>
      <c r="G775" s="14"/>
      <c r="L775" s="14"/>
    </row>
    <row r="776" ht="15.75" customHeight="1">
      <c r="F776" s="14"/>
      <c r="G776" s="14"/>
      <c r="L776" s="14"/>
    </row>
    <row r="777" ht="15.75" customHeight="1">
      <c r="F777" s="14"/>
      <c r="G777" s="14"/>
      <c r="L777" s="14"/>
    </row>
    <row r="778" ht="15.75" customHeight="1">
      <c r="F778" s="14"/>
      <c r="G778" s="14"/>
      <c r="L778" s="14"/>
    </row>
    <row r="779" ht="15.75" customHeight="1">
      <c r="F779" s="14"/>
      <c r="G779" s="14"/>
      <c r="L779" s="14"/>
    </row>
    <row r="780" ht="15.75" customHeight="1">
      <c r="F780" s="14"/>
      <c r="G780" s="14"/>
      <c r="L780" s="14"/>
    </row>
    <row r="781" ht="15.75" customHeight="1">
      <c r="F781" s="14"/>
      <c r="G781" s="14"/>
      <c r="L781" s="14"/>
    </row>
    <row r="782" ht="15.75" customHeight="1">
      <c r="F782" s="14"/>
      <c r="G782" s="14"/>
      <c r="L782" s="14"/>
    </row>
    <row r="783" ht="15.75" customHeight="1">
      <c r="F783" s="14"/>
      <c r="G783" s="14"/>
      <c r="L783" s="14"/>
    </row>
    <row r="784" ht="15.75" customHeight="1">
      <c r="F784" s="14"/>
      <c r="G784" s="14"/>
      <c r="L784" s="14"/>
    </row>
    <row r="785" ht="15.75" customHeight="1">
      <c r="F785" s="14"/>
      <c r="G785" s="14"/>
      <c r="L785" s="14"/>
    </row>
    <row r="786" ht="15.75" customHeight="1">
      <c r="F786" s="14"/>
      <c r="G786" s="14"/>
      <c r="L786" s="14"/>
    </row>
    <row r="787" ht="15.75" customHeight="1">
      <c r="F787" s="14"/>
      <c r="G787" s="14"/>
      <c r="L787" s="14"/>
    </row>
    <row r="788" ht="15.75" customHeight="1">
      <c r="F788" s="14"/>
      <c r="G788" s="14"/>
      <c r="L788" s="14"/>
    </row>
    <row r="789" ht="15.75" customHeight="1">
      <c r="F789" s="14"/>
      <c r="G789" s="14"/>
      <c r="L789" s="14"/>
    </row>
    <row r="790" ht="15.75" customHeight="1">
      <c r="F790" s="14"/>
      <c r="G790" s="14"/>
      <c r="L790" s="14"/>
    </row>
    <row r="791" ht="15.75" customHeight="1">
      <c r="F791" s="14"/>
      <c r="G791" s="14"/>
      <c r="L791" s="14"/>
    </row>
    <row r="792" ht="15.75" customHeight="1">
      <c r="F792" s="14"/>
      <c r="G792" s="14"/>
      <c r="L792" s="14"/>
    </row>
    <row r="793" ht="15.75" customHeight="1">
      <c r="F793" s="14"/>
      <c r="G793" s="14"/>
      <c r="L793" s="14"/>
    </row>
    <row r="794" ht="15.75" customHeight="1">
      <c r="F794" s="14"/>
      <c r="G794" s="14"/>
      <c r="L794" s="14"/>
    </row>
    <row r="795" ht="15.75" customHeight="1">
      <c r="F795" s="14"/>
      <c r="G795" s="14"/>
      <c r="L795" s="14"/>
    </row>
    <row r="796" ht="15.75" customHeight="1">
      <c r="F796" s="14"/>
      <c r="G796" s="14"/>
      <c r="L796" s="14"/>
    </row>
    <row r="797" ht="15.75" customHeight="1">
      <c r="F797" s="14"/>
      <c r="G797" s="14"/>
      <c r="L797" s="14"/>
    </row>
    <row r="798" ht="15.75" customHeight="1">
      <c r="F798" s="14"/>
      <c r="G798" s="14"/>
      <c r="L798" s="14"/>
    </row>
    <row r="799" ht="15.75" customHeight="1">
      <c r="F799" s="14"/>
      <c r="G799" s="14"/>
      <c r="L799" s="14"/>
    </row>
    <row r="800" ht="15.75" customHeight="1">
      <c r="F800" s="14"/>
      <c r="G800" s="14"/>
      <c r="L800" s="14"/>
    </row>
    <row r="801" ht="15.75" customHeight="1">
      <c r="F801" s="14"/>
      <c r="G801" s="14"/>
      <c r="L801" s="14"/>
    </row>
    <row r="802" ht="15.75" customHeight="1">
      <c r="F802" s="14"/>
      <c r="G802" s="14"/>
      <c r="L802" s="14"/>
    </row>
    <row r="803" ht="15.75" customHeight="1">
      <c r="F803" s="14"/>
      <c r="G803" s="14"/>
      <c r="L803" s="14"/>
    </row>
    <row r="804" ht="15.75" customHeight="1">
      <c r="F804" s="14"/>
      <c r="G804" s="14"/>
      <c r="L804" s="14"/>
    </row>
    <row r="805" ht="15.75" customHeight="1">
      <c r="F805" s="14"/>
      <c r="G805" s="14"/>
      <c r="L805" s="14"/>
    </row>
    <row r="806" ht="15.75" customHeight="1">
      <c r="F806" s="14"/>
      <c r="G806" s="14"/>
      <c r="L806" s="14"/>
    </row>
    <row r="807" ht="15.75" customHeight="1">
      <c r="F807" s="14"/>
      <c r="G807" s="14"/>
      <c r="L807" s="14"/>
    </row>
    <row r="808" ht="15.75" customHeight="1">
      <c r="F808" s="14"/>
      <c r="G808" s="14"/>
      <c r="L808" s="14"/>
    </row>
    <row r="809" ht="15.75" customHeight="1">
      <c r="F809" s="14"/>
      <c r="G809" s="14"/>
      <c r="L809" s="14"/>
    </row>
    <row r="810" ht="15.75" customHeight="1">
      <c r="F810" s="14"/>
      <c r="G810" s="14"/>
      <c r="L810" s="14"/>
    </row>
    <row r="811" ht="15.75" customHeight="1">
      <c r="F811" s="14"/>
      <c r="G811" s="14"/>
      <c r="L811" s="14"/>
    </row>
    <row r="812" ht="15.75" customHeight="1">
      <c r="F812" s="14"/>
      <c r="G812" s="14"/>
      <c r="L812" s="14"/>
    </row>
    <row r="813" ht="15.75" customHeight="1">
      <c r="F813" s="14"/>
      <c r="G813" s="14"/>
      <c r="L813" s="14"/>
    </row>
    <row r="814" ht="15.75" customHeight="1">
      <c r="F814" s="14"/>
      <c r="G814" s="14"/>
      <c r="L814" s="14"/>
    </row>
    <row r="815" ht="15.75" customHeight="1">
      <c r="F815" s="14"/>
      <c r="G815" s="14"/>
      <c r="L815" s="14"/>
    </row>
    <row r="816" ht="15.75" customHeight="1">
      <c r="F816" s="14"/>
      <c r="G816" s="14"/>
      <c r="L816" s="14"/>
    </row>
    <row r="817" ht="15.75" customHeight="1">
      <c r="F817" s="14"/>
      <c r="G817" s="14"/>
      <c r="L817" s="14"/>
    </row>
    <row r="818" ht="15.75" customHeight="1">
      <c r="F818" s="14"/>
      <c r="G818" s="14"/>
      <c r="L818" s="14"/>
    </row>
    <row r="819" ht="15.75" customHeight="1">
      <c r="F819" s="14"/>
      <c r="G819" s="14"/>
      <c r="L819" s="14"/>
    </row>
    <row r="820" ht="15.75" customHeight="1">
      <c r="F820" s="14"/>
      <c r="G820" s="14"/>
      <c r="L820" s="14"/>
    </row>
    <row r="821" ht="15.75" customHeight="1">
      <c r="F821" s="14"/>
      <c r="G821" s="14"/>
      <c r="L821" s="14"/>
    </row>
    <row r="822" ht="15.75" customHeight="1">
      <c r="F822" s="14"/>
      <c r="G822" s="14"/>
      <c r="L822" s="14"/>
    </row>
    <row r="823" ht="15.75" customHeight="1">
      <c r="F823" s="14"/>
      <c r="G823" s="14"/>
      <c r="L823" s="14"/>
    </row>
    <row r="824" ht="15.75" customHeight="1">
      <c r="F824" s="14"/>
      <c r="G824" s="14"/>
      <c r="L824" s="14"/>
    </row>
    <row r="825" ht="15.75" customHeight="1">
      <c r="F825" s="14"/>
      <c r="G825" s="14"/>
      <c r="L825" s="14"/>
    </row>
    <row r="826" ht="15.75" customHeight="1">
      <c r="F826" s="14"/>
      <c r="G826" s="14"/>
      <c r="L826" s="14"/>
    </row>
    <row r="827" ht="15.75" customHeight="1">
      <c r="F827" s="14"/>
      <c r="G827" s="14"/>
      <c r="L827" s="14"/>
    </row>
    <row r="828" ht="15.75" customHeight="1">
      <c r="F828" s="14"/>
      <c r="G828" s="14"/>
      <c r="L828" s="14"/>
    </row>
    <row r="829" ht="15.75" customHeight="1">
      <c r="F829" s="14"/>
      <c r="G829" s="14"/>
      <c r="L829" s="14"/>
    </row>
    <row r="830" ht="15.75" customHeight="1">
      <c r="F830" s="14"/>
      <c r="G830" s="14"/>
      <c r="L830" s="14"/>
    </row>
    <row r="831" ht="15.75" customHeight="1">
      <c r="F831" s="14"/>
      <c r="G831" s="14"/>
      <c r="L831" s="14"/>
    </row>
    <row r="832" ht="15.75" customHeight="1">
      <c r="F832" s="14"/>
      <c r="G832" s="14"/>
      <c r="L832" s="14"/>
    </row>
    <row r="833" ht="15.75" customHeight="1">
      <c r="F833" s="14"/>
      <c r="G833" s="14"/>
      <c r="L833" s="14"/>
    </row>
    <row r="834" ht="15.75" customHeight="1">
      <c r="F834" s="14"/>
      <c r="G834" s="14"/>
      <c r="L834" s="14"/>
    </row>
    <row r="835" ht="15.75" customHeight="1">
      <c r="F835" s="14"/>
      <c r="G835" s="14"/>
      <c r="L835" s="14"/>
    </row>
    <row r="836" ht="15.75" customHeight="1">
      <c r="F836" s="14"/>
      <c r="G836" s="14"/>
      <c r="L836" s="14"/>
    </row>
    <row r="837" ht="15.75" customHeight="1">
      <c r="F837" s="14"/>
      <c r="G837" s="14"/>
      <c r="L837" s="14"/>
    </row>
    <row r="838" ht="15.75" customHeight="1">
      <c r="F838" s="14"/>
      <c r="G838" s="14"/>
      <c r="L838" s="14"/>
    </row>
    <row r="839" ht="15.75" customHeight="1">
      <c r="F839" s="14"/>
      <c r="G839" s="14"/>
      <c r="L839" s="14"/>
    </row>
    <row r="840" ht="15.75" customHeight="1">
      <c r="F840" s="14"/>
      <c r="G840" s="14"/>
      <c r="L840" s="14"/>
    </row>
    <row r="841" ht="15.75" customHeight="1">
      <c r="F841" s="14"/>
      <c r="G841" s="14"/>
      <c r="L841" s="14"/>
    </row>
    <row r="842" ht="15.75" customHeight="1">
      <c r="F842" s="14"/>
      <c r="G842" s="14"/>
      <c r="L842" s="14"/>
    </row>
    <row r="843" ht="15.75" customHeight="1">
      <c r="F843" s="14"/>
      <c r="G843" s="14"/>
      <c r="L843" s="14"/>
    </row>
    <row r="844" ht="15.75" customHeight="1">
      <c r="F844" s="14"/>
      <c r="G844" s="14"/>
      <c r="L844" s="14"/>
    </row>
    <row r="845" ht="15.75" customHeight="1">
      <c r="F845" s="14"/>
      <c r="G845" s="14"/>
      <c r="L845" s="14"/>
    </row>
    <row r="846" ht="15.75" customHeight="1">
      <c r="F846" s="14"/>
      <c r="G846" s="14"/>
      <c r="L846" s="14"/>
    </row>
    <row r="847" ht="15.75" customHeight="1">
      <c r="F847" s="14"/>
      <c r="G847" s="14"/>
      <c r="L847" s="14"/>
    </row>
    <row r="848" ht="15.75" customHeight="1">
      <c r="F848" s="14"/>
      <c r="G848" s="14"/>
      <c r="L848" s="14"/>
    </row>
    <row r="849" ht="15.75" customHeight="1">
      <c r="F849" s="14"/>
      <c r="G849" s="14"/>
      <c r="L849" s="14"/>
    </row>
    <row r="850" ht="15.75" customHeight="1">
      <c r="F850" s="14"/>
      <c r="G850" s="14"/>
      <c r="L850" s="14"/>
    </row>
    <row r="851" ht="15.75" customHeight="1">
      <c r="F851" s="14"/>
      <c r="G851" s="14"/>
      <c r="L851" s="14"/>
    </row>
    <row r="852" ht="15.75" customHeight="1">
      <c r="F852" s="14"/>
      <c r="G852" s="14"/>
      <c r="L852" s="14"/>
    </row>
    <row r="853" ht="15.75" customHeight="1">
      <c r="F853" s="14"/>
      <c r="G853" s="14"/>
      <c r="L853" s="14"/>
    </row>
    <row r="854" ht="15.75" customHeight="1">
      <c r="F854" s="14"/>
      <c r="G854" s="14"/>
      <c r="L854" s="14"/>
    </row>
    <row r="855" ht="15.75" customHeight="1">
      <c r="F855" s="14"/>
      <c r="G855" s="14"/>
      <c r="L855" s="14"/>
    </row>
    <row r="856" ht="15.75" customHeight="1">
      <c r="F856" s="14"/>
      <c r="G856" s="14"/>
      <c r="L856" s="14"/>
    </row>
    <row r="857" ht="15.75" customHeight="1">
      <c r="F857" s="14"/>
      <c r="G857" s="14"/>
      <c r="L857" s="14"/>
    </row>
    <row r="858" ht="15.75" customHeight="1">
      <c r="F858" s="14"/>
      <c r="G858" s="14"/>
      <c r="L858" s="14"/>
    </row>
    <row r="859" ht="15.75" customHeight="1">
      <c r="F859" s="14"/>
      <c r="G859" s="14"/>
      <c r="L859" s="14"/>
    </row>
    <row r="860" ht="15.75" customHeight="1">
      <c r="F860" s="14"/>
      <c r="G860" s="14"/>
      <c r="L860" s="14"/>
    </row>
    <row r="861" ht="15.75" customHeight="1">
      <c r="F861" s="14"/>
      <c r="G861" s="14"/>
      <c r="L861" s="14"/>
    </row>
    <row r="862" ht="15.75" customHeight="1">
      <c r="F862" s="14"/>
      <c r="G862" s="14"/>
      <c r="L862" s="14"/>
    </row>
    <row r="863" ht="15.75" customHeight="1">
      <c r="F863" s="14"/>
      <c r="G863" s="14"/>
      <c r="L863" s="14"/>
    </row>
    <row r="864" ht="15.75" customHeight="1">
      <c r="F864" s="14"/>
      <c r="G864" s="14"/>
      <c r="L864" s="14"/>
    </row>
    <row r="865" ht="15.75" customHeight="1">
      <c r="F865" s="14"/>
      <c r="G865" s="14"/>
      <c r="L865" s="14"/>
    </row>
    <row r="866" ht="15.75" customHeight="1">
      <c r="F866" s="14"/>
      <c r="G866" s="14"/>
      <c r="L866" s="14"/>
    </row>
    <row r="867" ht="15.75" customHeight="1">
      <c r="F867" s="14"/>
      <c r="G867" s="14"/>
      <c r="L867" s="14"/>
    </row>
    <row r="868" ht="15.75" customHeight="1">
      <c r="F868" s="14"/>
      <c r="G868" s="14"/>
      <c r="L868" s="14"/>
    </row>
    <row r="869" ht="15.75" customHeight="1">
      <c r="F869" s="14"/>
      <c r="G869" s="14"/>
      <c r="L869" s="14"/>
    </row>
    <row r="870" ht="15.75" customHeight="1">
      <c r="F870" s="14"/>
      <c r="G870" s="14"/>
      <c r="L870" s="14"/>
    </row>
    <row r="871" ht="15.75" customHeight="1">
      <c r="F871" s="14"/>
      <c r="G871" s="14"/>
      <c r="L871" s="14"/>
    </row>
    <row r="872" ht="15.75" customHeight="1">
      <c r="F872" s="14"/>
      <c r="G872" s="14"/>
      <c r="L872" s="14"/>
    </row>
    <row r="873" ht="15.75" customHeight="1">
      <c r="F873" s="14"/>
      <c r="G873" s="14"/>
      <c r="L873" s="14"/>
    </row>
    <row r="874" ht="15.75" customHeight="1">
      <c r="F874" s="14"/>
      <c r="G874" s="14"/>
      <c r="L874" s="14"/>
    </row>
    <row r="875" ht="15.75" customHeight="1">
      <c r="F875" s="14"/>
      <c r="G875" s="14"/>
      <c r="L875" s="14"/>
    </row>
    <row r="876" ht="15.75" customHeight="1">
      <c r="F876" s="14"/>
      <c r="G876" s="14"/>
      <c r="L876" s="14"/>
    </row>
    <row r="877" ht="15.75" customHeight="1">
      <c r="F877" s="14"/>
      <c r="G877" s="14"/>
      <c r="L877" s="14"/>
    </row>
    <row r="878" ht="15.75" customHeight="1">
      <c r="F878" s="14"/>
      <c r="G878" s="14"/>
      <c r="L878" s="14"/>
    </row>
    <row r="879" ht="15.75" customHeight="1">
      <c r="F879" s="14"/>
      <c r="G879" s="14"/>
      <c r="L879" s="14"/>
    </row>
    <row r="880" ht="15.75" customHeight="1">
      <c r="F880" s="14"/>
      <c r="G880" s="14"/>
      <c r="L880" s="14"/>
    </row>
    <row r="881" ht="15.75" customHeight="1">
      <c r="F881" s="14"/>
      <c r="G881" s="14"/>
      <c r="L881" s="14"/>
    </row>
    <row r="882" ht="15.75" customHeight="1">
      <c r="F882" s="14"/>
      <c r="G882" s="14"/>
      <c r="L882" s="14"/>
    </row>
    <row r="883" ht="15.75" customHeight="1">
      <c r="F883" s="14"/>
      <c r="G883" s="14"/>
      <c r="L883" s="14"/>
    </row>
    <row r="884" ht="15.75" customHeight="1">
      <c r="F884" s="14"/>
      <c r="G884" s="14"/>
      <c r="L884" s="14"/>
    </row>
    <row r="885" ht="15.75" customHeight="1">
      <c r="F885" s="14"/>
      <c r="G885" s="14"/>
      <c r="L885" s="14"/>
    </row>
    <row r="886" ht="15.75" customHeight="1">
      <c r="F886" s="14"/>
      <c r="G886" s="14"/>
      <c r="L886" s="14"/>
    </row>
    <row r="887" ht="15.75" customHeight="1">
      <c r="F887" s="14"/>
      <c r="G887" s="14"/>
      <c r="L887" s="14"/>
    </row>
    <row r="888" ht="15.75" customHeight="1">
      <c r="F888" s="14"/>
      <c r="G888" s="14"/>
      <c r="L888" s="14"/>
    </row>
    <row r="889" ht="15.75" customHeight="1">
      <c r="F889" s="14"/>
      <c r="G889" s="14"/>
      <c r="L889" s="14"/>
    </row>
    <row r="890" ht="15.75" customHeight="1">
      <c r="F890" s="14"/>
      <c r="G890" s="14"/>
      <c r="L890" s="14"/>
    </row>
    <row r="891" ht="15.75" customHeight="1">
      <c r="F891" s="14"/>
      <c r="G891" s="14"/>
      <c r="L891" s="14"/>
    </row>
    <row r="892" ht="15.75" customHeight="1">
      <c r="F892" s="14"/>
      <c r="G892" s="14"/>
      <c r="L892" s="14"/>
    </row>
    <row r="893" ht="15.75" customHeight="1">
      <c r="F893" s="14"/>
      <c r="G893" s="14"/>
      <c r="L893" s="14"/>
    </row>
    <row r="894" ht="15.75" customHeight="1">
      <c r="F894" s="14"/>
      <c r="G894" s="14"/>
      <c r="L894" s="14"/>
    </row>
    <row r="895" ht="15.75" customHeight="1">
      <c r="F895" s="14"/>
      <c r="G895" s="14"/>
      <c r="L895" s="14"/>
    </row>
    <row r="896" ht="15.75" customHeight="1">
      <c r="F896" s="14"/>
      <c r="G896" s="14"/>
      <c r="L896" s="14"/>
    </row>
    <row r="897" ht="15.75" customHeight="1">
      <c r="F897" s="14"/>
      <c r="G897" s="14"/>
      <c r="L897" s="14"/>
    </row>
    <row r="898" ht="15.75" customHeight="1">
      <c r="F898" s="14"/>
      <c r="G898" s="14"/>
      <c r="L898" s="14"/>
    </row>
    <row r="899" ht="15.75" customHeight="1">
      <c r="F899" s="14"/>
      <c r="G899" s="14"/>
      <c r="L899" s="14"/>
    </row>
    <row r="900" ht="15.75" customHeight="1">
      <c r="F900" s="14"/>
      <c r="G900" s="14"/>
      <c r="L900" s="14"/>
    </row>
    <row r="901" ht="15.75" customHeight="1">
      <c r="F901" s="14"/>
      <c r="G901" s="14"/>
      <c r="L901" s="14"/>
    </row>
    <row r="902" ht="15.75" customHeight="1">
      <c r="F902" s="14"/>
      <c r="G902" s="14"/>
      <c r="L902" s="14"/>
    </row>
    <row r="903" ht="15.75" customHeight="1">
      <c r="F903" s="14"/>
      <c r="G903" s="14"/>
      <c r="L903" s="14"/>
    </row>
    <row r="904" ht="15.75" customHeight="1">
      <c r="F904" s="14"/>
      <c r="G904" s="14"/>
      <c r="L904" s="14"/>
    </row>
    <row r="905" ht="15.75" customHeight="1">
      <c r="F905" s="14"/>
      <c r="G905" s="14"/>
      <c r="L905" s="14"/>
    </row>
    <row r="906" ht="15.75" customHeight="1">
      <c r="F906" s="14"/>
      <c r="G906" s="14"/>
      <c r="L906" s="14"/>
    </row>
    <row r="907" ht="15.75" customHeight="1">
      <c r="F907" s="14"/>
      <c r="G907" s="14"/>
      <c r="L907" s="14"/>
    </row>
    <row r="908" ht="15.75" customHeight="1">
      <c r="F908" s="14"/>
      <c r="G908" s="14"/>
      <c r="L908" s="14"/>
    </row>
    <row r="909" ht="15.75" customHeight="1">
      <c r="F909" s="14"/>
      <c r="G909" s="14"/>
      <c r="L909" s="14"/>
    </row>
    <row r="910" ht="15.75" customHeight="1">
      <c r="F910" s="14"/>
      <c r="G910" s="14"/>
      <c r="L910" s="14"/>
    </row>
    <row r="911" ht="15.75" customHeight="1">
      <c r="F911" s="14"/>
      <c r="G911" s="14"/>
      <c r="L911" s="14"/>
    </row>
    <row r="912" ht="15.75" customHeight="1">
      <c r="F912" s="14"/>
      <c r="G912" s="14"/>
      <c r="L912" s="14"/>
    </row>
    <row r="913" ht="15.75" customHeight="1">
      <c r="F913" s="14"/>
      <c r="G913" s="14"/>
      <c r="L913" s="14"/>
    </row>
    <row r="914" ht="15.75" customHeight="1">
      <c r="F914" s="14"/>
      <c r="G914" s="14"/>
      <c r="L914" s="14"/>
    </row>
    <row r="915" ht="15.75" customHeight="1">
      <c r="F915" s="14"/>
      <c r="G915" s="14"/>
      <c r="L915" s="14"/>
    </row>
    <row r="916" ht="15.75" customHeight="1">
      <c r="F916" s="14"/>
      <c r="G916" s="14"/>
      <c r="L916" s="14"/>
    </row>
    <row r="917" ht="15.75" customHeight="1">
      <c r="F917" s="14"/>
      <c r="G917" s="14"/>
      <c r="L917" s="14"/>
    </row>
    <row r="918" ht="15.75" customHeight="1">
      <c r="F918" s="14"/>
      <c r="G918" s="14"/>
      <c r="L918" s="14"/>
    </row>
    <row r="919" ht="15.75" customHeight="1">
      <c r="F919" s="14"/>
      <c r="G919" s="14"/>
      <c r="L919" s="14"/>
    </row>
    <row r="920" ht="15.75" customHeight="1">
      <c r="F920" s="14"/>
      <c r="G920" s="14"/>
      <c r="L920" s="14"/>
    </row>
    <row r="921" ht="15.75" customHeight="1">
      <c r="F921" s="14"/>
      <c r="G921" s="14"/>
      <c r="L921" s="14"/>
    </row>
    <row r="922" ht="15.75" customHeight="1">
      <c r="F922" s="14"/>
      <c r="G922" s="14"/>
      <c r="L922" s="14"/>
    </row>
    <row r="923" ht="15.75" customHeight="1">
      <c r="F923" s="14"/>
      <c r="G923" s="14"/>
      <c r="L923" s="14"/>
    </row>
    <row r="924" ht="15.75" customHeight="1">
      <c r="F924" s="14"/>
      <c r="G924" s="14"/>
      <c r="L924" s="14"/>
    </row>
    <row r="925" ht="15.75" customHeight="1">
      <c r="F925" s="14"/>
      <c r="G925" s="14"/>
      <c r="L925" s="14"/>
    </row>
    <row r="926" ht="15.75" customHeight="1">
      <c r="F926" s="14"/>
      <c r="G926" s="14"/>
      <c r="L926" s="14"/>
    </row>
    <row r="927" ht="15.75" customHeight="1">
      <c r="F927" s="14"/>
      <c r="G927" s="14"/>
      <c r="L927" s="14"/>
    </row>
    <row r="928" ht="15.75" customHeight="1">
      <c r="F928" s="14"/>
      <c r="G928" s="14"/>
      <c r="L928" s="14"/>
    </row>
    <row r="929" ht="15.75" customHeight="1">
      <c r="F929" s="14"/>
      <c r="G929" s="14"/>
      <c r="L929" s="14"/>
    </row>
    <row r="930" ht="15.75" customHeight="1">
      <c r="F930" s="14"/>
      <c r="G930" s="14"/>
      <c r="L930" s="14"/>
    </row>
    <row r="931" ht="15.75" customHeight="1">
      <c r="F931" s="14"/>
      <c r="G931" s="14"/>
      <c r="L931" s="14"/>
    </row>
    <row r="932" ht="15.75" customHeight="1">
      <c r="F932" s="14"/>
      <c r="G932" s="14"/>
      <c r="L932" s="14"/>
    </row>
    <row r="933" ht="15.75" customHeight="1">
      <c r="F933" s="14"/>
      <c r="G933" s="14"/>
      <c r="L933" s="14"/>
    </row>
    <row r="934" ht="15.75" customHeight="1">
      <c r="F934" s="14"/>
      <c r="G934" s="14"/>
      <c r="L934" s="14"/>
    </row>
    <row r="935" ht="15.75" customHeight="1">
      <c r="F935" s="14"/>
      <c r="G935" s="14"/>
      <c r="L935" s="14"/>
    </row>
    <row r="936" ht="15.75" customHeight="1">
      <c r="F936" s="14"/>
      <c r="G936" s="14"/>
      <c r="L936" s="14"/>
    </row>
    <row r="937" ht="15.75" customHeight="1">
      <c r="F937" s="14"/>
      <c r="G937" s="14"/>
      <c r="L937" s="14"/>
    </row>
    <row r="938" ht="15.75" customHeight="1">
      <c r="F938" s="14"/>
      <c r="G938" s="14"/>
      <c r="L938" s="14"/>
    </row>
    <row r="939" ht="15.75" customHeight="1">
      <c r="F939" s="14"/>
      <c r="G939" s="14"/>
      <c r="L939" s="14"/>
    </row>
    <row r="940" ht="15.75" customHeight="1">
      <c r="F940" s="14"/>
      <c r="G940" s="14"/>
      <c r="L940" s="14"/>
    </row>
    <row r="941" ht="15.75" customHeight="1">
      <c r="F941" s="14"/>
      <c r="G941" s="14"/>
      <c r="L941" s="14"/>
    </row>
    <row r="942" ht="15.75" customHeight="1">
      <c r="F942" s="14"/>
      <c r="G942" s="14"/>
      <c r="L942" s="14"/>
    </row>
    <row r="943" ht="15.75" customHeight="1">
      <c r="F943" s="14"/>
      <c r="G943" s="14"/>
      <c r="L943" s="14"/>
    </row>
    <row r="944" ht="15.75" customHeight="1">
      <c r="F944" s="14"/>
      <c r="G944" s="14"/>
      <c r="L944" s="14"/>
    </row>
    <row r="945" ht="15.75" customHeight="1">
      <c r="F945" s="14"/>
      <c r="G945" s="14"/>
      <c r="L945" s="14"/>
    </row>
    <row r="946" ht="15.75" customHeight="1">
      <c r="F946" s="14"/>
      <c r="G946" s="14"/>
      <c r="L946" s="14"/>
    </row>
    <row r="947" ht="15.75" customHeight="1">
      <c r="F947" s="14"/>
      <c r="G947" s="14"/>
      <c r="L947" s="14"/>
    </row>
    <row r="948" ht="15.75" customHeight="1">
      <c r="F948" s="14"/>
      <c r="G948" s="14"/>
      <c r="L948" s="14"/>
    </row>
    <row r="949" ht="15.75" customHeight="1">
      <c r="F949" s="14"/>
      <c r="G949" s="14"/>
      <c r="L949" s="14"/>
    </row>
    <row r="950" ht="15.75" customHeight="1">
      <c r="F950" s="14"/>
      <c r="G950" s="14"/>
      <c r="L950" s="14"/>
    </row>
    <row r="951" ht="15.75" customHeight="1">
      <c r="F951" s="14"/>
      <c r="G951" s="14"/>
      <c r="L951" s="14"/>
    </row>
    <row r="952" ht="15.75" customHeight="1">
      <c r="F952" s="14"/>
      <c r="G952" s="14"/>
      <c r="L952" s="14"/>
    </row>
    <row r="953" ht="15.75" customHeight="1">
      <c r="F953" s="14"/>
      <c r="G953" s="14"/>
      <c r="L953" s="14"/>
    </row>
    <row r="954" ht="15.75" customHeight="1">
      <c r="F954" s="14"/>
      <c r="G954" s="14"/>
      <c r="L954" s="14"/>
    </row>
    <row r="955" ht="15.75" customHeight="1">
      <c r="F955" s="14"/>
      <c r="G955" s="14"/>
      <c r="L955" s="14"/>
    </row>
    <row r="956" ht="15.75" customHeight="1">
      <c r="F956" s="14"/>
      <c r="G956" s="14"/>
      <c r="L956" s="14"/>
    </row>
    <row r="957" ht="15.75" customHeight="1">
      <c r="F957" s="14"/>
      <c r="G957" s="14"/>
      <c r="L957" s="14"/>
    </row>
    <row r="958" ht="15.75" customHeight="1">
      <c r="F958" s="14"/>
      <c r="G958" s="14"/>
      <c r="L958" s="14"/>
    </row>
    <row r="959" ht="15.75" customHeight="1">
      <c r="F959" s="14"/>
      <c r="G959" s="14"/>
      <c r="L959" s="14"/>
    </row>
    <row r="960" ht="15.75" customHeight="1">
      <c r="F960" s="14"/>
      <c r="G960" s="14"/>
      <c r="L960" s="14"/>
    </row>
    <row r="961" ht="15.75" customHeight="1">
      <c r="F961" s="14"/>
      <c r="G961" s="14"/>
      <c r="L961" s="14"/>
    </row>
    <row r="962" ht="15.75" customHeight="1">
      <c r="F962" s="14"/>
      <c r="G962" s="14"/>
      <c r="L962" s="14"/>
    </row>
    <row r="963" ht="15.75" customHeight="1">
      <c r="F963" s="14"/>
      <c r="G963" s="14"/>
      <c r="L963" s="14"/>
    </row>
    <row r="964" ht="15.75" customHeight="1">
      <c r="F964" s="14"/>
      <c r="G964" s="14"/>
      <c r="L964" s="14"/>
    </row>
    <row r="965" ht="15.75" customHeight="1">
      <c r="F965" s="14"/>
      <c r="G965" s="14"/>
      <c r="L965" s="14"/>
    </row>
    <row r="966" ht="15.75" customHeight="1">
      <c r="F966" s="14"/>
      <c r="G966" s="14"/>
      <c r="L966" s="14"/>
    </row>
    <row r="967" ht="15.75" customHeight="1">
      <c r="F967" s="14"/>
      <c r="G967" s="14"/>
      <c r="L967" s="14"/>
    </row>
    <row r="968" ht="15.75" customHeight="1">
      <c r="F968" s="14"/>
      <c r="G968" s="14"/>
      <c r="L968" s="14"/>
    </row>
    <row r="969" ht="15.75" customHeight="1">
      <c r="F969" s="14"/>
      <c r="G969" s="14"/>
      <c r="L969" s="14"/>
    </row>
    <row r="970" ht="15.75" customHeight="1">
      <c r="F970" s="14"/>
      <c r="G970" s="14"/>
      <c r="L970" s="14"/>
    </row>
    <row r="971" ht="15.75" customHeight="1">
      <c r="F971" s="14"/>
      <c r="G971" s="14"/>
      <c r="L971" s="14"/>
    </row>
    <row r="972" ht="15.75" customHeight="1">
      <c r="F972" s="14"/>
      <c r="G972" s="14"/>
      <c r="L972" s="14"/>
    </row>
    <row r="973" ht="15.75" customHeight="1">
      <c r="F973" s="14"/>
      <c r="G973" s="14"/>
      <c r="L973" s="14"/>
    </row>
    <row r="974" ht="15.75" customHeight="1">
      <c r="F974" s="14"/>
      <c r="G974" s="14"/>
      <c r="L974" s="14"/>
    </row>
    <row r="975" ht="15.75" customHeight="1">
      <c r="F975" s="14"/>
      <c r="G975" s="14"/>
      <c r="L975" s="14"/>
    </row>
    <row r="976" ht="15.75" customHeight="1">
      <c r="F976" s="14"/>
      <c r="G976" s="14"/>
      <c r="L976" s="14"/>
    </row>
    <row r="977" ht="15.75" customHeight="1">
      <c r="F977" s="14"/>
      <c r="G977" s="14"/>
      <c r="L977" s="14"/>
    </row>
    <row r="978" ht="15.75" customHeight="1">
      <c r="F978" s="14"/>
      <c r="G978" s="14"/>
      <c r="L978" s="14"/>
    </row>
    <row r="979" ht="15.75" customHeight="1">
      <c r="F979" s="14"/>
      <c r="G979" s="14"/>
      <c r="L979" s="14"/>
    </row>
    <row r="980" ht="15.75" customHeight="1">
      <c r="F980" s="14"/>
      <c r="G980" s="14"/>
      <c r="L980" s="14"/>
    </row>
    <row r="981" ht="15.75" customHeight="1">
      <c r="F981" s="14"/>
      <c r="G981" s="14"/>
      <c r="L981" s="14"/>
    </row>
    <row r="982" ht="15.75" customHeight="1">
      <c r="F982" s="14"/>
      <c r="G982" s="14"/>
      <c r="L982" s="14"/>
    </row>
    <row r="983" ht="15.75" customHeight="1">
      <c r="F983" s="14"/>
      <c r="G983" s="14"/>
      <c r="L983" s="14"/>
    </row>
    <row r="984" ht="15.75" customHeight="1">
      <c r="F984" s="14"/>
      <c r="G984" s="14"/>
      <c r="L984" s="14"/>
    </row>
    <row r="985" ht="15.75" customHeight="1">
      <c r="F985" s="14"/>
      <c r="G985" s="14"/>
      <c r="L985" s="14"/>
    </row>
    <row r="986" ht="15.75" customHeight="1">
      <c r="F986" s="14"/>
      <c r="G986" s="14"/>
      <c r="L986" s="14"/>
    </row>
    <row r="987" ht="15.75" customHeight="1">
      <c r="F987" s="14"/>
      <c r="G987" s="14"/>
      <c r="L987" s="14"/>
    </row>
    <row r="988" ht="15.75" customHeight="1">
      <c r="F988" s="14"/>
      <c r="G988" s="14"/>
      <c r="L988" s="14"/>
    </row>
    <row r="989" ht="15.75" customHeight="1">
      <c r="F989" s="14"/>
      <c r="G989" s="14"/>
      <c r="L989" s="14"/>
    </row>
    <row r="990" ht="15.75" customHeight="1">
      <c r="F990" s="14"/>
      <c r="G990" s="14"/>
      <c r="L990" s="14"/>
    </row>
    <row r="991" ht="15.75" customHeight="1">
      <c r="F991" s="14"/>
      <c r="G991" s="14"/>
      <c r="L991" s="14"/>
    </row>
    <row r="992" ht="15.75" customHeight="1">
      <c r="F992" s="14"/>
      <c r="G992" s="14"/>
      <c r="L992" s="14"/>
    </row>
    <row r="993" ht="15.75" customHeight="1">
      <c r="F993" s="14"/>
      <c r="G993" s="14"/>
      <c r="L993" s="14"/>
    </row>
    <row r="994" ht="15.75" customHeight="1">
      <c r="F994" s="14"/>
      <c r="G994" s="14"/>
      <c r="L994" s="14"/>
    </row>
    <row r="995" ht="15.75" customHeight="1">
      <c r="F995" s="14"/>
      <c r="G995" s="14"/>
      <c r="L995" s="14"/>
    </row>
    <row r="996" ht="15.75" customHeight="1">
      <c r="F996" s="14"/>
      <c r="G996" s="14"/>
      <c r="L996" s="14"/>
    </row>
    <row r="997" ht="15.75" customHeight="1">
      <c r="F997" s="14"/>
      <c r="G997" s="14"/>
      <c r="L997" s="14"/>
    </row>
    <row r="998" ht="15.75" customHeight="1">
      <c r="F998" s="14"/>
      <c r="G998" s="14"/>
      <c r="L998" s="14"/>
    </row>
    <row r="999" ht="15.75" customHeight="1">
      <c r="F999" s="14"/>
      <c r="G999" s="14"/>
      <c r="L999" s="14"/>
    </row>
    <row r="1000" ht="15.75" customHeight="1">
      <c r="F1000" s="14"/>
      <c r="G1000" s="14"/>
      <c r="L1000" s="14"/>
    </row>
  </sheetData>
  <mergeCells count="15">
    <mergeCell ref="C16:P16"/>
    <mergeCell ref="Q16:AD16"/>
    <mergeCell ref="C29:P29"/>
    <mergeCell ref="U29:W29"/>
    <mergeCell ref="U30:V30"/>
    <mergeCell ref="U31:V31"/>
    <mergeCell ref="U32:V32"/>
    <mergeCell ref="D83:V83"/>
    <mergeCell ref="D1:E1"/>
    <mergeCell ref="F1:G1"/>
    <mergeCell ref="I1:N1"/>
    <mergeCell ref="O1:P1"/>
    <mergeCell ref="Q1:S1"/>
    <mergeCell ref="U1:V1"/>
    <mergeCell ref="U2:V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32.43"/>
    <col customWidth="1" min="2" max="2" width="18.0"/>
    <col customWidth="1" min="3" max="3" width="13.29"/>
    <col customWidth="1" min="4" max="4" width="12.43"/>
    <col customWidth="1" min="5" max="7" width="12.14"/>
    <col customWidth="1" min="8" max="8" width="11.43"/>
    <col customWidth="1" min="9" max="9" width="11.71"/>
    <col customWidth="1" min="10" max="10" width="12.14"/>
    <col customWidth="1" min="11" max="11" width="16.0"/>
    <col customWidth="1" min="12" max="12" width="14.86"/>
    <col customWidth="1" min="13" max="13" width="14.57"/>
    <col customWidth="1" min="14" max="14" width="15.0"/>
    <col customWidth="1" min="15" max="15" width="14.71"/>
    <col customWidth="1" min="16" max="16" width="15.0"/>
    <col customWidth="1" min="17" max="17" width="16.43"/>
    <col customWidth="1" min="18" max="18" width="15.14"/>
    <col customWidth="1" min="19" max="22" width="14.71"/>
    <col customWidth="1" min="23" max="23" width="16.71"/>
    <col customWidth="1" min="24" max="24" width="14.57"/>
    <col customWidth="1" min="25" max="25" width="10.14"/>
    <col customWidth="1" min="26" max="26" width="15.29"/>
    <col customWidth="1" min="27" max="27" width="15.43"/>
    <col customWidth="1" min="28" max="33" width="14.4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6" t="s">
        <v>4</v>
      </c>
      <c r="G1" s="5"/>
      <c r="H1" s="7" t="s">
        <v>5</v>
      </c>
      <c r="I1" s="4" t="s">
        <v>6</v>
      </c>
      <c r="J1" s="8"/>
      <c r="K1" s="8"/>
      <c r="L1" s="8"/>
      <c r="M1" s="8"/>
      <c r="N1" s="5"/>
      <c r="O1" s="4" t="s">
        <v>7</v>
      </c>
      <c r="P1" s="5"/>
      <c r="Q1" s="9" t="s">
        <v>8</v>
      </c>
      <c r="R1" s="10"/>
      <c r="S1" s="11"/>
      <c r="T1" s="89" t="s">
        <v>63</v>
      </c>
      <c r="W1" s="78" t="s">
        <v>64</v>
      </c>
      <c r="X1" s="12" t="s">
        <v>9</v>
      </c>
      <c r="Y1" s="13"/>
      <c r="Z1" s="14"/>
      <c r="AA1" s="14"/>
      <c r="AB1" s="14"/>
      <c r="AC1" s="14"/>
      <c r="AD1" s="14"/>
      <c r="AE1" s="14"/>
      <c r="AF1" s="14"/>
      <c r="AG1" s="14"/>
    </row>
    <row r="2">
      <c r="A2" s="15" t="s">
        <v>10</v>
      </c>
      <c r="B2" s="16" t="s">
        <v>11</v>
      </c>
      <c r="C2" s="17" t="s">
        <v>12</v>
      </c>
      <c r="D2" s="17" t="s">
        <v>13</v>
      </c>
      <c r="E2" s="17" t="s">
        <v>14</v>
      </c>
      <c r="F2" s="17" t="s">
        <v>15</v>
      </c>
      <c r="G2" s="17" t="s">
        <v>16</v>
      </c>
      <c r="H2" s="17" t="s">
        <v>17</v>
      </c>
      <c r="I2" s="17" t="s">
        <v>18</v>
      </c>
      <c r="J2" s="17" t="s">
        <v>19</v>
      </c>
      <c r="K2" s="17" t="s">
        <v>20</v>
      </c>
      <c r="L2" s="17" t="s">
        <v>20</v>
      </c>
      <c r="M2" s="17" t="s">
        <v>21</v>
      </c>
      <c r="N2" s="17" t="s">
        <v>22</v>
      </c>
      <c r="O2" s="18" t="s">
        <v>23</v>
      </c>
      <c r="P2" s="19" t="s">
        <v>24</v>
      </c>
      <c r="Q2" s="20" t="s">
        <v>25</v>
      </c>
      <c r="R2" s="20" t="s">
        <v>26</v>
      </c>
      <c r="S2" s="20" t="s">
        <v>27</v>
      </c>
      <c r="T2" s="18" t="s">
        <v>23</v>
      </c>
      <c r="U2" s="19" t="s">
        <v>24</v>
      </c>
      <c r="V2" s="17" t="s">
        <v>22</v>
      </c>
      <c r="W2" s="17" t="s">
        <v>22</v>
      </c>
      <c r="X2" s="21">
        <f>IFERROR(__xludf.DUMMYFUNCTION("GoogleFinance(""CURRENCY:USDINR"")"),74.91250000000001)</f>
        <v>74.9125</v>
      </c>
      <c r="Y2" s="13"/>
      <c r="Z2" s="14"/>
      <c r="AA2" s="14"/>
      <c r="AB2" s="14"/>
      <c r="AC2" s="14"/>
      <c r="AD2" s="14"/>
      <c r="AE2" s="14"/>
      <c r="AF2" s="14"/>
      <c r="AG2" s="14"/>
    </row>
    <row r="3">
      <c r="A3" s="22" t="s">
        <v>28</v>
      </c>
      <c r="B3" s="16" t="s">
        <v>29</v>
      </c>
      <c r="C3" s="23">
        <f t="shared" ref="C3:E3" si="1">1</f>
        <v>1</v>
      </c>
      <c r="D3" s="23">
        <f t="shared" si="1"/>
        <v>1</v>
      </c>
      <c r="E3" s="23">
        <f t="shared" si="1"/>
        <v>1</v>
      </c>
      <c r="F3" s="23">
        <v>1.0</v>
      </c>
      <c r="G3" s="23">
        <v>1.0</v>
      </c>
      <c r="H3" s="23">
        <v>1.0</v>
      </c>
      <c r="I3" s="23">
        <f t="shared" ref="I3:R3" si="2">1</f>
        <v>1</v>
      </c>
      <c r="J3" s="23">
        <f t="shared" si="2"/>
        <v>1</v>
      </c>
      <c r="K3" s="23">
        <f t="shared" si="2"/>
        <v>1</v>
      </c>
      <c r="L3" s="23">
        <f t="shared" si="2"/>
        <v>1</v>
      </c>
      <c r="M3" s="23">
        <f t="shared" si="2"/>
        <v>1</v>
      </c>
      <c r="N3" s="23">
        <f t="shared" si="2"/>
        <v>1</v>
      </c>
      <c r="O3" s="23">
        <f t="shared" si="2"/>
        <v>1</v>
      </c>
      <c r="P3" s="24">
        <f t="shared" si="2"/>
        <v>1</v>
      </c>
      <c r="Q3" s="25">
        <f t="shared" si="2"/>
        <v>1</v>
      </c>
      <c r="R3" s="25">
        <f t="shared" si="2"/>
        <v>1</v>
      </c>
      <c r="S3" s="25">
        <v>1.0</v>
      </c>
      <c r="T3" s="23">
        <f t="shared" ref="T3:W3" si="3">1</f>
        <v>1</v>
      </c>
      <c r="U3" s="24">
        <f t="shared" si="3"/>
        <v>1</v>
      </c>
      <c r="V3" s="23">
        <f t="shared" si="3"/>
        <v>1</v>
      </c>
      <c r="W3" s="23">
        <f t="shared" si="3"/>
        <v>1</v>
      </c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>
      <c r="A4" s="22" t="s">
        <v>30</v>
      </c>
      <c r="B4" s="16" t="s">
        <v>31</v>
      </c>
      <c r="C4" s="22">
        <v>544.0</v>
      </c>
      <c r="D4" s="22">
        <v>460.2</v>
      </c>
      <c r="E4" s="22">
        <v>555.1</v>
      </c>
      <c r="F4" s="22">
        <v>1053.0</v>
      </c>
      <c r="G4" s="22">
        <v>1105.0</v>
      </c>
      <c r="H4" s="22">
        <v>2936.64</v>
      </c>
      <c r="I4" s="22">
        <v>717.6</v>
      </c>
      <c r="J4" s="22">
        <v>896.35</v>
      </c>
      <c r="K4" s="22">
        <v>725.4</v>
      </c>
      <c r="L4" s="22">
        <v>1011.4</v>
      </c>
      <c r="M4" s="22">
        <v>830.76</v>
      </c>
      <c r="N4" s="22">
        <v>1029.48</v>
      </c>
      <c r="O4" s="22">
        <f>R4+Q4</f>
        <v>1877.26</v>
      </c>
      <c r="P4" s="26">
        <f>S4+Q4*2</f>
        <v>2783</v>
      </c>
      <c r="Q4" s="27">
        <v>701.5</v>
      </c>
      <c r="R4" s="27">
        <v>1175.76</v>
      </c>
      <c r="S4" s="27">
        <v>1380.0</v>
      </c>
      <c r="T4" s="22">
        <v>1920.5</v>
      </c>
      <c r="U4" s="26">
        <v>2845.1</v>
      </c>
      <c r="V4" s="22">
        <v>1059.84</v>
      </c>
      <c r="W4" s="22">
        <v>1209.8</v>
      </c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>
      <c r="A5" s="22" t="s">
        <v>32</v>
      </c>
      <c r="B5" s="28">
        <v>75.4</v>
      </c>
      <c r="C5" s="23">
        <f t="shared" ref="C5:W5" si="4">C3*C4*$B$5</f>
        <v>41017.6</v>
      </c>
      <c r="D5" s="23">
        <f t="shared" si="4"/>
        <v>34699.08</v>
      </c>
      <c r="E5" s="23">
        <f t="shared" si="4"/>
        <v>41854.54</v>
      </c>
      <c r="F5" s="29">
        <f t="shared" si="4"/>
        <v>79396.2</v>
      </c>
      <c r="G5" s="29">
        <f t="shared" si="4"/>
        <v>83317</v>
      </c>
      <c r="H5" s="29">
        <f t="shared" si="4"/>
        <v>221422.656</v>
      </c>
      <c r="I5" s="23">
        <f t="shared" si="4"/>
        <v>54107.04</v>
      </c>
      <c r="J5" s="23">
        <f t="shared" si="4"/>
        <v>67584.79</v>
      </c>
      <c r="K5" s="23">
        <f t="shared" si="4"/>
        <v>54695.16</v>
      </c>
      <c r="L5" s="23">
        <f t="shared" si="4"/>
        <v>76259.56</v>
      </c>
      <c r="M5" s="29">
        <f t="shared" si="4"/>
        <v>62639.304</v>
      </c>
      <c r="N5" s="29">
        <f t="shared" si="4"/>
        <v>77622.792</v>
      </c>
      <c r="O5" s="29">
        <f t="shared" si="4"/>
        <v>141545.404</v>
      </c>
      <c r="P5" s="90">
        <f t="shared" si="4"/>
        <v>209838.2</v>
      </c>
      <c r="Q5" s="37">
        <f t="shared" si="4"/>
        <v>52893.1</v>
      </c>
      <c r="R5" s="25">
        <f t="shared" si="4"/>
        <v>88652.304</v>
      </c>
      <c r="S5" s="25">
        <f t="shared" si="4"/>
        <v>104052</v>
      </c>
      <c r="T5" s="29">
        <f t="shared" si="4"/>
        <v>144805.7</v>
      </c>
      <c r="U5" s="90">
        <f t="shared" si="4"/>
        <v>214520.54</v>
      </c>
      <c r="V5" s="29">
        <f t="shared" si="4"/>
        <v>79911.936</v>
      </c>
      <c r="W5" s="29">
        <f t="shared" si="4"/>
        <v>91218.92</v>
      </c>
      <c r="X5" s="14"/>
      <c r="Y5" s="14"/>
      <c r="Z5" s="14"/>
      <c r="AA5" s="14"/>
      <c r="AB5" s="14"/>
      <c r="AC5" s="14"/>
      <c r="AD5" s="14"/>
      <c r="AE5" s="14"/>
      <c r="AF5" s="14"/>
      <c r="AG5" s="14"/>
    </row>
    <row r="6">
      <c r="A6" s="30" t="s">
        <v>33</v>
      </c>
      <c r="B6" s="31">
        <v>74.8</v>
      </c>
      <c r="C6" s="32">
        <f t="shared" ref="C6:W6" si="5">C3*C4*$B$6</f>
        <v>40691.2</v>
      </c>
      <c r="D6" s="32">
        <f t="shared" si="5"/>
        <v>34422.96</v>
      </c>
      <c r="E6" s="32">
        <f t="shared" si="5"/>
        <v>41521.48</v>
      </c>
      <c r="F6" s="33">
        <f t="shared" si="5"/>
        <v>78764.4</v>
      </c>
      <c r="G6" s="33">
        <f t="shared" si="5"/>
        <v>82654</v>
      </c>
      <c r="H6" s="32">
        <f t="shared" si="5"/>
        <v>219660.672</v>
      </c>
      <c r="I6" s="32">
        <f t="shared" si="5"/>
        <v>53676.48</v>
      </c>
      <c r="J6" s="32">
        <f t="shared" si="5"/>
        <v>67046.98</v>
      </c>
      <c r="K6" s="32">
        <f t="shared" si="5"/>
        <v>54259.92</v>
      </c>
      <c r="L6" s="33">
        <f t="shared" si="5"/>
        <v>75652.72</v>
      </c>
      <c r="M6" s="33">
        <f t="shared" si="5"/>
        <v>62140.848</v>
      </c>
      <c r="N6" s="33">
        <f t="shared" si="5"/>
        <v>77005.104</v>
      </c>
      <c r="O6" s="33">
        <f t="shared" si="5"/>
        <v>140419.048</v>
      </c>
      <c r="P6" s="91">
        <f t="shared" si="5"/>
        <v>208168.4</v>
      </c>
      <c r="Q6" s="37">
        <f t="shared" si="5"/>
        <v>52472.2</v>
      </c>
      <c r="R6" s="25">
        <f t="shared" si="5"/>
        <v>87946.848</v>
      </c>
      <c r="S6" s="25">
        <f t="shared" si="5"/>
        <v>103224</v>
      </c>
      <c r="T6" s="33">
        <f t="shared" si="5"/>
        <v>143653.4</v>
      </c>
      <c r="U6" s="91">
        <f t="shared" si="5"/>
        <v>212813.48</v>
      </c>
      <c r="V6" s="33">
        <f t="shared" si="5"/>
        <v>79276.032</v>
      </c>
      <c r="W6" s="33">
        <f t="shared" si="5"/>
        <v>90493.04</v>
      </c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>
      <c r="A7" s="22" t="s">
        <v>34</v>
      </c>
      <c r="B7" s="35">
        <v>0.2</v>
      </c>
      <c r="C7" s="29">
        <f t="shared" ref="C7:W7" si="6">C5*$B$7</f>
        <v>8203.52</v>
      </c>
      <c r="D7" s="29">
        <f t="shared" si="6"/>
        <v>6939.816</v>
      </c>
      <c r="E7" s="29">
        <f t="shared" si="6"/>
        <v>8370.908</v>
      </c>
      <c r="F7" s="29">
        <f t="shared" si="6"/>
        <v>15879.24</v>
      </c>
      <c r="G7" s="29">
        <f t="shared" si="6"/>
        <v>16663.4</v>
      </c>
      <c r="H7" s="29">
        <f t="shared" si="6"/>
        <v>44284.5312</v>
      </c>
      <c r="I7" s="29">
        <f t="shared" si="6"/>
        <v>10821.408</v>
      </c>
      <c r="J7" s="29">
        <f t="shared" si="6"/>
        <v>13516.958</v>
      </c>
      <c r="K7" s="29">
        <f t="shared" si="6"/>
        <v>10939.032</v>
      </c>
      <c r="L7" s="29">
        <f t="shared" si="6"/>
        <v>15251.912</v>
      </c>
      <c r="M7" s="29">
        <f t="shared" si="6"/>
        <v>12527.8608</v>
      </c>
      <c r="N7" s="29">
        <f t="shared" si="6"/>
        <v>15524.5584</v>
      </c>
      <c r="O7" s="29">
        <f t="shared" si="6"/>
        <v>28309.0808</v>
      </c>
      <c r="P7" s="90">
        <f t="shared" si="6"/>
        <v>41967.64</v>
      </c>
      <c r="Q7" s="37">
        <f t="shared" si="6"/>
        <v>10578.62</v>
      </c>
      <c r="R7" s="25">
        <f t="shared" si="6"/>
        <v>17730.4608</v>
      </c>
      <c r="S7" s="25">
        <f t="shared" si="6"/>
        <v>20810.4</v>
      </c>
      <c r="T7" s="29">
        <f t="shared" si="6"/>
        <v>28961.14</v>
      </c>
      <c r="U7" s="90">
        <f t="shared" si="6"/>
        <v>42904.108</v>
      </c>
      <c r="V7" s="29">
        <f t="shared" si="6"/>
        <v>15982.3872</v>
      </c>
      <c r="W7" s="29">
        <f t="shared" si="6"/>
        <v>18243.784</v>
      </c>
      <c r="X7" s="14"/>
      <c r="Y7" s="14"/>
      <c r="Z7" s="14"/>
      <c r="AA7" s="14"/>
      <c r="AB7" s="14"/>
      <c r="AC7" s="14"/>
      <c r="AD7" s="14"/>
      <c r="AE7" s="14"/>
      <c r="AF7" s="14"/>
      <c r="AG7" s="14"/>
    </row>
    <row r="8">
      <c r="A8" s="22" t="s">
        <v>35</v>
      </c>
      <c r="B8" s="35">
        <v>0.1</v>
      </c>
      <c r="C8" s="29">
        <f t="shared" ref="C8:W8" si="7">C7*$B$8</f>
        <v>820.352</v>
      </c>
      <c r="D8" s="29">
        <f t="shared" si="7"/>
        <v>693.9816</v>
      </c>
      <c r="E8" s="29">
        <f t="shared" si="7"/>
        <v>837.0908</v>
      </c>
      <c r="F8" s="29">
        <f t="shared" si="7"/>
        <v>1587.924</v>
      </c>
      <c r="G8" s="29">
        <f t="shared" si="7"/>
        <v>1666.34</v>
      </c>
      <c r="H8" s="29">
        <f t="shared" si="7"/>
        <v>4428.45312</v>
      </c>
      <c r="I8" s="29">
        <f t="shared" si="7"/>
        <v>1082.1408</v>
      </c>
      <c r="J8" s="29">
        <f t="shared" si="7"/>
        <v>1351.6958</v>
      </c>
      <c r="K8" s="29">
        <f t="shared" si="7"/>
        <v>1093.9032</v>
      </c>
      <c r="L8" s="29">
        <f t="shared" si="7"/>
        <v>1525.1912</v>
      </c>
      <c r="M8" s="29">
        <f t="shared" si="7"/>
        <v>1252.78608</v>
      </c>
      <c r="N8" s="29">
        <f t="shared" si="7"/>
        <v>1552.45584</v>
      </c>
      <c r="O8" s="29">
        <f t="shared" si="7"/>
        <v>2830.90808</v>
      </c>
      <c r="P8" s="90">
        <f t="shared" si="7"/>
        <v>4196.764</v>
      </c>
      <c r="Q8" s="37">
        <f t="shared" si="7"/>
        <v>1057.862</v>
      </c>
      <c r="R8" s="25">
        <f t="shared" si="7"/>
        <v>1773.04608</v>
      </c>
      <c r="S8" s="25">
        <f t="shared" si="7"/>
        <v>2081.04</v>
      </c>
      <c r="T8" s="29">
        <f t="shared" si="7"/>
        <v>2896.114</v>
      </c>
      <c r="U8" s="90">
        <f t="shared" si="7"/>
        <v>4290.4108</v>
      </c>
      <c r="V8" s="29">
        <f t="shared" si="7"/>
        <v>1598.23872</v>
      </c>
      <c r="W8" s="29">
        <f t="shared" si="7"/>
        <v>1824.3784</v>
      </c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>
      <c r="A9" s="22" t="s">
        <v>36</v>
      </c>
      <c r="B9" s="35">
        <v>0.05</v>
      </c>
      <c r="C9" s="29">
        <f t="shared" ref="C9:W9" si="8">SUM(C6:C8)*$B$9</f>
        <v>2485.7536</v>
      </c>
      <c r="D9" s="29">
        <f t="shared" si="8"/>
        <v>2102.83788</v>
      </c>
      <c r="E9" s="29">
        <f t="shared" si="8"/>
        <v>2536.47394</v>
      </c>
      <c r="F9" s="29">
        <f t="shared" si="8"/>
        <v>4811.5782</v>
      </c>
      <c r="G9" s="29">
        <f t="shared" si="8"/>
        <v>5049.187</v>
      </c>
      <c r="H9" s="29">
        <f t="shared" si="8"/>
        <v>13418.68282</v>
      </c>
      <c r="I9" s="29">
        <f t="shared" si="8"/>
        <v>3279.00144</v>
      </c>
      <c r="J9" s="29">
        <f t="shared" si="8"/>
        <v>4095.78169</v>
      </c>
      <c r="K9" s="29">
        <f t="shared" si="8"/>
        <v>3314.64276</v>
      </c>
      <c r="L9" s="29">
        <f t="shared" si="8"/>
        <v>4621.49116</v>
      </c>
      <c r="M9" s="29">
        <f t="shared" si="8"/>
        <v>3796.074744</v>
      </c>
      <c r="N9" s="29">
        <f t="shared" si="8"/>
        <v>4704.105912</v>
      </c>
      <c r="O9" s="29">
        <f t="shared" si="8"/>
        <v>8577.951844</v>
      </c>
      <c r="P9" s="29">
        <f t="shared" si="8"/>
        <v>12716.6402</v>
      </c>
      <c r="Q9" s="37">
        <f t="shared" si="8"/>
        <v>3205.4341</v>
      </c>
      <c r="R9" s="37">
        <f t="shared" si="8"/>
        <v>5372.517744</v>
      </c>
      <c r="S9" s="37">
        <f t="shared" si="8"/>
        <v>6305.772</v>
      </c>
      <c r="T9" s="29">
        <f t="shared" si="8"/>
        <v>8775.5327</v>
      </c>
      <c r="U9" s="29">
        <f t="shared" si="8"/>
        <v>13000.39994</v>
      </c>
      <c r="V9" s="29">
        <f t="shared" si="8"/>
        <v>4842.832896</v>
      </c>
      <c r="W9" s="29">
        <f t="shared" si="8"/>
        <v>5528.06012</v>
      </c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>
      <c r="A10" s="38" t="s">
        <v>37</v>
      </c>
      <c r="B10" s="39">
        <v>0.005</v>
      </c>
      <c r="C10" s="29">
        <f t="shared" ref="C10:W10" si="9">C6*$B$10</f>
        <v>203.456</v>
      </c>
      <c r="D10" s="29">
        <f t="shared" si="9"/>
        <v>172.1148</v>
      </c>
      <c r="E10" s="29">
        <f t="shared" si="9"/>
        <v>207.6074</v>
      </c>
      <c r="F10" s="29">
        <f t="shared" si="9"/>
        <v>393.822</v>
      </c>
      <c r="G10" s="29">
        <f t="shared" si="9"/>
        <v>413.27</v>
      </c>
      <c r="H10" s="29">
        <f t="shared" si="9"/>
        <v>1098.30336</v>
      </c>
      <c r="I10" s="29">
        <f t="shared" si="9"/>
        <v>268.3824</v>
      </c>
      <c r="J10" s="29">
        <f t="shared" si="9"/>
        <v>335.2349</v>
      </c>
      <c r="K10" s="29">
        <f t="shared" si="9"/>
        <v>271.2996</v>
      </c>
      <c r="L10" s="29">
        <f t="shared" si="9"/>
        <v>378.2636</v>
      </c>
      <c r="M10" s="29">
        <f t="shared" si="9"/>
        <v>310.70424</v>
      </c>
      <c r="N10" s="29">
        <f t="shared" si="9"/>
        <v>385.02552</v>
      </c>
      <c r="O10" s="29">
        <f t="shared" si="9"/>
        <v>702.09524</v>
      </c>
      <c r="P10" s="90">
        <f t="shared" si="9"/>
        <v>1040.842</v>
      </c>
      <c r="Q10" s="37">
        <f t="shared" si="9"/>
        <v>262.361</v>
      </c>
      <c r="R10" s="25">
        <f t="shared" si="9"/>
        <v>439.73424</v>
      </c>
      <c r="S10" s="25">
        <f t="shared" si="9"/>
        <v>516.12</v>
      </c>
      <c r="T10" s="29">
        <f t="shared" si="9"/>
        <v>718.267</v>
      </c>
      <c r="U10" s="90">
        <f t="shared" si="9"/>
        <v>1064.0674</v>
      </c>
      <c r="V10" s="29">
        <f t="shared" si="9"/>
        <v>396.38016</v>
      </c>
      <c r="W10" s="29">
        <f t="shared" si="9"/>
        <v>452.4652</v>
      </c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>
      <c r="A11" s="22" t="s">
        <v>38</v>
      </c>
      <c r="B11" s="40" t="s">
        <v>39</v>
      </c>
      <c r="C11" s="41">
        <f t="shared" ref="C11:W11" si="10">SUM(C6:C9)-C9+C10</f>
        <v>49918.528</v>
      </c>
      <c r="D11" s="41">
        <f t="shared" si="10"/>
        <v>42228.8724</v>
      </c>
      <c r="E11" s="41">
        <f t="shared" si="10"/>
        <v>50937.0862</v>
      </c>
      <c r="F11" s="29">
        <f t="shared" si="10"/>
        <v>96625.386</v>
      </c>
      <c r="G11" s="29">
        <f t="shared" si="10"/>
        <v>101397.01</v>
      </c>
      <c r="H11" s="41">
        <f t="shared" si="10"/>
        <v>269471.9597</v>
      </c>
      <c r="I11" s="41">
        <f t="shared" si="10"/>
        <v>65848.4112</v>
      </c>
      <c r="J11" s="41">
        <f t="shared" si="10"/>
        <v>82250.8687</v>
      </c>
      <c r="K11" s="41">
        <f t="shared" si="10"/>
        <v>66564.1548</v>
      </c>
      <c r="L11" s="41">
        <f t="shared" si="10"/>
        <v>92808.0868</v>
      </c>
      <c r="M11" s="41">
        <f t="shared" si="10"/>
        <v>76232.19912</v>
      </c>
      <c r="N11" s="41">
        <f t="shared" si="10"/>
        <v>94467.14376</v>
      </c>
      <c r="O11" s="41">
        <f t="shared" si="10"/>
        <v>172261.1321</v>
      </c>
      <c r="P11" s="42">
        <f t="shared" si="10"/>
        <v>255373.646</v>
      </c>
      <c r="Q11" s="37">
        <f t="shared" si="10"/>
        <v>64371.043</v>
      </c>
      <c r="R11" s="43">
        <f t="shared" si="10"/>
        <v>107890.0891</v>
      </c>
      <c r="S11" s="43">
        <f t="shared" si="10"/>
        <v>126631.56</v>
      </c>
      <c r="T11" s="41">
        <f t="shared" si="10"/>
        <v>176228.921</v>
      </c>
      <c r="U11" s="42">
        <f t="shared" si="10"/>
        <v>261072.0662</v>
      </c>
      <c r="V11" s="41">
        <f t="shared" si="10"/>
        <v>97253.03808</v>
      </c>
      <c r="W11" s="41">
        <f t="shared" si="10"/>
        <v>111013.6676</v>
      </c>
      <c r="X11" s="14"/>
      <c r="Y11" s="14"/>
      <c r="Z11" s="14"/>
      <c r="AA11" s="14"/>
      <c r="AB11" s="14"/>
      <c r="AC11" s="14"/>
      <c r="AD11" s="14"/>
      <c r="AE11" s="14"/>
      <c r="AF11" s="14"/>
      <c r="AG11" s="14"/>
    </row>
    <row r="12">
      <c r="A12" s="44" t="s">
        <v>40</v>
      </c>
      <c r="B12" s="40" t="s">
        <v>41</v>
      </c>
      <c r="C12" s="45">
        <f t="shared" ref="C12:W12" si="11">ROUNDUP(C11,0)</f>
        <v>49919</v>
      </c>
      <c r="D12" s="45">
        <f t="shared" si="11"/>
        <v>42229</v>
      </c>
      <c r="E12" s="45">
        <f t="shared" si="11"/>
        <v>50938</v>
      </c>
      <c r="F12" s="45">
        <f t="shared" si="11"/>
        <v>96626</v>
      </c>
      <c r="G12" s="45">
        <f t="shared" si="11"/>
        <v>101398</v>
      </c>
      <c r="H12" s="45">
        <f t="shared" si="11"/>
        <v>269472</v>
      </c>
      <c r="I12" s="45">
        <f t="shared" si="11"/>
        <v>65849</v>
      </c>
      <c r="J12" s="45">
        <f t="shared" si="11"/>
        <v>82251</v>
      </c>
      <c r="K12" s="45">
        <f t="shared" si="11"/>
        <v>66565</v>
      </c>
      <c r="L12" s="45">
        <f t="shared" si="11"/>
        <v>92809</v>
      </c>
      <c r="M12" s="45">
        <f t="shared" si="11"/>
        <v>76233</v>
      </c>
      <c r="N12" s="45">
        <f t="shared" si="11"/>
        <v>94468</v>
      </c>
      <c r="O12" s="45">
        <f t="shared" si="11"/>
        <v>172262</v>
      </c>
      <c r="P12" s="46">
        <f t="shared" si="11"/>
        <v>255374</v>
      </c>
      <c r="Q12" s="47">
        <f t="shared" si="11"/>
        <v>64372</v>
      </c>
      <c r="R12" s="47">
        <f t="shared" si="11"/>
        <v>107891</v>
      </c>
      <c r="S12" s="47">
        <f t="shared" si="11"/>
        <v>126632</v>
      </c>
      <c r="T12" s="45">
        <f t="shared" si="11"/>
        <v>176229</v>
      </c>
      <c r="U12" s="46">
        <f t="shared" si="11"/>
        <v>261073</v>
      </c>
      <c r="V12" s="45">
        <f t="shared" si="11"/>
        <v>97254</v>
      </c>
      <c r="W12" s="45">
        <f t="shared" si="11"/>
        <v>111014</v>
      </c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>
      <c r="A13" s="48"/>
      <c r="B13" s="49"/>
      <c r="C13" s="14"/>
      <c r="D13" s="14"/>
      <c r="E13" s="14"/>
      <c r="F13" s="14"/>
      <c r="G13" s="14"/>
      <c r="H13" s="14"/>
      <c r="I13" s="14"/>
      <c r="J13" s="14"/>
      <c r="K13" s="14" t="s">
        <v>42</v>
      </c>
      <c r="L13" s="14" t="s">
        <v>43</v>
      </c>
      <c r="M13" s="14" t="s">
        <v>44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>
      <c r="A14" s="48"/>
      <c r="B14" s="49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88">
        <f>Q12-Inverter!Q12</f>
        <v>5529</v>
      </c>
      <c r="R14" s="88">
        <f>R12-Inverter!R12</f>
        <v>9267</v>
      </c>
      <c r="S14" s="88">
        <f>S12-Inverter!S12</f>
        <v>10876</v>
      </c>
      <c r="T14" s="88"/>
      <c r="U14" s="88"/>
      <c r="V14" s="88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>
      <c r="A15" s="48"/>
      <c r="B15" s="49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50" t="s">
        <v>45</v>
      </c>
      <c r="B16" s="15" t="s">
        <v>46</v>
      </c>
      <c r="C16" s="51" t="s">
        <v>65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3"/>
      <c r="Q16" s="51" t="s">
        <v>65</v>
      </c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3"/>
    </row>
    <row r="17">
      <c r="A17" s="50" t="s">
        <v>47</v>
      </c>
      <c r="B17" s="92">
        <v>1.01</v>
      </c>
      <c r="C17" s="55">
        <f t="shared" ref="C17:W17" si="12">ROUNDUP((C$12*$B17),0)</f>
        <v>50419</v>
      </c>
      <c r="D17" s="55">
        <f t="shared" si="12"/>
        <v>42652</v>
      </c>
      <c r="E17" s="55">
        <f t="shared" si="12"/>
        <v>51448</v>
      </c>
      <c r="F17" s="55">
        <f t="shared" si="12"/>
        <v>97593</v>
      </c>
      <c r="G17" s="55">
        <f t="shared" si="12"/>
        <v>102412</v>
      </c>
      <c r="H17" s="55">
        <f t="shared" si="12"/>
        <v>272167</v>
      </c>
      <c r="I17" s="55">
        <f t="shared" si="12"/>
        <v>66508</v>
      </c>
      <c r="J17" s="55">
        <f t="shared" si="12"/>
        <v>83074</v>
      </c>
      <c r="K17" s="55">
        <f t="shared" si="12"/>
        <v>67231</v>
      </c>
      <c r="L17" s="55">
        <f t="shared" si="12"/>
        <v>93738</v>
      </c>
      <c r="M17" s="55">
        <f t="shared" si="12"/>
        <v>76996</v>
      </c>
      <c r="N17" s="55">
        <f t="shared" si="12"/>
        <v>95413</v>
      </c>
      <c r="O17" s="55">
        <f t="shared" si="12"/>
        <v>173985</v>
      </c>
      <c r="P17" s="55">
        <f t="shared" si="12"/>
        <v>257928</v>
      </c>
      <c r="Q17" s="55">
        <f t="shared" si="12"/>
        <v>65016</v>
      </c>
      <c r="R17" s="55">
        <f t="shared" si="12"/>
        <v>108970</v>
      </c>
      <c r="S17" s="55">
        <f t="shared" si="12"/>
        <v>127899</v>
      </c>
      <c r="T17" s="55">
        <f t="shared" si="12"/>
        <v>177992</v>
      </c>
      <c r="U17" s="55">
        <f t="shared" si="12"/>
        <v>263684</v>
      </c>
      <c r="V17" s="55">
        <f t="shared" si="12"/>
        <v>98227</v>
      </c>
      <c r="W17" s="55">
        <f t="shared" si="12"/>
        <v>112125</v>
      </c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>
      <c r="A18" s="56" t="s">
        <v>48</v>
      </c>
      <c r="B18" s="93">
        <v>1.02</v>
      </c>
      <c r="C18" s="58">
        <f t="shared" ref="C18:W18" si="13">ROUNDUP((C$12*$B18),0)</f>
        <v>50918</v>
      </c>
      <c r="D18" s="58">
        <f t="shared" si="13"/>
        <v>43074</v>
      </c>
      <c r="E18" s="58">
        <f t="shared" si="13"/>
        <v>51957</v>
      </c>
      <c r="F18" s="58">
        <f t="shared" si="13"/>
        <v>98559</v>
      </c>
      <c r="G18" s="58">
        <f t="shared" si="13"/>
        <v>103426</v>
      </c>
      <c r="H18" s="58">
        <f t="shared" si="13"/>
        <v>274862</v>
      </c>
      <c r="I18" s="58">
        <f t="shared" si="13"/>
        <v>67166</v>
      </c>
      <c r="J18" s="58">
        <f t="shared" si="13"/>
        <v>83897</v>
      </c>
      <c r="K18" s="58">
        <f t="shared" si="13"/>
        <v>67897</v>
      </c>
      <c r="L18" s="58">
        <f t="shared" si="13"/>
        <v>94666</v>
      </c>
      <c r="M18" s="58">
        <f t="shared" si="13"/>
        <v>77758</v>
      </c>
      <c r="N18" s="58">
        <f t="shared" si="13"/>
        <v>96358</v>
      </c>
      <c r="O18" s="58">
        <f t="shared" si="13"/>
        <v>175708</v>
      </c>
      <c r="P18" s="58">
        <f t="shared" si="13"/>
        <v>260482</v>
      </c>
      <c r="Q18" s="58">
        <f t="shared" si="13"/>
        <v>65660</v>
      </c>
      <c r="R18" s="58">
        <f t="shared" si="13"/>
        <v>110049</v>
      </c>
      <c r="S18" s="58">
        <f t="shared" si="13"/>
        <v>129165</v>
      </c>
      <c r="T18" s="58">
        <f t="shared" si="13"/>
        <v>179754</v>
      </c>
      <c r="U18" s="58">
        <f t="shared" si="13"/>
        <v>266295</v>
      </c>
      <c r="V18" s="58">
        <f t="shared" si="13"/>
        <v>99200</v>
      </c>
      <c r="W18" s="58">
        <f t="shared" si="13"/>
        <v>113235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>
      <c r="A19" s="59" t="s">
        <v>49</v>
      </c>
      <c r="B19" s="57">
        <v>1.03</v>
      </c>
      <c r="C19" s="60">
        <f t="shared" ref="C19:W19" si="14">ROUNDUP((C$12*$B19),0)</f>
        <v>51417</v>
      </c>
      <c r="D19" s="60">
        <f t="shared" si="14"/>
        <v>43496</v>
      </c>
      <c r="E19" s="60">
        <f t="shared" si="14"/>
        <v>52467</v>
      </c>
      <c r="F19" s="60">
        <f t="shared" si="14"/>
        <v>99525</v>
      </c>
      <c r="G19" s="60">
        <f t="shared" si="14"/>
        <v>104440</v>
      </c>
      <c r="H19" s="60">
        <f t="shared" si="14"/>
        <v>277557</v>
      </c>
      <c r="I19" s="60">
        <f t="shared" si="14"/>
        <v>67825</v>
      </c>
      <c r="J19" s="60">
        <f t="shared" si="14"/>
        <v>84719</v>
      </c>
      <c r="K19" s="60">
        <f t="shared" si="14"/>
        <v>68562</v>
      </c>
      <c r="L19" s="60">
        <f t="shared" si="14"/>
        <v>95594</v>
      </c>
      <c r="M19" s="60">
        <f t="shared" si="14"/>
        <v>78520</v>
      </c>
      <c r="N19" s="60">
        <f t="shared" si="14"/>
        <v>97303</v>
      </c>
      <c r="O19" s="60">
        <f t="shared" si="14"/>
        <v>177430</v>
      </c>
      <c r="P19" s="60">
        <f t="shared" si="14"/>
        <v>263036</v>
      </c>
      <c r="Q19" s="60">
        <f t="shared" si="14"/>
        <v>66304</v>
      </c>
      <c r="R19" s="60">
        <f t="shared" si="14"/>
        <v>111128</v>
      </c>
      <c r="S19" s="60">
        <f t="shared" si="14"/>
        <v>130431</v>
      </c>
      <c r="T19" s="60">
        <f t="shared" si="14"/>
        <v>181516</v>
      </c>
      <c r="U19" s="60">
        <f t="shared" si="14"/>
        <v>268906</v>
      </c>
      <c r="V19" s="60">
        <f t="shared" si="14"/>
        <v>100172</v>
      </c>
      <c r="W19" s="60">
        <f t="shared" si="14"/>
        <v>114345</v>
      </c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>
      <c r="A20" s="56" t="s">
        <v>50</v>
      </c>
      <c r="B20" s="57">
        <v>1.04</v>
      </c>
      <c r="C20" s="61">
        <f t="shared" ref="C20:W20" si="15">ROUNDUP((C$12*$B20),0)</f>
        <v>51916</v>
      </c>
      <c r="D20" s="61">
        <f t="shared" si="15"/>
        <v>43919</v>
      </c>
      <c r="E20" s="61">
        <f t="shared" si="15"/>
        <v>52976</v>
      </c>
      <c r="F20" s="61">
        <f t="shared" si="15"/>
        <v>100492</v>
      </c>
      <c r="G20" s="61">
        <f t="shared" si="15"/>
        <v>105454</v>
      </c>
      <c r="H20" s="61">
        <f t="shared" si="15"/>
        <v>280251</v>
      </c>
      <c r="I20" s="61">
        <f t="shared" si="15"/>
        <v>68483</v>
      </c>
      <c r="J20" s="61">
        <f t="shared" si="15"/>
        <v>85542</v>
      </c>
      <c r="K20" s="61">
        <f t="shared" si="15"/>
        <v>69228</v>
      </c>
      <c r="L20" s="61">
        <f t="shared" si="15"/>
        <v>96522</v>
      </c>
      <c r="M20" s="61">
        <f t="shared" si="15"/>
        <v>79283</v>
      </c>
      <c r="N20" s="61">
        <f t="shared" si="15"/>
        <v>98247</v>
      </c>
      <c r="O20" s="61">
        <f t="shared" si="15"/>
        <v>179153</v>
      </c>
      <c r="P20" s="61">
        <f t="shared" si="15"/>
        <v>265589</v>
      </c>
      <c r="Q20" s="61">
        <f t="shared" si="15"/>
        <v>66947</v>
      </c>
      <c r="R20" s="61">
        <f t="shared" si="15"/>
        <v>112207</v>
      </c>
      <c r="S20" s="61">
        <f t="shared" si="15"/>
        <v>131698</v>
      </c>
      <c r="T20" s="61">
        <f t="shared" si="15"/>
        <v>183279</v>
      </c>
      <c r="U20" s="61">
        <f t="shared" si="15"/>
        <v>271516</v>
      </c>
      <c r="V20" s="61">
        <f t="shared" si="15"/>
        <v>101145</v>
      </c>
      <c r="W20" s="61">
        <f t="shared" si="15"/>
        <v>115455</v>
      </c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ht="15.0" customHeight="1">
      <c r="A21" s="59" t="s">
        <v>51</v>
      </c>
      <c r="B21" s="57">
        <v>1.05</v>
      </c>
      <c r="C21" s="60">
        <f t="shared" ref="C21:W21" si="16">ROUNDUP((C$12*$B21),0)</f>
        <v>52415</v>
      </c>
      <c r="D21" s="60">
        <f t="shared" si="16"/>
        <v>44341</v>
      </c>
      <c r="E21" s="60">
        <f t="shared" si="16"/>
        <v>53485</v>
      </c>
      <c r="F21" s="60">
        <f t="shared" si="16"/>
        <v>101458</v>
      </c>
      <c r="G21" s="60">
        <f t="shared" si="16"/>
        <v>106468</v>
      </c>
      <c r="H21" s="60">
        <f t="shared" si="16"/>
        <v>282946</v>
      </c>
      <c r="I21" s="60">
        <f t="shared" si="16"/>
        <v>69142</v>
      </c>
      <c r="J21" s="60">
        <f t="shared" si="16"/>
        <v>86364</v>
      </c>
      <c r="K21" s="60">
        <f t="shared" si="16"/>
        <v>69894</v>
      </c>
      <c r="L21" s="60">
        <f t="shared" si="16"/>
        <v>97450</v>
      </c>
      <c r="M21" s="60">
        <f t="shared" si="16"/>
        <v>80045</v>
      </c>
      <c r="N21" s="60">
        <f t="shared" si="16"/>
        <v>99192</v>
      </c>
      <c r="O21" s="60">
        <f t="shared" si="16"/>
        <v>180876</v>
      </c>
      <c r="P21" s="60">
        <f t="shared" si="16"/>
        <v>268143</v>
      </c>
      <c r="Q21" s="60">
        <f t="shared" si="16"/>
        <v>67591</v>
      </c>
      <c r="R21" s="60">
        <f t="shared" si="16"/>
        <v>113286</v>
      </c>
      <c r="S21" s="60">
        <f t="shared" si="16"/>
        <v>132964</v>
      </c>
      <c r="T21" s="60">
        <f t="shared" si="16"/>
        <v>185041</v>
      </c>
      <c r="U21" s="60">
        <f t="shared" si="16"/>
        <v>274127</v>
      </c>
      <c r="V21" s="60">
        <f t="shared" si="16"/>
        <v>102117</v>
      </c>
      <c r="W21" s="60">
        <f t="shared" si="16"/>
        <v>116565</v>
      </c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ht="15.0" customHeight="1">
      <c r="A22" s="56" t="s">
        <v>52</v>
      </c>
      <c r="B22" s="57">
        <v>1.06</v>
      </c>
      <c r="C22" s="61">
        <f t="shared" ref="C22:W22" si="17">ROUNDUP((C$12*$B22),0)</f>
        <v>52915</v>
      </c>
      <c r="D22" s="61">
        <f t="shared" si="17"/>
        <v>44763</v>
      </c>
      <c r="E22" s="61">
        <f t="shared" si="17"/>
        <v>53995</v>
      </c>
      <c r="F22" s="61">
        <f t="shared" si="17"/>
        <v>102424</v>
      </c>
      <c r="G22" s="61">
        <f t="shared" si="17"/>
        <v>107482</v>
      </c>
      <c r="H22" s="61">
        <f t="shared" si="17"/>
        <v>285641</v>
      </c>
      <c r="I22" s="61">
        <f t="shared" si="17"/>
        <v>69800</v>
      </c>
      <c r="J22" s="61">
        <f t="shared" si="17"/>
        <v>87187</v>
      </c>
      <c r="K22" s="61">
        <f t="shared" si="17"/>
        <v>70559</v>
      </c>
      <c r="L22" s="61">
        <f t="shared" si="17"/>
        <v>98378</v>
      </c>
      <c r="M22" s="61">
        <f t="shared" si="17"/>
        <v>80807</v>
      </c>
      <c r="N22" s="61">
        <f t="shared" si="17"/>
        <v>100137</v>
      </c>
      <c r="O22" s="61">
        <f t="shared" si="17"/>
        <v>182598</v>
      </c>
      <c r="P22" s="61">
        <f t="shared" si="17"/>
        <v>270697</v>
      </c>
      <c r="Q22" s="61">
        <f t="shared" si="17"/>
        <v>68235</v>
      </c>
      <c r="R22" s="61">
        <f t="shared" si="17"/>
        <v>114365</v>
      </c>
      <c r="S22" s="61">
        <f t="shared" si="17"/>
        <v>134230</v>
      </c>
      <c r="T22" s="61">
        <f t="shared" si="17"/>
        <v>186803</v>
      </c>
      <c r="U22" s="61">
        <f t="shared" si="17"/>
        <v>276738</v>
      </c>
      <c r="V22" s="61">
        <f t="shared" si="17"/>
        <v>103090</v>
      </c>
      <c r="W22" s="61">
        <f t="shared" si="17"/>
        <v>117675</v>
      </c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ht="15.0" customHeight="1">
      <c r="A23" s="59" t="s">
        <v>53</v>
      </c>
      <c r="B23" s="57">
        <v>1.07</v>
      </c>
      <c r="C23" s="60">
        <f t="shared" ref="C23:W23" si="18">ROUNDUP((C$12*$B23),0)</f>
        <v>53414</v>
      </c>
      <c r="D23" s="60">
        <f t="shared" si="18"/>
        <v>45186</v>
      </c>
      <c r="E23" s="60">
        <f t="shared" si="18"/>
        <v>54504</v>
      </c>
      <c r="F23" s="60">
        <f t="shared" si="18"/>
        <v>103390</v>
      </c>
      <c r="G23" s="60">
        <f t="shared" si="18"/>
        <v>108496</v>
      </c>
      <c r="H23" s="60">
        <f t="shared" si="18"/>
        <v>288336</v>
      </c>
      <c r="I23" s="60">
        <f t="shared" si="18"/>
        <v>70459</v>
      </c>
      <c r="J23" s="60">
        <f t="shared" si="18"/>
        <v>88009</v>
      </c>
      <c r="K23" s="60">
        <f t="shared" si="18"/>
        <v>71225</v>
      </c>
      <c r="L23" s="60">
        <f t="shared" si="18"/>
        <v>99306</v>
      </c>
      <c r="M23" s="60">
        <f t="shared" si="18"/>
        <v>81570</v>
      </c>
      <c r="N23" s="60">
        <f t="shared" si="18"/>
        <v>101081</v>
      </c>
      <c r="O23" s="60">
        <f t="shared" si="18"/>
        <v>184321</v>
      </c>
      <c r="P23" s="60">
        <f t="shared" si="18"/>
        <v>273251</v>
      </c>
      <c r="Q23" s="60">
        <f t="shared" si="18"/>
        <v>68879</v>
      </c>
      <c r="R23" s="60">
        <f t="shared" si="18"/>
        <v>115444</v>
      </c>
      <c r="S23" s="60">
        <f t="shared" si="18"/>
        <v>135497</v>
      </c>
      <c r="T23" s="60">
        <f t="shared" si="18"/>
        <v>188566</v>
      </c>
      <c r="U23" s="60">
        <f t="shared" si="18"/>
        <v>279349</v>
      </c>
      <c r="V23" s="60">
        <f t="shared" si="18"/>
        <v>104062</v>
      </c>
      <c r="W23" s="60">
        <f t="shared" si="18"/>
        <v>118785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ht="15.0" customHeight="1">
      <c r="A24" s="56" t="s">
        <v>54</v>
      </c>
      <c r="B24" s="57">
        <v>1.08</v>
      </c>
      <c r="C24" s="61">
        <f t="shared" ref="C24:W24" si="19">ROUNDUP((C$12*$B24),0)</f>
        <v>53913</v>
      </c>
      <c r="D24" s="61">
        <f t="shared" si="19"/>
        <v>45608</v>
      </c>
      <c r="E24" s="61">
        <f t="shared" si="19"/>
        <v>55014</v>
      </c>
      <c r="F24" s="61">
        <f t="shared" si="19"/>
        <v>104357</v>
      </c>
      <c r="G24" s="61">
        <f t="shared" si="19"/>
        <v>109510</v>
      </c>
      <c r="H24" s="61">
        <f t="shared" si="19"/>
        <v>291030</v>
      </c>
      <c r="I24" s="61">
        <f t="shared" si="19"/>
        <v>71117</v>
      </c>
      <c r="J24" s="61">
        <f t="shared" si="19"/>
        <v>88832</v>
      </c>
      <c r="K24" s="61">
        <f t="shared" si="19"/>
        <v>71891</v>
      </c>
      <c r="L24" s="61">
        <f t="shared" si="19"/>
        <v>100234</v>
      </c>
      <c r="M24" s="61">
        <f t="shared" si="19"/>
        <v>82332</v>
      </c>
      <c r="N24" s="61">
        <f t="shared" si="19"/>
        <v>102026</v>
      </c>
      <c r="O24" s="61">
        <f t="shared" si="19"/>
        <v>186043</v>
      </c>
      <c r="P24" s="61">
        <f t="shared" si="19"/>
        <v>275804</v>
      </c>
      <c r="Q24" s="61">
        <f t="shared" si="19"/>
        <v>69522</v>
      </c>
      <c r="R24" s="61">
        <f t="shared" si="19"/>
        <v>116523</v>
      </c>
      <c r="S24" s="61">
        <f t="shared" si="19"/>
        <v>136763</v>
      </c>
      <c r="T24" s="61">
        <f t="shared" si="19"/>
        <v>190328</v>
      </c>
      <c r="U24" s="61">
        <f t="shared" si="19"/>
        <v>281959</v>
      </c>
      <c r="V24" s="61">
        <f t="shared" si="19"/>
        <v>105035</v>
      </c>
      <c r="W24" s="61">
        <f t="shared" si="19"/>
        <v>119896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ht="15.0" customHeight="1">
      <c r="A25" s="59" t="s">
        <v>55</v>
      </c>
      <c r="B25" s="57">
        <v>1.09</v>
      </c>
      <c r="C25" s="60">
        <f t="shared" ref="C25:W25" si="20">ROUNDUP((C$12*$B25),0)</f>
        <v>54412</v>
      </c>
      <c r="D25" s="60">
        <f t="shared" si="20"/>
        <v>46030</v>
      </c>
      <c r="E25" s="60">
        <f t="shared" si="20"/>
        <v>55523</v>
      </c>
      <c r="F25" s="60">
        <f t="shared" si="20"/>
        <v>105323</v>
      </c>
      <c r="G25" s="60">
        <f t="shared" si="20"/>
        <v>110524</v>
      </c>
      <c r="H25" s="60">
        <f t="shared" si="20"/>
        <v>293725</v>
      </c>
      <c r="I25" s="60">
        <f t="shared" si="20"/>
        <v>71776</v>
      </c>
      <c r="J25" s="60">
        <f t="shared" si="20"/>
        <v>89654</v>
      </c>
      <c r="K25" s="60">
        <f t="shared" si="20"/>
        <v>72556</v>
      </c>
      <c r="L25" s="60">
        <f t="shared" si="20"/>
        <v>101162</v>
      </c>
      <c r="M25" s="60">
        <f t="shared" si="20"/>
        <v>83094</v>
      </c>
      <c r="N25" s="60">
        <f t="shared" si="20"/>
        <v>102971</v>
      </c>
      <c r="O25" s="60">
        <f t="shared" si="20"/>
        <v>187766</v>
      </c>
      <c r="P25" s="60">
        <f t="shared" si="20"/>
        <v>278358</v>
      </c>
      <c r="Q25" s="60">
        <f t="shared" si="20"/>
        <v>70166</v>
      </c>
      <c r="R25" s="60">
        <f t="shared" si="20"/>
        <v>117602</v>
      </c>
      <c r="S25" s="60">
        <f t="shared" si="20"/>
        <v>138029</v>
      </c>
      <c r="T25" s="60">
        <f t="shared" si="20"/>
        <v>192090</v>
      </c>
      <c r="U25" s="60">
        <f t="shared" si="20"/>
        <v>284570</v>
      </c>
      <c r="V25" s="60">
        <f t="shared" si="20"/>
        <v>106007</v>
      </c>
      <c r="W25" s="60">
        <f t="shared" si="20"/>
        <v>121006</v>
      </c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ht="15.0" customHeight="1">
      <c r="A26" s="56" t="s">
        <v>56</v>
      </c>
      <c r="B26" s="57">
        <v>1.1</v>
      </c>
      <c r="C26" s="61">
        <f t="shared" ref="C26:W26" si="21">ROUNDUP((C$12*$B26),0)</f>
        <v>54911</v>
      </c>
      <c r="D26" s="61">
        <f t="shared" si="21"/>
        <v>46452</v>
      </c>
      <c r="E26" s="61">
        <f t="shared" si="21"/>
        <v>56032</v>
      </c>
      <c r="F26" s="61">
        <f t="shared" si="21"/>
        <v>106289</v>
      </c>
      <c r="G26" s="61">
        <f t="shared" si="21"/>
        <v>111538</v>
      </c>
      <c r="H26" s="61">
        <f t="shared" si="21"/>
        <v>296420</v>
      </c>
      <c r="I26" s="61">
        <f t="shared" si="21"/>
        <v>72434</v>
      </c>
      <c r="J26" s="61">
        <f t="shared" si="21"/>
        <v>90477</v>
      </c>
      <c r="K26" s="61">
        <f t="shared" si="21"/>
        <v>73222</v>
      </c>
      <c r="L26" s="61">
        <f t="shared" si="21"/>
        <v>102090</v>
      </c>
      <c r="M26" s="61">
        <f t="shared" si="21"/>
        <v>83857</v>
      </c>
      <c r="N26" s="61">
        <f t="shared" si="21"/>
        <v>103915</v>
      </c>
      <c r="O26" s="61">
        <f t="shared" si="21"/>
        <v>189489</v>
      </c>
      <c r="P26" s="61">
        <f t="shared" si="21"/>
        <v>280912</v>
      </c>
      <c r="Q26" s="61">
        <f t="shared" si="21"/>
        <v>70810</v>
      </c>
      <c r="R26" s="61">
        <f t="shared" si="21"/>
        <v>118681</v>
      </c>
      <c r="S26" s="61">
        <f t="shared" si="21"/>
        <v>139296</v>
      </c>
      <c r="T26" s="61">
        <f t="shared" si="21"/>
        <v>193852</v>
      </c>
      <c r="U26" s="61">
        <f t="shared" si="21"/>
        <v>287181</v>
      </c>
      <c r="V26" s="61">
        <f t="shared" si="21"/>
        <v>106980</v>
      </c>
      <c r="W26" s="61">
        <f t="shared" si="21"/>
        <v>122116</v>
      </c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ht="15.0" customHeight="1">
      <c r="A27" s="48"/>
      <c r="B27" s="49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62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ht="15.0" customHeight="1">
      <c r="A28" s="48"/>
      <c r="B28" s="49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62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ht="15.75" customHeight="1">
      <c r="A29" s="50" t="s">
        <v>45</v>
      </c>
      <c r="B29" s="15" t="s">
        <v>57</v>
      </c>
      <c r="C29" s="63" t="s">
        <v>58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5"/>
      <c r="Q29" s="14"/>
      <c r="R29" s="14"/>
      <c r="S29" s="14"/>
      <c r="T29" s="14"/>
      <c r="U29" s="14"/>
      <c r="V29" s="14"/>
      <c r="W29" s="14"/>
      <c r="X29" s="64" t="s">
        <v>59</v>
      </c>
      <c r="Y29" s="65"/>
      <c r="Z29" s="13"/>
      <c r="AA29" s="14"/>
      <c r="AB29" s="14"/>
      <c r="AC29" s="14"/>
      <c r="AD29" s="14"/>
      <c r="AE29" s="14"/>
      <c r="AF29" s="14"/>
      <c r="AG29" s="14"/>
    </row>
    <row r="30" ht="16.5" customHeight="1">
      <c r="A30" s="56" t="s">
        <v>48</v>
      </c>
      <c r="B30" s="57">
        <v>1.0</v>
      </c>
      <c r="C30" s="66">
        <f t="shared" ref="C30:P30" si="22">(C18-C$12)*$B30</f>
        <v>999</v>
      </c>
      <c r="D30" s="66">
        <f t="shared" si="22"/>
        <v>845</v>
      </c>
      <c r="E30" s="66">
        <f t="shared" si="22"/>
        <v>1019</v>
      </c>
      <c r="F30" s="66">
        <f t="shared" si="22"/>
        <v>1933</v>
      </c>
      <c r="G30" s="66">
        <f t="shared" si="22"/>
        <v>2028</v>
      </c>
      <c r="H30" s="66">
        <f t="shared" si="22"/>
        <v>5390</v>
      </c>
      <c r="I30" s="66">
        <f t="shared" si="22"/>
        <v>1317</v>
      </c>
      <c r="J30" s="66">
        <f t="shared" si="22"/>
        <v>1646</v>
      </c>
      <c r="K30" s="66">
        <f t="shared" si="22"/>
        <v>1332</v>
      </c>
      <c r="L30" s="66">
        <f t="shared" si="22"/>
        <v>1857</v>
      </c>
      <c r="M30" s="66">
        <f t="shared" si="22"/>
        <v>1525</v>
      </c>
      <c r="N30" s="66">
        <f t="shared" si="22"/>
        <v>1890</v>
      </c>
      <c r="O30" s="66">
        <f t="shared" si="22"/>
        <v>3446</v>
      </c>
      <c r="P30" s="66">
        <f t="shared" si="22"/>
        <v>5108</v>
      </c>
      <c r="Q30" s="14"/>
      <c r="R30" s="14"/>
      <c r="S30" s="14"/>
      <c r="T30" s="14"/>
      <c r="U30" s="14"/>
      <c r="V30" s="14"/>
      <c r="W30" s="14"/>
      <c r="X30" s="67" t="s">
        <v>60</v>
      </c>
      <c r="Y30" s="13"/>
      <c r="Z30" s="68">
        <v>5.0</v>
      </c>
      <c r="AA30" s="14"/>
      <c r="AB30" s="14"/>
      <c r="AC30" s="14"/>
      <c r="AD30" s="14"/>
      <c r="AE30" s="14"/>
      <c r="AF30" s="14"/>
      <c r="AG30" s="14"/>
    </row>
    <row r="31" ht="16.5" customHeight="1">
      <c r="A31" s="59" t="s">
        <v>49</v>
      </c>
      <c r="B31" s="57">
        <v>1.0</v>
      </c>
      <c r="C31" s="69">
        <f t="shared" ref="C31:P31" si="23">(C19-C$12)*$B31</f>
        <v>1498</v>
      </c>
      <c r="D31" s="69">
        <f t="shared" si="23"/>
        <v>1267</v>
      </c>
      <c r="E31" s="69">
        <f t="shared" si="23"/>
        <v>1529</v>
      </c>
      <c r="F31" s="69">
        <f t="shared" si="23"/>
        <v>2899</v>
      </c>
      <c r="G31" s="69">
        <f t="shared" si="23"/>
        <v>3042</v>
      </c>
      <c r="H31" s="69">
        <f t="shared" si="23"/>
        <v>8085</v>
      </c>
      <c r="I31" s="69">
        <f t="shared" si="23"/>
        <v>1976</v>
      </c>
      <c r="J31" s="69">
        <f t="shared" si="23"/>
        <v>2468</v>
      </c>
      <c r="K31" s="69">
        <f t="shared" si="23"/>
        <v>1997</v>
      </c>
      <c r="L31" s="69">
        <f t="shared" si="23"/>
        <v>2785</v>
      </c>
      <c r="M31" s="69">
        <f t="shared" si="23"/>
        <v>2287</v>
      </c>
      <c r="N31" s="69">
        <f t="shared" si="23"/>
        <v>2835</v>
      </c>
      <c r="O31" s="69">
        <f t="shared" si="23"/>
        <v>5168</v>
      </c>
      <c r="P31" s="69">
        <f t="shared" si="23"/>
        <v>7662</v>
      </c>
      <c r="Q31" s="14"/>
      <c r="R31" s="14"/>
      <c r="S31" s="14"/>
      <c r="T31" s="14"/>
      <c r="U31" s="14"/>
      <c r="V31" s="14"/>
      <c r="W31" s="14"/>
      <c r="X31" s="70" t="s">
        <v>61</v>
      </c>
      <c r="Y31" s="13"/>
      <c r="Z31" s="68">
        <f>P31</f>
        <v>7662</v>
      </c>
      <c r="AA31" s="14"/>
      <c r="AB31" s="14"/>
      <c r="AC31" s="14"/>
      <c r="AD31" s="14"/>
      <c r="AE31" s="14"/>
      <c r="AF31" s="14"/>
      <c r="AG31" s="14"/>
    </row>
    <row r="32" ht="15.75" customHeight="1">
      <c r="A32" s="56" t="s">
        <v>50</v>
      </c>
      <c r="B32" s="57">
        <v>1.0</v>
      </c>
      <c r="C32" s="66">
        <f t="shared" ref="C32:P32" si="24">(C20-C$12)*$B32</f>
        <v>1997</v>
      </c>
      <c r="D32" s="66">
        <f t="shared" si="24"/>
        <v>1690</v>
      </c>
      <c r="E32" s="66">
        <f t="shared" si="24"/>
        <v>2038</v>
      </c>
      <c r="F32" s="66">
        <f t="shared" si="24"/>
        <v>3866</v>
      </c>
      <c r="G32" s="66">
        <f t="shared" si="24"/>
        <v>4056</v>
      </c>
      <c r="H32" s="66">
        <f t="shared" si="24"/>
        <v>10779</v>
      </c>
      <c r="I32" s="66">
        <f t="shared" si="24"/>
        <v>2634</v>
      </c>
      <c r="J32" s="66">
        <f t="shared" si="24"/>
        <v>3291</v>
      </c>
      <c r="K32" s="66">
        <f t="shared" si="24"/>
        <v>2663</v>
      </c>
      <c r="L32" s="66">
        <f t="shared" si="24"/>
        <v>3713</v>
      </c>
      <c r="M32" s="66">
        <f t="shared" si="24"/>
        <v>3050</v>
      </c>
      <c r="N32" s="66">
        <f t="shared" si="24"/>
        <v>3779</v>
      </c>
      <c r="O32" s="66">
        <f t="shared" si="24"/>
        <v>6891</v>
      </c>
      <c r="P32" s="66">
        <f t="shared" si="24"/>
        <v>10215</v>
      </c>
      <c r="Q32" s="14"/>
      <c r="R32" s="14"/>
      <c r="S32" s="14"/>
      <c r="T32" s="14"/>
      <c r="U32" s="14"/>
      <c r="V32" s="14"/>
      <c r="W32" s="14"/>
      <c r="X32" s="67" t="s">
        <v>62</v>
      </c>
      <c r="Y32" s="13"/>
      <c r="Z32" s="68">
        <f>Z31*Z30</f>
        <v>38310</v>
      </c>
      <c r="AA32" s="14"/>
      <c r="AB32" s="14"/>
      <c r="AC32" s="14"/>
      <c r="AD32" s="14"/>
      <c r="AE32" s="14"/>
      <c r="AF32" s="14"/>
      <c r="AG32" s="14"/>
    </row>
    <row r="33" ht="15.75" customHeight="1">
      <c r="A33" s="59" t="s">
        <v>51</v>
      </c>
      <c r="B33" s="57">
        <v>1.0</v>
      </c>
      <c r="C33" s="69">
        <f t="shared" ref="C33:P33" si="25">(C21-C$12)*$B33</f>
        <v>2496</v>
      </c>
      <c r="D33" s="69">
        <f t="shared" si="25"/>
        <v>2112</v>
      </c>
      <c r="E33" s="69">
        <f t="shared" si="25"/>
        <v>2547</v>
      </c>
      <c r="F33" s="69">
        <f t="shared" si="25"/>
        <v>4832</v>
      </c>
      <c r="G33" s="69">
        <f t="shared" si="25"/>
        <v>5070</v>
      </c>
      <c r="H33" s="69">
        <f t="shared" si="25"/>
        <v>13474</v>
      </c>
      <c r="I33" s="69">
        <f t="shared" si="25"/>
        <v>3293</v>
      </c>
      <c r="J33" s="69">
        <f t="shared" si="25"/>
        <v>4113</v>
      </c>
      <c r="K33" s="69">
        <f t="shared" si="25"/>
        <v>3329</v>
      </c>
      <c r="L33" s="69">
        <f t="shared" si="25"/>
        <v>4641</v>
      </c>
      <c r="M33" s="69">
        <f t="shared" si="25"/>
        <v>3812</v>
      </c>
      <c r="N33" s="69">
        <f t="shared" si="25"/>
        <v>4724</v>
      </c>
      <c r="O33" s="69">
        <f t="shared" si="25"/>
        <v>8614</v>
      </c>
      <c r="P33" s="69">
        <f t="shared" si="25"/>
        <v>12769</v>
      </c>
      <c r="Q33" s="14"/>
      <c r="R33" s="14"/>
      <c r="S33" s="14"/>
      <c r="T33" s="14"/>
      <c r="U33" s="14"/>
      <c r="V33" s="14"/>
      <c r="W33" s="14"/>
      <c r="X33" s="14"/>
      <c r="Y33" s="71"/>
      <c r="Z33" s="14"/>
      <c r="AA33" s="14"/>
      <c r="AB33" s="14"/>
      <c r="AC33" s="14"/>
      <c r="AD33" s="14"/>
      <c r="AE33" s="14"/>
      <c r="AF33" s="14"/>
      <c r="AG33" s="14"/>
    </row>
    <row r="34" ht="15.75" customHeight="1">
      <c r="A34" s="56" t="s">
        <v>52</v>
      </c>
      <c r="B34" s="57">
        <v>1.0</v>
      </c>
      <c r="C34" s="66">
        <f t="shared" ref="C34:P34" si="26">(C22-C$12)*$B34</f>
        <v>2996</v>
      </c>
      <c r="D34" s="66">
        <f t="shared" si="26"/>
        <v>2534</v>
      </c>
      <c r="E34" s="66">
        <f t="shared" si="26"/>
        <v>3057</v>
      </c>
      <c r="F34" s="66">
        <f t="shared" si="26"/>
        <v>5798</v>
      </c>
      <c r="G34" s="66">
        <f t="shared" si="26"/>
        <v>6084</v>
      </c>
      <c r="H34" s="66">
        <f t="shared" si="26"/>
        <v>16169</v>
      </c>
      <c r="I34" s="66">
        <f t="shared" si="26"/>
        <v>3951</v>
      </c>
      <c r="J34" s="66">
        <f t="shared" si="26"/>
        <v>4936</v>
      </c>
      <c r="K34" s="66">
        <f t="shared" si="26"/>
        <v>3994</v>
      </c>
      <c r="L34" s="66">
        <f t="shared" si="26"/>
        <v>5569</v>
      </c>
      <c r="M34" s="66">
        <f t="shared" si="26"/>
        <v>4574</v>
      </c>
      <c r="N34" s="66">
        <f t="shared" si="26"/>
        <v>5669</v>
      </c>
      <c r="O34" s="66">
        <f t="shared" si="26"/>
        <v>10336</v>
      </c>
      <c r="P34" s="66">
        <f t="shared" si="26"/>
        <v>15323</v>
      </c>
      <c r="Q34" s="14"/>
      <c r="R34" s="14"/>
      <c r="S34" s="14"/>
      <c r="T34" s="14"/>
      <c r="U34" s="14"/>
      <c r="V34" s="14"/>
      <c r="W34" s="14"/>
      <c r="X34" s="14"/>
      <c r="Y34" s="62"/>
      <c r="Z34" s="14"/>
      <c r="AA34" s="14"/>
      <c r="AB34" s="14"/>
      <c r="AC34" s="14"/>
      <c r="AD34" s="14"/>
      <c r="AE34" s="14"/>
      <c r="AF34" s="14"/>
      <c r="AG34" s="14"/>
    </row>
    <row r="35" ht="15.75" customHeight="1">
      <c r="A35" s="59" t="s">
        <v>53</v>
      </c>
      <c r="B35" s="57">
        <v>1.0</v>
      </c>
      <c r="C35" s="69">
        <f t="shared" ref="C35:P35" si="27">(C23-C$12)*$B35</f>
        <v>3495</v>
      </c>
      <c r="D35" s="69">
        <f t="shared" si="27"/>
        <v>2957</v>
      </c>
      <c r="E35" s="69">
        <f t="shared" si="27"/>
        <v>3566</v>
      </c>
      <c r="F35" s="69">
        <f t="shared" si="27"/>
        <v>6764</v>
      </c>
      <c r="G35" s="69">
        <f t="shared" si="27"/>
        <v>7098</v>
      </c>
      <c r="H35" s="69">
        <f t="shared" si="27"/>
        <v>18864</v>
      </c>
      <c r="I35" s="69">
        <f t="shared" si="27"/>
        <v>4610</v>
      </c>
      <c r="J35" s="69">
        <f t="shared" si="27"/>
        <v>5758</v>
      </c>
      <c r="K35" s="69">
        <f t="shared" si="27"/>
        <v>4660</v>
      </c>
      <c r="L35" s="69">
        <f t="shared" si="27"/>
        <v>6497</v>
      </c>
      <c r="M35" s="69">
        <f t="shared" si="27"/>
        <v>5337</v>
      </c>
      <c r="N35" s="69">
        <f t="shared" si="27"/>
        <v>6613</v>
      </c>
      <c r="O35" s="69">
        <f t="shared" si="27"/>
        <v>12059</v>
      </c>
      <c r="P35" s="69">
        <f t="shared" si="27"/>
        <v>17877</v>
      </c>
      <c r="Q35" s="14"/>
      <c r="R35" s="14"/>
      <c r="S35" s="14"/>
      <c r="T35" s="14"/>
      <c r="U35" s="14"/>
      <c r="V35" s="14"/>
      <c r="W35" s="14"/>
      <c r="X35" s="14"/>
      <c r="Y35" s="62"/>
      <c r="Z35" s="14"/>
      <c r="AA35" s="14"/>
      <c r="AB35" s="14"/>
      <c r="AC35" s="14"/>
      <c r="AD35" s="14"/>
      <c r="AE35" s="14"/>
      <c r="AF35" s="14"/>
      <c r="AG35" s="14"/>
    </row>
    <row r="36" ht="15.75" customHeight="1">
      <c r="A36" s="56" t="s">
        <v>54</v>
      </c>
      <c r="B36" s="57">
        <v>1.0</v>
      </c>
      <c r="C36" s="66">
        <f t="shared" ref="C36:P36" si="28">(C24-C$12)*$B36</f>
        <v>3994</v>
      </c>
      <c r="D36" s="66">
        <f t="shared" si="28"/>
        <v>3379</v>
      </c>
      <c r="E36" s="66">
        <f t="shared" si="28"/>
        <v>4076</v>
      </c>
      <c r="F36" s="66">
        <f t="shared" si="28"/>
        <v>7731</v>
      </c>
      <c r="G36" s="66">
        <f t="shared" si="28"/>
        <v>8112</v>
      </c>
      <c r="H36" s="66">
        <f t="shared" si="28"/>
        <v>21558</v>
      </c>
      <c r="I36" s="66">
        <f t="shared" si="28"/>
        <v>5268</v>
      </c>
      <c r="J36" s="66">
        <f t="shared" si="28"/>
        <v>6581</v>
      </c>
      <c r="K36" s="66">
        <f t="shared" si="28"/>
        <v>5326</v>
      </c>
      <c r="L36" s="66">
        <f t="shared" si="28"/>
        <v>7425</v>
      </c>
      <c r="M36" s="66">
        <f t="shared" si="28"/>
        <v>6099</v>
      </c>
      <c r="N36" s="66">
        <f t="shared" si="28"/>
        <v>7558</v>
      </c>
      <c r="O36" s="66">
        <f t="shared" si="28"/>
        <v>13781</v>
      </c>
      <c r="P36" s="66">
        <f t="shared" si="28"/>
        <v>20430</v>
      </c>
      <c r="Q36" s="14"/>
      <c r="R36" s="14"/>
      <c r="S36" s="14"/>
      <c r="T36" s="14"/>
      <c r="U36" s="14"/>
      <c r="V36" s="14"/>
      <c r="W36" s="14"/>
      <c r="X36" s="14"/>
      <c r="Y36" s="62"/>
      <c r="Z36" s="14"/>
      <c r="AA36" s="14"/>
      <c r="AB36" s="14"/>
      <c r="AC36" s="14"/>
      <c r="AD36" s="14"/>
      <c r="AE36" s="14"/>
      <c r="AF36" s="14"/>
      <c r="AG36" s="14"/>
    </row>
    <row r="37" ht="15.75" customHeight="1">
      <c r="A37" s="59" t="s">
        <v>55</v>
      </c>
      <c r="B37" s="57">
        <v>1.0</v>
      </c>
      <c r="C37" s="69">
        <f t="shared" ref="C37:P37" si="29">(C25-C$12)*$B37</f>
        <v>4493</v>
      </c>
      <c r="D37" s="69">
        <f t="shared" si="29"/>
        <v>3801</v>
      </c>
      <c r="E37" s="69">
        <f t="shared" si="29"/>
        <v>4585</v>
      </c>
      <c r="F37" s="69">
        <f t="shared" si="29"/>
        <v>8697</v>
      </c>
      <c r="G37" s="69">
        <f t="shared" si="29"/>
        <v>9126</v>
      </c>
      <c r="H37" s="69">
        <f t="shared" si="29"/>
        <v>24253</v>
      </c>
      <c r="I37" s="69">
        <f t="shared" si="29"/>
        <v>5927</v>
      </c>
      <c r="J37" s="69">
        <f t="shared" si="29"/>
        <v>7403</v>
      </c>
      <c r="K37" s="69">
        <f t="shared" si="29"/>
        <v>5991</v>
      </c>
      <c r="L37" s="69">
        <f t="shared" si="29"/>
        <v>8353</v>
      </c>
      <c r="M37" s="69">
        <f t="shared" si="29"/>
        <v>6861</v>
      </c>
      <c r="N37" s="69">
        <f t="shared" si="29"/>
        <v>8503</v>
      </c>
      <c r="O37" s="69">
        <f t="shared" si="29"/>
        <v>15504</v>
      </c>
      <c r="P37" s="69">
        <f t="shared" si="29"/>
        <v>22984</v>
      </c>
      <c r="Q37" s="14"/>
      <c r="R37" s="14"/>
      <c r="S37" s="14"/>
      <c r="T37" s="14"/>
      <c r="U37" s="14"/>
      <c r="V37" s="14"/>
      <c r="W37" s="14"/>
      <c r="X37" s="14"/>
      <c r="Y37" s="62"/>
      <c r="Z37" s="14"/>
      <c r="AA37" s="14"/>
      <c r="AB37" s="14"/>
      <c r="AC37" s="14"/>
      <c r="AD37" s="14"/>
      <c r="AE37" s="14"/>
      <c r="AF37" s="14"/>
      <c r="AG37" s="14"/>
    </row>
    <row r="38" ht="15.75" customHeight="1">
      <c r="A38" s="56" t="s">
        <v>56</v>
      </c>
      <c r="B38" s="57">
        <v>1.0</v>
      </c>
      <c r="C38" s="66">
        <f t="shared" ref="C38:P38" si="30">(C26-C$12)*$B38</f>
        <v>4992</v>
      </c>
      <c r="D38" s="66">
        <f t="shared" si="30"/>
        <v>4223</v>
      </c>
      <c r="E38" s="66">
        <f t="shared" si="30"/>
        <v>5094</v>
      </c>
      <c r="F38" s="66">
        <f t="shared" si="30"/>
        <v>9663</v>
      </c>
      <c r="G38" s="66">
        <f t="shared" si="30"/>
        <v>10140</v>
      </c>
      <c r="H38" s="66">
        <f t="shared" si="30"/>
        <v>26948</v>
      </c>
      <c r="I38" s="66">
        <f t="shared" si="30"/>
        <v>6585</v>
      </c>
      <c r="J38" s="66">
        <f t="shared" si="30"/>
        <v>8226</v>
      </c>
      <c r="K38" s="66">
        <f t="shared" si="30"/>
        <v>6657</v>
      </c>
      <c r="L38" s="66">
        <f t="shared" si="30"/>
        <v>9281</v>
      </c>
      <c r="M38" s="66">
        <f t="shared" si="30"/>
        <v>7624</v>
      </c>
      <c r="N38" s="66">
        <f t="shared" si="30"/>
        <v>9447</v>
      </c>
      <c r="O38" s="66">
        <f t="shared" si="30"/>
        <v>17227</v>
      </c>
      <c r="P38" s="66">
        <f t="shared" si="30"/>
        <v>25538</v>
      </c>
      <c r="Q38" s="14"/>
      <c r="R38" s="14"/>
      <c r="S38" s="14"/>
      <c r="T38" s="14"/>
      <c r="U38" s="14"/>
      <c r="V38" s="14"/>
      <c r="W38" s="14"/>
      <c r="X38" s="14"/>
      <c r="Y38" s="62"/>
      <c r="Z38" s="14"/>
      <c r="AA38" s="14"/>
      <c r="AB38" s="14"/>
      <c r="AC38" s="14"/>
      <c r="AD38" s="14"/>
      <c r="AE38" s="14"/>
      <c r="AF38" s="14"/>
      <c r="AG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48"/>
      <c r="Z39" s="14"/>
      <c r="AA39" s="14"/>
      <c r="AB39" s="14"/>
      <c r="AC39" s="14"/>
      <c r="AD39" s="14"/>
      <c r="AE39" s="14"/>
      <c r="AF39" s="14"/>
      <c r="AG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72"/>
      <c r="Z43" s="14"/>
      <c r="AA43" s="14"/>
      <c r="AB43" s="14"/>
      <c r="AC43" s="14"/>
      <c r="AD43" s="14"/>
      <c r="AE43" s="14"/>
      <c r="AF43" s="14"/>
      <c r="AG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72"/>
      <c r="Z44" s="14"/>
      <c r="AA44" s="14"/>
      <c r="AB44" s="14"/>
      <c r="AC44" s="14"/>
      <c r="AD44" s="14"/>
      <c r="AE44" s="14"/>
      <c r="AF44" s="14"/>
      <c r="AG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72"/>
      <c r="Z45" s="14"/>
      <c r="AA45" s="14"/>
      <c r="AB45" s="14"/>
      <c r="AC45" s="14"/>
      <c r="AD45" s="14"/>
      <c r="AE45" s="14"/>
      <c r="AF45" s="14"/>
      <c r="AG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72"/>
      <c r="Z46" s="14"/>
      <c r="AA46" s="14"/>
      <c r="AB46" s="14"/>
      <c r="AC46" s="14"/>
      <c r="AD46" s="14"/>
      <c r="AE46" s="14"/>
      <c r="AF46" s="14"/>
      <c r="AG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72"/>
      <c r="Z47" s="14"/>
      <c r="AA47" s="14"/>
      <c r="AB47" s="14"/>
      <c r="AC47" s="14"/>
      <c r="AD47" s="14"/>
      <c r="AE47" s="14"/>
      <c r="AF47" s="14"/>
      <c r="AG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ht="15.75" customHeight="1">
      <c r="A83" s="14"/>
      <c r="B83" s="73"/>
      <c r="C83" s="73"/>
      <c r="D83" s="73"/>
      <c r="Z83" s="14"/>
      <c r="AA83" s="14"/>
      <c r="AB83" s="14"/>
      <c r="AC83" s="14"/>
      <c r="AD83" s="14"/>
      <c r="AE83" s="14"/>
      <c r="AF83" s="14"/>
      <c r="AG83" s="14"/>
    </row>
    <row r="84" ht="15.75" customHeight="1">
      <c r="A84" s="14"/>
      <c r="B84" s="48"/>
      <c r="C84" s="48"/>
      <c r="D84" s="74"/>
      <c r="E84" s="75"/>
      <c r="F84" s="75"/>
      <c r="G84" s="75"/>
      <c r="H84" s="74"/>
      <c r="I84" s="74"/>
      <c r="J84" s="74"/>
      <c r="K84" s="74"/>
      <c r="L84" s="74"/>
      <c r="M84" s="76"/>
      <c r="N84" s="76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14"/>
      <c r="AA84" s="14"/>
      <c r="AB84" s="14"/>
      <c r="AC84" s="14"/>
      <c r="AD84" s="14"/>
      <c r="AE84" s="14"/>
      <c r="AF84" s="14"/>
      <c r="AG84" s="14"/>
    </row>
    <row r="85" ht="15.75" customHeight="1">
      <c r="A85" s="14"/>
      <c r="B85" s="48"/>
      <c r="C85" s="48"/>
      <c r="D85" s="77"/>
      <c r="E85" s="77"/>
      <c r="F85" s="77"/>
      <c r="G85" s="77"/>
      <c r="H85" s="74"/>
      <c r="I85" s="74"/>
      <c r="J85" s="74"/>
      <c r="K85" s="74"/>
      <c r="L85" s="74"/>
      <c r="M85" s="78"/>
      <c r="N85" s="78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14"/>
      <c r="AA85" s="14"/>
      <c r="AB85" s="14"/>
      <c r="AC85" s="14"/>
      <c r="AD85" s="14"/>
      <c r="AE85" s="14"/>
      <c r="AF85" s="14"/>
      <c r="AG85" s="14"/>
    </row>
    <row r="86" ht="15.75" customHeight="1">
      <c r="A86" s="14"/>
      <c r="B86" s="48"/>
      <c r="C86" s="48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14"/>
      <c r="AA86" s="14"/>
      <c r="AB86" s="14"/>
      <c r="AC86" s="14"/>
      <c r="AD86" s="14"/>
      <c r="AE86" s="14"/>
      <c r="AF86" s="14"/>
      <c r="AG86" s="14"/>
    </row>
    <row r="87" ht="15.75" customHeight="1">
      <c r="A87" s="14"/>
      <c r="B87" s="48"/>
      <c r="C87" s="48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14"/>
      <c r="AA87" s="14"/>
      <c r="AB87" s="14"/>
      <c r="AC87" s="14"/>
      <c r="AD87" s="14"/>
      <c r="AE87" s="14"/>
      <c r="AF87" s="14"/>
      <c r="AG87" s="14"/>
    </row>
    <row r="88" ht="15.75" customHeight="1">
      <c r="A88" s="14"/>
      <c r="B88" s="79"/>
      <c r="C88" s="79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14"/>
      <c r="AA88" s="14"/>
      <c r="AB88" s="14"/>
      <c r="AC88" s="14"/>
      <c r="AD88" s="14"/>
      <c r="AE88" s="14"/>
      <c r="AF88" s="14"/>
      <c r="AG88" s="14"/>
    </row>
    <row r="89" ht="15.75" customHeight="1">
      <c r="A89" s="14"/>
      <c r="B89" s="79"/>
      <c r="C89" s="79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14"/>
      <c r="AA89" s="14"/>
      <c r="AB89" s="14"/>
      <c r="AC89" s="14"/>
      <c r="AD89" s="14"/>
      <c r="AE89" s="14"/>
      <c r="AF89" s="14"/>
      <c r="AG89" s="14"/>
    </row>
    <row r="90" ht="15.75" customHeight="1">
      <c r="A90" s="14"/>
      <c r="B90" s="48"/>
      <c r="C90" s="48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14"/>
      <c r="AA90" s="14"/>
      <c r="AB90" s="14"/>
      <c r="AC90" s="14"/>
      <c r="AD90" s="14"/>
      <c r="AE90" s="14"/>
      <c r="AF90" s="14"/>
      <c r="AG90" s="14"/>
    </row>
    <row r="91" ht="15.75" customHeight="1">
      <c r="A91" s="14"/>
      <c r="B91" s="62"/>
      <c r="C91" s="62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14"/>
      <c r="AA91" s="14"/>
      <c r="AB91" s="14"/>
      <c r="AC91" s="14"/>
      <c r="AD91" s="14"/>
      <c r="AE91" s="14"/>
      <c r="AF91" s="14"/>
      <c r="AG91" s="14"/>
    </row>
    <row r="92" ht="15.75" customHeight="1">
      <c r="A92" s="14"/>
      <c r="B92" s="81"/>
      <c r="C92" s="81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14"/>
      <c r="AA92" s="14"/>
      <c r="AB92" s="14"/>
      <c r="AC92" s="14"/>
      <c r="AD92" s="14"/>
      <c r="AE92" s="14"/>
      <c r="AF92" s="14"/>
      <c r="AG92" s="14"/>
    </row>
    <row r="93" ht="15.75" customHeight="1">
      <c r="A93" s="14"/>
      <c r="B93" s="48"/>
      <c r="C93" s="48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14"/>
      <c r="AA93" s="14"/>
      <c r="AB93" s="14"/>
      <c r="AC93" s="14"/>
      <c r="AD93" s="14"/>
      <c r="AE93" s="14"/>
      <c r="AF93" s="14"/>
      <c r="AG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ht="15.75" customHeight="1">
      <c r="A95" s="14"/>
      <c r="B95" s="48"/>
      <c r="C95" s="48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14"/>
      <c r="AA95" s="14"/>
      <c r="AB95" s="14"/>
      <c r="AC95" s="14"/>
      <c r="AD95" s="14"/>
      <c r="AE95" s="14"/>
      <c r="AF95" s="14"/>
      <c r="AG95" s="14"/>
    </row>
    <row r="96" ht="15.75" customHeight="1">
      <c r="A96" s="14"/>
      <c r="B96" s="48"/>
      <c r="C96" s="48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14"/>
      <c r="AA96" s="14"/>
      <c r="AB96" s="14"/>
      <c r="AC96" s="14"/>
      <c r="AD96" s="14"/>
      <c r="AE96" s="14"/>
      <c r="AF96" s="14"/>
      <c r="AG96" s="14"/>
    </row>
    <row r="97" ht="15.75" customHeight="1">
      <c r="A97" s="14"/>
      <c r="B97" s="48"/>
      <c r="C97" s="48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14"/>
      <c r="AA97" s="14"/>
      <c r="AB97" s="14"/>
      <c r="AC97" s="14"/>
      <c r="AD97" s="14"/>
      <c r="AE97" s="14"/>
      <c r="AF97" s="14"/>
      <c r="AG97" s="14"/>
    </row>
    <row r="98" ht="15.75" customHeight="1">
      <c r="A98" s="14"/>
      <c r="B98" s="48"/>
      <c r="C98" s="48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14"/>
      <c r="AA98" s="14"/>
      <c r="AB98" s="14"/>
      <c r="AC98" s="14"/>
      <c r="AD98" s="14"/>
      <c r="AE98" s="14"/>
      <c r="AF98" s="14"/>
      <c r="AG98" s="14"/>
    </row>
    <row r="99" ht="15.75" customHeight="1">
      <c r="A99" s="14"/>
      <c r="B99" s="48"/>
      <c r="C99" s="48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14"/>
      <c r="AA99" s="14"/>
      <c r="AB99" s="14"/>
      <c r="AC99" s="14"/>
      <c r="AD99" s="14"/>
      <c r="AE99" s="14"/>
      <c r="AF99" s="14"/>
      <c r="AG99" s="14"/>
    </row>
    <row r="100" ht="15.75" customHeight="1">
      <c r="A100" s="14"/>
      <c r="B100" s="48"/>
      <c r="C100" s="48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14"/>
      <c r="AA100" s="14"/>
      <c r="AB100" s="14"/>
      <c r="AC100" s="14"/>
      <c r="AD100" s="14"/>
      <c r="AE100" s="14"/>
      <c r="AF100" s="14"/>
      <c r="AG100" s="14"/>
    </row>
    <row r="101" ht="15.75" customHeight="1">
      <c r="A101" s="14"/>
      <c r="B101" s="48"/>
      <c r="C101" s="48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14"/>
      <c r="AA101" s="14"/>
      <c r="AB101" s="14"/>
      <c r="AC101" s="14"/>
      <c r="AD101" s="14"/>
      <c r="AE101" s="14"/>
      <c r="AF101" s="14"/>
      <c r="AG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ht="15.75" customHeight="1">
      <c r="A103" s="14"/>
      <c r="B103" s="73"/>
      <c r="C103" s="73"/>
      <c r="D103" s="73"/>
      <c r="E103" s="73"/>
      <c r="F103" s="73"/>
      <c r="G103" s="73"/>
      <c r="H103" s="73"/>
      <c r="I103" s="14"/>
      <c r="J103" s="76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</row>
    <row r="104" ht="15.75" customHeight="1">
      <c r="A104" s="14"/>
      <c r="B104" s="48"/>
      <c r="C104" s="48"/>
      <c r="D104" s="83"/>
      <c r="E104" s="83"/>
      <c r="F104" s="83"/>
      <c r="G104" s="83"/>
      <c r="H104" s="62"/>
      <c r="I104" s="14"/>
      <c r="J104" s="8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ht="15.75" customHeight="1">
      <c r="A105" s="14"/>
      <c r="B105" s="48"/>
      <c r="C105" s="48"/>
      <c r="D105" s="62"/>
      <c r="E105" s="62"/>
      <c r="F105" s="62"/>
      <c r="G105" s="62"/>
      <c r="H105" s="62"/>
      <c r="I105" s="14"/>
      <c r="J105" s="6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</row>
    <row r="106" ht="15.75" customHeight="1">
      <c r="A106" s="14"/>
      <c r="B106" s="48"/>
      <c r="C106" s="48"/>
      <c r="D106" s="62"/>
      <c r="E106" s="62"/>
      <c r="F106" s="62"/>
      <c r="G106" s="62"/>
      <c r="H106" s="62"/>
      <c r="I106" s="14"/>
      <c r="J106" s="85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ht="15.75" customHeight="1">
      <c r="A107" s="14"/>
      <c r="B107" s="79"/>
      <c r="C107" s="79"/>
      <c r="D107" s="86"/>
      <c r="E107" s="86"/>
      <c r="F107" s="86"/>
      <c r="G107" s="86"/>
      <c r="H107" s="86"/>
      <c r="I107" s="14"/>
      <c r="J107" s="6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</row>
    <row r="108" ht="15.75" customHeight="1">
      <c r="A108" s="14"/>
      <c r="B108" s="48"/>
      <c r="C108" s="48"/>
      <c r="D108" s="86"/>
      <c r="E108" s="86"/>
      <c r="F108" s="86"/>
      <c r="G108" s="86"/>
      <c r="H108" s="86"/>
      <c r="I108" s="14"/>
      <c r="J108" s="6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ht="15.75" customHeight="1">
      <c r="A109" s="14"/>
      <c r="B109" s="48"/>
      <c r="C109" s="48"/>
      <c r="D109" s="86"/>
      <c r="E109" s="86"/>
      <c r="F109" s="86"/>
      <c r="G109" s="86"/>
      <c r="H109" s="86"/>
      <c r="I109" s="14"/>
      <c r="J109" s="6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</row>
    <row r="110" ht="15.75" customHeight="1">
      <c r="A110" s="14"/>
      <c r="B110" s="62"/>
      <c r="C110" s="62"/>
      <c r="D110" s="86"/>
      <c r="E110" s="86"/>
      <c r="F110" s="86"/>
      <c r="G110" s="86"/>
      <c r="H110" s="86"/>
      <c r="I110" s="14"/>
      <c r="J110" s="6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ht="15.75" customHeight="1">
      <c r="A111" s="14"/>
      <c r="B111" s="81"/>
      <c r="C111" s="81"/>
      <c r="D111" s="86"/>
      <c r="E111" s="86"/>
      <c r="F111" s="86"/>
      <c r="G111" s="86"/>
      <c r="H111" s="86"/>
      <c r="I111" s="14"/>
      <c r="J111" s="6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</row>
    <row r="112" ht="15.75" customHeight="1">
      <c r="A112" s="14"/>
      <c r="B112" s="48"/>
      <c r="C112" s="48"/>
      <c r="D112" s="87"/>
      <c r="E112" s="87"/>
      <c r="F112" s="87"/>
      <c r="G112" s="87"/>
      <c r="H112" s="87">
        <f>SUM(H107:H110)-H110</f>
        <v>0</v>
      </c>
      <c r="I112" s="14"/>
      <c r="J112" s="48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ht="15.75" customHeight="1">
      <c r="A113" s="14"/>
      <c r="B113" s="14"/>
      <c r="C113" s="14"/>
      <c r="D113" s="14"/>
      <c r="E113" s="72"/>
      <c r="F113" s="72"/>
      <c r="G113" s="72"/>
      <c r="H113" s="72">
        <f>H112*3</f>
        <v>0</v>
      </c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</row>
    <row r="114" ht="15.75" customHeight="1">
      <c r="A114" s="14"/>
      <c r="B114" s="14"/>
      <c r="C114" s="14"/>
      <c r="D114" s="7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ht="15.75" customHeight="1">
      <c r="A115" s="14"/>
      <c r="B115" s="14"/>
      <c r="C115" s="14"/>
      <c r="D115" s="7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ht="15.75" customHeight="1">
      <c r="A117" s="14"/>
      <c r="B117" s="84"/>
      <c r="C117" s="84"/>
      <c r="D117" s="88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</row>
    <row r="118" ht="15.75" customHeight="1">
      <c r="A118" s="14"/>
      <c r="B118" s="84"/>
      <c r="C118" s="84"/>
      <c r="D118" s="88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</row>
  </sheetData>
  <mergeCells count="16">
    <mergeCell ref="D1:E1"/>
    <mergeCell ref="F1:G1"/>
    <mergeCell ref="O1:P1"/>
    <mergeCell ref="Q1:S1"/>
    <mergeCell ref="T1:V1"/>
    <mergeCell ref="X1:Y1"/>
    <mergeCell ref="X2:Y2"/>
    <mergeCell ref="X32:Y32"/>
    <mergeCell ref="D83:Y83"/>
    <mergeCell ref="I1:N1"/>
    <mergeCell ref="C16:P16"/>
    <mergeCell ref="Q16:AG16"/>
    <mergeCell ref="C29:P29"/>
    <mergeCell ref="X29:Z29"/>
    <mergeCell ref="X30:Y30"/>
    <mergeCell ref="X31:Y3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31.14"/>
    <col customWidth="1" min="2" max="2" width="22.14"/>
    <col customWidth="1" min="3" max="5" width="13.29"/>
    <col customWidth="1" min="6" max="6" width="12.43"/>
    <col customWidth="1" min="7" max="7" width="12.14"/>
    <col customWidth="1" min="8" max="8" width="11.43"/>
    <col customWidth="1" min="9" max="9" width="11.71"/>
    <col customWidth="1" min="10" max="10" width="12.14"/>
    <col customWidth="1" min="11" max="11" width="14.86"/>
    <col customWidth="1" min="12" max="12" width="14.57"/>
    <col customWidth="1" min="13" max="14" width="15.0"/>
    <col customWidth="1" min="15" max="15" width="14.71"/>
    <col customWidth="1" min="16" max="16" width="15.0"/>
    <col customWidth="1" min="17" max="17" width="16.43"/>
    <col customWidth="1" min="18" max="18" width="15.14"/>
    <col customWidth="1" min="19" max="19" width="16.29"/>
    <col customWidth="1" min="20" max="20" width="17.14"/>
    <col customWidth="1" min="21" max="21" width="16.71"/>
    <col customWidth="1" min="22" max="24" width="14.57"/>
    <col customWidth="1" min="25" max="25" width="15.0"/>
    <col customWidth="1" min="26" max="26" width="15.86"/>
    <col customWidth="1" min="27" max="27" width="23.57"/>
    <col customWidth="1" min="28" max="28" width="0.43"/>
  </cols>
  <sheetData>
    <row r="1">
      <c r="A1" s="1" t="s">
        <v>0</v>
      </c>
      <c r="B1" s="2" t="s">
        <v>1</v>
      </c>
      <c r="C1" s="94" t="s">
        <v>66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6" t="s">
        <v>67</v>
      </c>
      <c r="Z1" s="97"/>
      <c r="AA1" s="12" t="s">
        <v>9</v>
      </c>
      <c r="AB1" s="13"/>
      <c r="AD1" s="14"/>
      <c r="AE1" s="14"/>
      <c r="AF1" s="14"/>
      <c r="AG1" s="14"/>
    </row>
    <row r="2">
      <c r="A2" s="15" t="s">
        <v>10</v>
      </c>
      <c r="B2" s="16" t="s">
        <v>11</v>
      </c>
      <c r="C2" s="98" t="s">
        <v>68</v>
      </c>
      <c r="D2" s="98" t="s">
        <v>69</v>
      </c>
      <c r="E2" s="98" t="s">
        <v>70</v>
      </c>
      <c r="F2" s="17" t="s">
        <v>71</v>
      </c>
      <c r="G2" s="98" t="s">
        <v>72</v>
      </c>
      <c r="H2" s="98" t="s">
        <v>72</v>
      </c>
      <c r="I2" s="98" t="s">
        <v>73</v>
      </c>
      <c r="J2" s="98" t="s">
        <v>74</v>
      </c>
      <c r="K2" s="99" t="s">
        <v>75</v>
      </c>
      <c r="L2" s="99" t="s">
        <v>75</v>
      </c>
      <c r="M2" s="98" t="s">
        <v>76</v>
      </c>
      <c r="N2" s="98" t="s">
        <v>77</v>
      </c>
      <c r="O2" s="98" t="s">
        <v>77</v>
      </c>
      <c r="P2" s="98" t="s">
        <v>77</v>
      </c>
      <c r="Q2" s="98" t="s">
        <v>78</v>
      </c>
      <c r="R2" s="98" t="s">
        <v>79</v>
      </c>
      <c r="S2" s="100" t="s">
        <v>80</v>
      </c>
      <c r="T2" s="100" t="s">
        <v>80</v>
      </c>
      <c r="U2" s="98" t="s">
        <v>81</v>
      </c>
      <c r="V2" s="98" t="s">
        <v>81</v>
      </c>
      <c r="W2" s="98" t="s">
        <v>82</v>
      </c>
      <c r="X2" s="98" t="s">
        <v>82</v>
      </c>
      <c r="Y2" s="98" t="s">
        <v>83</v>
      </c>
      <c r="Z2" s="98" t="s">
        <v>84</v>
      </c>
      <c r="AA2" s="101">
        <f>IFERROR(__xludf.DUMMYFUNCTION("GoogleFinance(""CURRENCY:USDINR"")"),74.91250000000001)</f>
        <v>74.9125</v>
      </c>
      <c r="AB2" s="102"/>
      <c r="AD2" s="14"/>
      <c r="AE2" s="14"/>
      <c r="AF2" s="14"/>
      <c r="AG2" s="14"/>
    </row>
    <row r="3" ht="21.75" customHeight="1">
      <c r="A3" s="22" t="s">
        <v>85</v>
      </c>
      <c r="B3" s="16"/>
      <c r="C3" s="103"/>
      <c r="D3" s="103"/>
      <c r="E3" s="103"/>
      <c r="F3" s="104"/>
      <c r="G3" s="105" t="s">
        <v>86</v>
      </c>
      <c r="H3" s="105" t="s">
        <v>87</v>
      </c>
      <c r="I3" s="105"/>
      <c r="J3" s="105"/>
      <c r="K3" s="106" t="s">
        <v>88</v>
      </c>
      <c r="L3" s="107" t="s">
        <v>89</v>
      </c>
      <c r="M3" s="105" t="s">
        <v>90</v>
      </c>
      <c r="N3" s="105" t="s">
        <v>91</v>
      </c>
      <c r="O3" s="105" t="s">
        <v>89</v>
      </c>
      <c r="P3" s="105" t="s">
        <v>90</v>
      </c>
      <c r="Q3" s="105" t="s">
        <v>88</v>
      </c>
      <c r="R3" s="105" t="s">
        <v>92</v>
      </c>
      <c r="S3" s="108" t="s">
        <v>93</v>
      </c>
      <c r="T3" s="108" t="s">
        <v>94</v>
      </c>
      <c r="U3" s="105" t="s">
        <v>95</v>
      </c>
      <c r="V3" s="105" t="s">
        <v>96</v>
      </c>
      <c r="W3" s="105" t="s">
        <v>95</v>
      </c>
      <c r="X3" s="105" t="s">
        <v>96</v>
      </c>
      <c r="Y3" s="105"/>
      <c r="Z3" s="105"/>
      <c r="AA3" s="14"/>
      <c r="AD3" s="14"/>
      <c r="AE3" s="14"/>
      <c r="AF3" s="14"/>
      <c r="AG3" s="14"/>
    </row>
    <row r="4">
      <c r="A4" s="109" t="s">
        <v>28</v>
      </c>
      <c r="B4" s="110" t="s">
        <v>29</v>
      </c>
      <c r="C4" s="23">
        <f>1</f>
        <v>1</v>
      </c>
      <c r="D4" s="23">
        <v>1.0</v>
      </c>
      <c r="E4" s="23">
        <v>1.0</v>
      </c>
      <c r="F4" s="23">
        <v>1.0</v>
      </c>
      <c r="G4" s="23">
        <v>1.0</v>
      </c>
      <c r="H4" s="23">
        <v>1.0</v>
      </c>
      <c r="I4" s="23">
        <v>1.0</v>
      </c>
      <c r="J4" s="23">
        <v>1.0</v>
      </c>
      <c r="K4" s="23">
        <v>1.0</v>
      </c>
      <c r="L4" s="23">
        <v>1.0</v>
      </c>
      <c r="M4" s="23">
        <v>1.0</v>
      </c>
      <c r="N4" s="23">
        <v>1.0</v>
      </c>
      <c r="O4" s="23">
        <v>1.0</v>
      </c>
      <c r="P4" s="23">
        <v>1.0</v>
      </c>
      <c r="Q4" s="23">
        <v>1.0</v>
      </c>
      <c r="R4" s="23">
        <v>1.0</v>
      </c>
      <c r="S4" s="24">
        <v>1.0</v>
      </c>
      <c r="T4" s="24">
        <v>1.0</v>
      </c>
      <c r="U4" s="23">
        <v>1.0</v>
      </c>
      <c r="V4" s="23">
        <v>1.0</v>
      </c>
      <c r="W4" s="23">
        <v>1.0</v>
      </c>
      <c r="X4" s="23">
        <v>1.0</v>
      </c>
      <c r="Y4" s="23">
        <v>1.0</v>
      </c>
      <c r="Z4" s="23">
        <v>1.0</v>
      </c>
      <c r="AA4" s="14"/>
      <c r="AD4" s="14"/>
      <c r="AE4" s="14"/>
      <c r="AF4" s="14"/>
      <c r="AG4" s="14"/>
    </row>
    <row r="5">
      <c r="A5" s="22" t="s">
        <v>30</v>
      </c>
      <c r="B5" s="16" t="s">
        <v>31</v>
      </c>
      <c r="C5" s="22">
        <v>28.6</v>
      </c>
      <c r="D5" s="22">
        <v>57.5</v>
      </c>
      <c r="E5" s="22">
        <v>30.55</v>
      </c>
      <c r="F5" s="22">
        <v>33.8</v>
      </c>
      <c r="G5" s="111">
        <v>40.32</v>
      </c>
      <c r="H5" s="111">
        <v>42.88</v>
      </c>
      <c r="I5" s="22">
        <v>33.15</v>
      </c>
      <c r="J5" s="22">
        <v>42.9</v>
      </c>
      <c r="K5" s="111">
        <v>28.98</v>
      </c>
      <c r="L5" s="22">
        <v>30.36</v>
      </c>
      <c r="M5" s="22">
        <v>30.36</v>
      </c>
      <c r="N5" s="22">
        <v>30.82</v>
      </c>
      <c r="O5" s="22">
        <v>31.28</v>
      </c>
      <c r="P5" s="22">
        <v>32.2</v>
      </c>
      <c r="Q5" s="111">
        <v>31.74</v>
      </c>
      <c r="R5" s="22">
        <v>32.66</v>
      </c>
      <c r="S5" s="26">
        <v>33.58</v>
      </c>
      <c r="T5" s="26">
        <v>34.04</v>
      </c>
      <c r="U5" s="22">
        <v>34.04</v>
      </c>
      <c r="V5" s="22">
        <v>35.42</v>
      </c>
      <c r="W5" s="22">
        <v>35.88</v>
      </c>
      <c r="X5" s="22">
        <v>37.26</v>
      </c>
      <c r="Y5" s="22">
        <v>4363.0</v>
      </c>
      <c r="Z5" s="22">
        <v>4813.0</v>
      </c>
      <c r="AA5" s="14"/>
      <c r="AD5" s="14"/>
      <c r="AE5" s="14"/>
      <c r="AF5" s="14"/>
      <c r="AG5" s="14"/>
    </row>
    <row r="6">
      <c r="A6" s="22" t="s">
        <v>32</v>
      </c>
      <c r="B6" s="112">
        <v>75.4</v>
      </c>
      <c r="C6" s="23">
        <f t="shared" ref="C6:Z6" si="1">C4*C5*$B$6</f>
        <v>2156.44</v>
      </c>
      <c r="D6" s="23">
        <f t="shared" si="1"/>
        <v>4335.5</v>
      </c>
      <c r="E6" s="23">
        <f t="shared" si="1"/>
        <v>2303.47</v>
      </c>
      <c r="F6" s="23">
        <f t="shared" si="1"/>
        <v>2548.52</v>
      </c>
      <c r="G6" s="23">
        <f t="shared" si="1"/>
        <v>3040.128</v>
      </c>
      <c r="H6" s="23">
        <f t="shared" si="1"/>
        <v>3233.152</v>
      </c>
      <c r="I6" s="23">
        <f t="shared" si="1"/>
        <v>2499.51</v>
      </c>
      <c r="J6" s="23">
        <f t="shared" si="1"/>
        <v>3234.66</v>
      </c>
      <c r="K6" s="23">
        <f t="shared" si="1"/>
        <v>2185.092</v>
      </c>
      <c r="L6" s="23">
        <f t="shared" si="1"/>
        <v>2289.144</v>
      </c>
      <c r="M6" s="23">
        <f t="shared" si="1"/>
        <v>2289.144</v>
      </c>
      <c r="N6" s="23">
        <f t="shared" si="1"/>
        <v>2323.828</v>
      </c>
      <c r="O6" s="23">
        <f t="shared" si="1"/>
        <v>2358.512</v>
      </c>
      <c r="P6" s="23">
        <f t="shared" si="1"/>
        <v>2427.88</v>
      </c>
      <c r="Q6" s="23">
        <f t="shared" si="1"/>
        <v>2393.196</v>
      </c>
      <c r="R6" s="23">
        <f t="shared" si="1"/>
        <v>2462.564</v>
      </c>
      <c r="S6" s="23">
        <f t="shared" si="1"/>
        <v>2531.932</v>
      </c>
      <c r="T6" s="23">
        <f t="shared" si="1"/>
        <v>2566.616</v>
      </c>
      <c r="U6" s="23">
        <f t="shared" si="1"/>
        <v>2566.616</v>
      </c>
      <c r="V6" s="23">
        <f t="shared" si="1"/>
        <v>2670.668</v>
      </c>
      <c r="W6" s="23">
        <f t="shared" si="1"/>
        <v>2705.352</v>
      </c>
      <c r="X6" s="23">
        <f t="shared" si="1"/>
        <v>2809.404</v>
      </c>
      <c r="Y6" s="23">
        <f t="shared" si="1"/>
        <v>328970.2</v>
      </c>
      <c r="Z6" s="113">
        <f t="shared" si="1"/>
        <v>362900.2</v>
      </c>
      <c r="AA6" s="14"/>
      <c r="AD6" s="14"/>
      <c r="AE6" s="14"/>
      <c r="AF6" s="14"/>
      <c r="AG6" s="14"/>
    </row>
    <row r="7">
      <c r="A7" s="30" t="s">
        <v>33</v>
      </c>
      <c r="B7" s="31">
        <v>74.4</v>
      </c>
      <c r="C7" s="32">
        <f t="shared" ref="C7:Z7" si="2">C4*C5*$B$7</f>
        <v>2127.84</v>
      </c>
      <c r="D7" s="32">
        <f t="shared" si="2"/>
        <v>4278</v>
      </c>
      <c r="E7" s="32">
        <f t="shared" si="2"/>
        <v>2272.92</v>
      </c>
      <c r="F7" s="32">
        <f t="shared" si="2"/>
        <v>2514.72</v>
      </c>
      <c r="G7" s="32">
        <f t="shared" si="2"/>
        <v>2999.808</v>
      </c>
      <c r="H7" s="32">
        <f t="shared" si="2"/>
        <v>3190.272</v>
      </c>
      <c r="I7" s="32">
        <f t="shared" si="2"/>
        <v>2466.36</v>
      </c>
      <c r="J7" s="32">
        <f t="shared" si="2"/>
        <v>3191.76</v>
      </c>
      <c r="K7" s="32">
        <f t="shared" si="2"/>
        <v>2156.112</v>
      </c>
      <c r="L7" s="32">
        <f t="shared" si="2"/>
        <v>2258.784</v>
      </c>
      <c r="M7" s="32">
        <f t="shared" si="2"/>
        <v>2258.784</v>
      </c>
      <c r="N7" s="32">
        <f t="shared" si="2"/>
        <v>2293.008</v>
      </c>
      <c r="O7" s="32">
        <f t="shared" si="2"/>
        <v>2327.232</v>
      </c>
      <c r="P7" s="32">
        <f t="shared" si="2"/>
        <v>2395.68</v>
      </c>
      <c r="Q7" s="32">
        <f t="shared" si="2"/>
        <v>2361.456</v>
      </c>
      <c r="R7" s="32">
        <f t="shared" si="2"/>
        <v>2429.904</v>
      </c>
      <c r="S7" s="32">
        <f t="shared" si="2"/>
        <v>2498.352</v>
      </c>
      <c r="T7" s="32">
        <f t="shared" si="2"/>
        <v>2532.576</v>
      </c>
      <c r="U7" s="32">
        <f t="shared" si="2"/>
        <v>2532.576</v>
      </c>
      <c r="V7" s="32">
        <f t="shared" si="2"/>
        <v>2635.248</v>
      </c>
      <c r="W7" s="32">
        <f t="shared" si="2"/>
        <v>2669.472</v>
      </c>
      <c r="X7" s="32">
        <f t="shared" si="2"/>
        <v>2772.144</v>
      </c>
      <c r="Y7" s="32">
        <f t="shared" si="2"/>
        <v>324607.2</v>
      </c>
      <c r="Z7" s="114">
        <f t="shared" si="2"/>
        <v>358087.2</v>
      </c>
      <c r="AA7" s="14"/>
      <c r="AD7" s="14"/>
      <c r="AE7" s="14"/>
      <c r="AF7" s="14"/>
      <c r="AG7" s="14"/>
    </row>
    <row r="8">
      <c r="A8" s="22" t="s">
        <v>34</v>
      </c>
      <c r="B8" s="35">
        <v>0.1</v>
      </c>
      <c r="C8" s="23">
        <f t="shared" ref="C8:Z8" si="3">C6*$B$8</f>
        <v>215.644</v>
      </c>
      <c r="D8" s="23">
        <f t="shared" si="3"/>
        <v>433.55</v>
      </c>
      <c r="E8" s="23">
        <f t="shared" si="3"/>
        <v>230.347</v>
      </c>
      <c r="F8" s="23">
        <f t="shared" si="3"/>
        <v>254.852</v>
      </c>
      <c r="G8" s="23">
        <f t="shared" si="3"/>
        <v>304.0128</v>
      </c>
      <c r="H8" s="23">
        <f t="shared" si="3"/>
        <v>323.3152</v>
      </c>
      <c r="I8" s="23">
        <f t="shared" si="3"/>
        <v>249.951</v>
      </c>
      <c r="J8" s="23">
        <f t="shared" si="3"/>
        <v>323.466</v>
      </c>
      <c r="K8" s="23">
        <f t="shared" si="3"/>
        <v>218.5092</v>
      </c>
      <c r="L8" s="23">
        <f t="shared" si="3"/>
        <v>228.9144</v>
      </c>
      <c r="M8" s="23">
        <f t="shared" si="3"/>
        <v>228.9144</v>
      </c>
      <c r="N8" s="23">
        <f t="shared" si="3"/>
        <v>232.3828</v>
      </c>
      <c r="O8" s="23">
        <f t="shared" si="3"/>
        <v>235.8512</v>
      </c>
      <c r="P8" s="23">
        <f t="shared" si="3"/>
        <v>242.788</v>
      </c>
      <c r="Q8" s="23">
        <f t="shared" si="3"/>
        <v>239.3196</v>
      </c>
      <c r="R8" s="23">
        <f t="shared" si="3"/>
        <v>246.2564</v>
      </c>
      <c r="S8" s="23">
        <f t="shared" si="3"/>
        <v>253.1932</v>
      </c>
      <c r="T8" s="23">
        <f t="shared" si="3"/>
        <v>256.6616</v>
      </c>
      <c r="U8" s="23">
        <f t="shared" si="3"/>
        <v>256.6616</v>
      </c>
      <c r="V8" s="23">
        <f t="shared" si="3"/>
        <v>267.0668</v>
      </c>
      <c r="W8" s="23">
        <f t="shared" si="3"/>
        <v>270.5352</v>
      </c>
      <c r="X8" s="23">
        <f t="shared" si="3"/>
        <v>280.9404</v>
      </c>
      <c r="Y8" s="23">
        <f t="shared" si="3"/>
        <v>32897.02</v>
      </c>
      <c r="Z8" s="113">
        <f t="shared" si="3"/>
        <v>36290.02</v>
      </c>
      <c r="AA8" s="14"/>
      <c r="AD8" s="14"/>
      <c r="AE8" s="14"/>
      <c r="AF8" s="14"/>
      <c r="AG8" s="14"/>
    </row>
    <row r="9">
      <c r="A9" s="22" t="s">
        <v>35</v>
      </c>
      <c r="B9" s="35">
        <v>0.1</v>
      </c>
      <c r="C9" s="23">
        <f t="shared" ref="C9:Z9" si="4">C8*$B$9</f>
        <v>21.5644</v>
      </c>
      <c r="D9" s="23">
        <f t="shared" si="4"/>
        <v>43.355</v>
      </c>
      <c r="E9" s="23">
        <f t="shared" si="4"/>
        <v>23.0347</v>
      </c>
      <c r="F9" s="23">
        <f t="shared" si="4"/>
        <v>25.4852</v>
      </c>
      <c r="G9" s="23">
        <f t="shared" si="4"/>
        <v>30.40128</v>
      </c>
      <c r="H9" s="23">
        <f t="shared" si="4"/>
        <v>32.33152</v>
      </c>
      <c r="I9" s="23">
        <f t="shared" si="4"/>
        <v>24.9951</v>
      </c>
      <c r="J9" s="23">
        <f t="shared" si="4"/>
        <v>32.3466</v>
      </c>
      <c r="K9" s="23">
        <f t="shared" si="4"/>
        <v>21.85092</v>
      </c>
      <c r="L9" s="23">
        <f t="shared" si="4"/>
        <v>22.89144</v>
      </c>
      <c r="M9" s="23">
        <f t="shared" si="4"/>
        <v>22.89144</v>
      </c>
      <c r="N9" s="23">
        <f t="shared" si="4"/>
        <v>23.23828</v>
      </c>
      <c r="O9" s="23">
        <f t="shared" si="4"/>
        <v>23.58512</v>
      </c>
      <c r="P9" s="23">
        <f t="shared" si="4"/>
        <v>24.2788</v>
      </c>
      <c r="Q9" s="23">
        <f t="shared" si="4"/>
        <v>23.93196</v>
      </c>
      <c r="R9" s="23">
        <f t="shared" si="4"/>
        <v>24.62564</v>
      </c>
      <c r="S9" s="23">
        <f t="shared" si="4"/>
        <v>25.31932</v>
      </c>
      <c r="T9" s="23">
        <f t="shared" si="4"/>
        <v>25.66616</v>
      </c>
      <c r="U9" s="23">
        <f t="shared" si="4"/>
        <v>25.66616</v>
      </c>
      <c r="V9" s="23">
        <f t="shared" si="4"/>
        <v>26.70668</v>
      </c>
      <c r="W9" s="23">
        <f t="shared" si="4"/>
        <v>27.05352</v>
      </c>
      <c r="X9" s="23">
        <f t="shared" si="4"/>
        <v>28.09404</v>
      </c>
      <c r="Y9" s="23">
        <f t="shared" si="4"/>
        <v>3289.702</v>
      </c>
      <c r="Z9" s="113">
        <f t="shared" si="4"/>
        <v>3629.002</v>
      </c>
      <c r="AA9" s="14"/>
      <c r="AD9" s="14"/>
      <c r="AE9" s="14"/>
      <c r="AF9" s="14"/>
      <c r="AG9" s="14"/>
    </row>
    <row r="10">
      <c r="A10" s="22" t="s">
        <v>36</v>
      </c>
      <c r="B10" s="35">
        <v>0.05</v>
      </c>
      <c r="C10" s="29">
        <f t="shared" ref="C10:Z10" si="5">SUM(C7:C9)*$B$10</f>
        <v>118.25242</v>
      </c>
      <c r="D10" s="29">
        <f t="shared" si="5"/>
        <v>237.74525</v>
      </c>
      <c r="E10" s="29">
        <f t="shared" si="5"/>
        <v>126.315085</v>
      </c>
      <c r="F10" s="29">
        <f t="shared" si="5"/>
        <v>139.75286</v>
      </c>
      <c r="G10" s="29">
        <f t="shared" si="5"/>
        <v>166.711104</v>
      </c>
      <c r="H10" s="29">
        <f t="shared" si="5"/>
        <v>177.295936</v>
      </c>
      <c r="I10" s="29">
        <f t="shared" si="5"/>
        <v>137.065305</v>
      </c>
      <c r="J10" s="29">
        <f t="shared" si="5"/>
        <v>177.37863</v>
      </c>
      <c r="K10" s="29">
        <f t="shared" si="5"/>
        <v>119.823606</v>
      </c>
      <c r="L10" s="29">
        <f t="shared" si="5"/>
        <v>125.529492</v>
      </c>
      <c r="M10" s="29">
        <f t="shared" si="5"/>
        <v>125.529492</v>
      </c>
      <c r="N10" s="29">
        <f t="shared" si="5"/>
        <v>127.431454</v>
      </c>
      <c r="O10" s="29">
        <f t="shared" si="5"/>
        <v>129.333416</v>
      </c>
      <c r="P10" s="29">
        <f t="shared" si="5"/>
        <v>133.13734</v>
      </c>
      <c r="Q10" s="29">
        <f t="shared" si="5"/>
        <v>131.235378</v>
      </c>
      <c r="R10" s="29">
        <f t="shared" si="5"/>
        <v>135.039302</v>
      </c>
      <c r="S10" s="29">
        <f t="shared" si="5"/>
        <v>138.843226</v>
      </c>
      <c r="T10" s="29">
        <f t="shared" si="5"/>
        <v>140.745188</v>
      </c>
      <c r="U10" s="29">
        <f t="shared" si="5"/>
        <v>140.745188</v>
      </c>
      <c r="V10" s="29">
        <f t="shared" si="5"/>
        <v>146.451074</v>
      </c>
      <c r="W10" s="29">
        <f t="shared" si="5"/>
        <v>148.353036</v>
      </c>
      <c r="X10" s="29">
        <f t="shared" si="5"/>
        <v>154.058922</v>
      </c>
      <c r="Y10" s="29">
        <f t="shared" si="5"/>
        <v>18039.6961</v>
      </c>
      <c r="Z10" s="113">
        <f t="shared" si="5"/>
        <v>19900.3111</v>
      </c>
      <c r="AA10" s="14"/>
      <c r="AD10" s="14"/>
      <c r="AE10" s="14"/>
      <c r="AF10" s="14"/>
      <c r="AG10" s="14"/>
    </row>
    <row r="11">
      <c r="A11" s="38" t="s">
        <v>37</v>
      </c>
      <c r="B11" s="115">
        <v>0.0045</v>
      </c>
      <c r="C11" s="29">
        <f t="shared" ref="C11:Z11" si="6">C7*$B$11</f>
        <v>9.57528</v>
      </c>
      <c r="D11" s="29">
        <f t="shared" si="6"/>
        <v>19.251</v>
      </c>
      <c r="E11" s="29">
        <f t="shared" si="6"/>
        <v>10.22814</v>
      </c>
      <c r="F11" s="29">
        <f t="shared" si="6"/>
        <v>11.31624</v>
      </c>
      <c r="G11" s="29">
        <f t="shared" si="6"/>
        <v>13.499136</v>
      </c>
      <c r="H11" s="29">
        <f t="shared" si="6"/>
        <v>14.356224</v>
      </c>
      <c r="I11" s="29">
        <f t="shared" si="6"/>
        <v>11.09862</v>
      </c>
      <c r="J11" s="29">
        <f t="shared" si="6"/>
        <v>14.36292</v>
      </c>
      <c r="K11" s="29">
        <f t="shared" si="6"/>
        <v>9.702504</v>
      </c>
      <c r="L11" s="29">
        <f t="shared" si="6"/>
        <v>10.164528</v>
      </c>
      <c r="M11" s="29">
        <f t="shared" si="6"/>
        <v>10.164528</v>
      </c>
      <c r="N11" s="29">
        <f t="shared" si="6"/>
        <v>10.318536</v>
      </c>
      <c r="O11" s="29">
        <f t="shared" si="6"/>
        <v>10.472544</v>
      </c>
      <c r="P11" s="29">
        <f t="shared" si="6"/>
        <v>10.78056</v>
      </c>
      <c r="Q11" s="29">
        <f t="shared" si="6"/>
        <v>10.626552</v>
      </c>
      <c r="R11" s="29">
        <f t="shared" si="6"/>
        <v>10.934568</v>
      </c>
      <c r="S11" s="29">
        <f t="shared" si="6"/>
        <v>11.242584</v>
      </c>
      <c r="T11" s="29">
        <f t="shared" si="6"/>
        <v>11.396592</v>
      </c>
      <c r="U11" s="29">
        <f t="shared" si="6"/>
        <v>11.396592</v>
      </c>
      <c r="V11" s="29">
        <f t="shared" si="6"/>
        <v>11.858616</v>
      </c>
      <c r="W11" s="29">
        <f t="shared" si="6"/>
        <v>12.012624</v>
      </c>
      <c r="X11" s="29">
        <f t="shared" si="6"/>
        <v>12.474648</v>
      </c>
      <c r="Y11" s="29">
        <f t="shared" si="6"/>
        <v>1460.7324</v>
      </c>
      <c r="Z11" s="113">
        <f t="shared" si="6"/>
        <v>1611.3924</v>
      </c>
      <c r="AA11" s="14"/>
      <c r="AD11" s="14"/>
      <c r="AE11" s="14"/>
      <c r="AF11" s="14"/>
      <c r="AG11" s="14"/>
    </row>
    <row r="12">
      <c r="A12" s="22" t="s">
        <v>38</v>
      </c>
      <c r="B12" s="40" t="s">
        <v>39</v>
      </c>
      <c r="C12" s="29">
        <f t="shared" ref="C12:Z12" si="7">SUM(C7:C10)-C10+C11</f>
        <v>2374.62368</v>
      </c>
      <c r="D12" s="29">
        <f t="shared" si="7"/>
        <v>4774.156</v>
      </c>
      <c r="E12" s="29">
        <f t="shared" si="7"/>
        <v>2536.52984</v>
      </c>
      <c r="F12" s="29">
        <f t="shared" si="7"/>
        <v>2806.37344</v>
      </c>
      <c r="G12" s="29">
        <f t="shared" si="7"/>
        <v>3347.721216</v>
      </c>
      <c r="H12" s="29">
        <f t="shared" si="7"/>
        <v>3560.274944</v>
      </c>
      <c r="I12" s="29">
        <f t="shared" si="7"/>
        <v>2752.40472</v>
      </c>
      <c r="J12" s="29">
        <f t="shared" si="7"/>
        <v>3561.93552</v>
      </c>
      <c r="K12" s="29">
        <f t="shared" si="7"/>
        <v>2406.174624</v>
      </c>
      <c r="L12" s="29">
        <f t="shared" si="7"/>
        <v>2520.754368</v>
      </c>
      <c r="M12" s="29">
        <f t="shared" si="7"/>
        <v>2520.754368</v>
      </c>
      <c r="N12" s="29">
        <f t="shared" si="7"/>
        <v>2558.947616</v>
      </c>
      <c r="O12" s="29">
        <f t="shared" si="7"/>
        <v>2597.140864</v>
      </c>
      <c r="P12" s="29">
        <f t="shared" si="7"/>
        <v>2673.52736</v>
      </c>
      <c r="Q12" s="29">
        <f t="shared" si="7"/>
        <v>2635.334112</v>
      </c>
      <c r="R12" s="29">
        <f t="shared" si="7"/>
        <v>2711.720608</v>
      </c>
      <c r="S12" s="29">
        <f t="shared" si="7"/>
        <v>2788.107104</v>
      </c>
      <c r="T12" s="29">
        <f t="shared" si="7"/>
        <v>2826.300352</v>
      </c>
      <c r="U12" s="29">
        <f t="shared" si="7"/>
        <v>2826.300352</v>
      </c>
      <c r="V12" s="29">
        <f t="shared" si="7"/>
        <v>2940.880096</v>
      </c>
      <c r="W12" s="29">
        <f t="shared" si="7"/>
        <v>2979.073344</v>
      </c>
      <c r="X12" s="29">
        <f t="shared" si="7"/>
        <v>3093.653088</v>
      </c>
      <c r="Y12" s="29">
        <f t="shared" si="7"/>
        <v>362254.6544</v>
      </c>
      <c r="Z12" s="113">
        <f t="shared" si="7"/>
        <v>399617.6144</v>
      </c>
      <c r="AA12" s="14"/>
      <c r="AD12" s="14"/>
      <c r="AE12" s="14"/>
      <c r="AF12" s="14"/>
      <c r="AG12" s="14"/>
    </row>
    <row r="13">
      <c r="A13" s="44" t="s">
        <v>40</v>
      </c>
      <c r="B13" s="40" t="s">
        <v>41</v>
      </c>
      <c r="C13" s="116">
        <f t="shared" ref="C13:Z13" si="8">ROUNDUP(C12,0)</f>
        <v>2375</v>
      </c>
      <c r="D13" s="116">
        <f t="shared" si="8"/>
        <v>4775</v>
      </c>
      <c r="E13" s="116">
        <f t="shared" si="8"/>
        <v>2537</v>
      </c>
      <c r="F13" s="117">
        <f t="shared" si="8"/>
        <v>2807</v>
      </c>
      <c r="G13" s="117">
        <f t="shared" si="8"/>
        <v>3348</v>
      </c>
      <c r="H13" s="117">
        <f t="shared" si="8"/>
        <v>3561</v>
      </c>
      <c r="I13" s="117">
        <f t="shared" si="8"/>
        <v>2753</v>
      </c>
      <c r="J13" s="117">
        <f t="shared" si="8"/>
        <v>3562</v>
      </c>
      <c r="K13" s="117">
        <f t="shared" si="8"/>
        <v>2407</v>
      </c>
      <c r="L13" s="117">
        <f t="shared" si="8"/>
        <v>2521</v>
      </c>
      <c r="M13" s="117">
        <f t="shared" si="8"/>
        <v>2521</v>
      </c>
      <c r="N13" s="117">
        <f t="shared" si="8"/>
        <v>2559</v>
      </c>
      <c r="O13" s="117">
        <f t="shared" si="8"/>
        <v>2598</v>
      </c>
      <c r="P13" s="117">
        <f t="shared" si="8"/>
        <v>2674</v>
      </c>
      <c r="Q13" s="117">
        <f t="shared" si="8"/>
        <v>2636</v>
      </c>
      <c r="R13" s="117">
        <f t="shared" si="8"/>
        <v>2712</v>
      </c>
      <c r="S13" s="117">
        <f t="shared" si="8"/>
        <v>2789</v>
      </c>
      <c r="T13" s="117">
        <f t="shared" si="8"/>
        <v>2827</v>
      </c>
      <c r="U13" s="117">
        <f t="shared" si="8"/>
        <v>2827</v>
      </c>
      <c r="V13" s="117">
        <f t="shared" si="8"/>
        <v>2941</v>
      </c>
      <c r="W13" s="117">
        <f t="shared" si="8"/>
        <v>2980</v>
      </c>
      <c r="X13" s="117">
        <f t="shared" si="8"/>
        <v>3094</v>
      </c>
      <c r="Y13" s="117">
        <f t="shared" si="8"/>
        <v>362255</v>
      </c>
      <c r="Z13" s="117">
        <f t="shared" si="8"/>
        <v>399618</v>
      </c>
      <c r="AA13" s="14"/>
      <c r="AD13" s="14"/>
      <c r="AE13" s="14"/>
      <c r="AF13" s="14"/>
      <c r="AG13" s="14"/>
    </row>
    <row r="14">
      <c r="A14" s="84"/>
      <c r="B14" s="118"/>
      <c r="D14" s="14"/>
      <c r="E14" s="14"/>
      <c r="L14" s="72"/>
      <c r="N14" s="14"/>
      <c r="S14" s="14"/>
      <c r="W14" s="14"/>
      <c r="X14" s="14"/>
      <c r="Y14" s="14"/>
      <c r="Z14" s="14"/>
      <c r="AA14" s="14"/>
      <c r="AD14" s="14"/>
      <c r="AE14" s="14"/>
      <c r="AF14" s="14"/>
      <c r="AG14" s="14"/>
    </row>
    <row r="15">
      <c r="B15" s="118"/>
      <c r="C15" s="72"/>
      <c r="D15" s="72"/>
      <c r="E15" s="72"/>
      <c r="F15" s="72"/>
      <c r="G15" s="72"/>
      <c r="H15" s="72"/>
      <c r="I15" s="72"/>
      <c r="J15" s="72"/>
      <c r="K15" s="72"/>
      <c r="M15" s="72"/>
      <c r="N15" s="72"/>
      <c r="O15" s="72"/>
      <c r="P15" s="72"/>
      <c r="Q15" s="72"/>
      <c r="S15" s="72"/>
      <c r="T15" s="72"/>
      <c r="U15" s="72"/>
      <c r="V15" s="72"/>
      <c r="W15" s="72"/>
      <c r="X15" s="72"/>
      <c r="Y15" s="14"/>
      <c r="Z15" s="14"/>
      <c r="AA15" s="14"/>
      <c r="AD15" s="14"/>
      <c r="AE15" s="14"/>
      <c r="AF15" s="14"/>
      <c r="AG15" s="14"/>
    </row>
    <row r="16">
      <c r="B16" s="118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14"/>
      <c r="Z16" s="14"/>
      <c r="AA16" s="14"/>
      <c r="AD16" s="14"/>
      <c r="AE16" s="14"/>
      <c r="AF16" s="14"/>
      <c r="AG16" s="14"/>
    </row>
    <row r="17">
      <c r="A17" s="50" t="s">
        <v>45</v>
      </c>
      <c r="B17" s="15" t="s">
        <v>46</v>
      </c>
      <c r="C17" s="119" t="s">
        <v>65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3"/>
      <c r="W17" s="120"/>
      <c r="X17" s="120"/>
      <c r="Y17" s="121"/>
      <c r="Z17" s="121"/>
      <c r="AA17" s="14"/>
      <c r="AD17" s="14"/>
      <c r="AE17" s="14"/>
      <c r="AF17" s="14"/>
      <c r="AG17" s="14"/>
    </row>
    <row r="18">
      <c r="A18" s="50" t="s">
        <v>47</v>
      </c>
      <c r="B18" s="57">
        <v>1.01</v>
      </c>
      <c r="C18" s="122">
        <f t="shared" ref="C18:Z18" si="9">ROUNDUP((C$13*$B18),0)</f>
        <v>2399</v>
      </c>
      <c r="D18" s="122">
        <f t="shared" si="9"/>
        <v>4823</v>
      </c>
      <c r="E18" s="122">
        <f t="shared" si="9"/>
        <v>2563</v>
      </c>
      <c r="F18" s="122">
        <f t="shared" si="9"/>
        <v>2836</v>
      </c>
      <c r="G18" s="122">
        <f t="shared" si="9"/>
        <v>3382</v>
      </c>
      <c r="H18" s="122">
        <f t="shared" si="9"/>
        <v>3597</v>
      </c>
      <c r="I18" s="122">
        <f t="shared" si="9"/>
        <v>2781</v>
      </c>
      <c r="J18" s="122">
        <f t="shared" si="9"/>
        <v>3598</v>
      </c>
      <c r="K18" s="122">
        <f t="shared" si="9"/>
        <v>2432</v>
      </c>
      <c r="L18" s="122">
        <f t="shared" si="9"/>
        <v>2547</v>
      </c>
      <c r="M18" s="122">
        <f t="shared" si="9"/>
        <v>2547</v>
      </c>
      <c r="N18" s="122">
        <f t="shared" si="9"/>
        <v>2585</v>
      </c>
      <c r="O18" s="122">
        <f t="shared" si="9"/>
        <v>2624</v>
      </c>
      <c r="P18" s="122">
        <f t="shared" si="9"/>
        <v>2701</v>
      </c>
      <c r="Q18" s="122">
        <f t="shared" si="9"/>
        <v>2663</v>
      </c>
      <c r="R18" s="122">
        <f t="shared" si="9"/>
        <v>2740</v>
      </c>
      <c r="S18" s="122">
        <f t="shared" si="9"/>
        <v>2817</v>
      </c>
      <c r="T18" s="122">
        <f t="shared" si="9"/>
        <v>2856</v>
      </c>
      <c r="U18" s="122">
        <f t="shared" si="9"/>
        <v>2856</v>
      </c>
      <c r="V18" s="122">
        <f t="shared" si="9"/>
        <v>2971</v>
      </c>
      <c r="W18" s="122">
        <f t="shared" si="9"/>
        <v>3010</v>
      </c>
      <c r="X18" s="122">
        <f t="shared" si="9"/>
        <v>3125</v>
      </c>
      <c r="Y18" s="122">
        <f t="shared" si="9"/>
        <v>365878</v>
      </c>
      <c r="Z18" s="122">
        <f t="shared" si="9"/>
        <v>403615</v>
      </c>
      <c r="AA18" s="14"/>
      <c r="AB18" s="14"/>
      <c r="AC18" s="14"/>
      <c r="AD18" s="14"/>
      <c r="AE18" s="14"/>
      <c r="AF18" s="14"/>
      <c r="AG18" s="14"/>
    </row>
    <row r="19">
      <c r="A19" s="56" t="s">
        <v>48</v>
      </c>
      <c r="B19" s="57">
        <v>1.02</v>
      </c>
      <c r="C19" s="123">
        <f t="shared" ref="C19:Z19" si="10">ROUNDUP((C$13*$B19),0)</f>
        <v>2423</v>
      </c>
      <c r="D19" s="124">
        <f t="shared" si="10"/>
        <v>4871</v>
      </c>
      <c r="E19" s="124">
        <f t="shared" si="10"/>
        <v>2588</v>
      </c>
      <c r="F19" s="124">
        <f t="shared" si="10"/>
        <v>2864</v>
      </c>
      <c r="G19" s="124">
        <f t="shared" si="10"/>
        <v>3415</v>
      </c>
      <c r="H19" s="124">
        <f t="shared" si="10"/>
        <v>3633</v>
      </c>
      <c r="I19" s="124">
        <f t="shared" si="10"/>
        <v>2809</v>
      </c>
      <c r="J19" s="124">
        <f t="shared" si="10"/>
        <v>3634</v>
      </c>
      <c r="K19" s="124">
        <f t="shared" si="10"/>
        <v>2456</v>
      </c>
      <c r="L19" s="124">
        <f t="shared" si="10"/>
        <v>2572</v>
      </c>
      <c r="M19" s="124">
        <f t="shared" si="10"/>
        <v>2572</v>
      </c>
      <c r="N19" s="124">
        <f t="shared" si="10"/>
        <v>2611</v>
      </c>
      <c r="O19" s="124">
        <f t="shared" si="10"/>
        <v>2650</v>
      </c>
      <c r="P19" s="124">
        <f t="shared" si="10"/>
        <v>2728</v>
      </c>
      <c r="Q19" s="124">
        <f t="shared" si="10"/>
        <v>2689</v>
      </c>
      <c r="R19" s="124">
        <f t="shared" si="10"/>
        <v>2767</v>
      </c>
      <c r="S19" s="124">
        <f t="shared" si="10"/>
        <v>2845</v>
      </c>
      <c r="T19" s="124">
        <f t="shared" si="10"/>
        <v>2884</v>
      </c>
      <c r="U19" s="124">
        <f t="shared" si="10"/>
        <v>2884</v>
      </c>
      <c r="V19" s="124">
        <f t="shared" si="10"/>
        <v>3000</v>
      </c>
      <c r="W19" s="124">
        <f t="shared" si="10"/>
        <v>3040</v>
      </c>
      <c r="X19" s="124">
        <f t="shared" si="10"/>
        <v>3156</v>
      </c>
      <c r="Y19" s="124">
        <f t="shared" si="10"/>
        <v>369501</v>
      </c>
      <c r="Z19" s="124">
        <f t="shared" si="10"/>
        <v>407611</v>
      </c>
      <c r="AA19" s="14"/>
      <c r="AD19" s="14"/>
      <c r="AE19" s="14"/>
      <c r="AF19" s="14"/>
      <c r="AG19" s="14"/>
    </row>
    <row r="20">
      <c r="A20" s="59" t="s">
        <v>49</v>
      </c>
      <c r="B20" s="57">
        <v>1.03</v>
      </c>
      <c r="C20" s="125">
        <f t="shared" ref="C20:Z20" si="11">ROUNDUP((C$13*$B20),0)</f>
        <v>2447</v>
      </c>
      <c r="D20" s="125">
        <f t="shared" si="11"/>
        <v>4919</v>
      </c>
      <c r="E20" s="125">
        <f t="shared" si="11"/>
        <v>2614</v>
      </c>
      <c r="F20" s="125">
        <f t="shared" si="11"/>
        <v>2892</v>
      </c>
      <c r="G20" s="125">
        <f t="shared" si="11"/>
        <v>3449</v>
      </c>
      <c r="H20" s="125">
        <f t="shared" si="11"/>
        <v>3668</v>
      </c>
      <c r="I20" s="125">
        <f t="shared" si="11"/>
        <v>2836</v>
      </c>
      <c r="J20" s="125">
        <f t="shared" si="11"/>
        <v>3669</v>
      </c>
      <c r="K20" s="125">
        <f t="shared" si="11"/>
        <v>2480</v>
      </c>
      <c r="L20" s="125">
        <f t="shared" si="11"/>
        <v>2597</v>
      </c>
      <c r="M20" s="125">
        <f t="shared" si="11"/>
        <v>2597</v>
      </c>
      <c r="N20" s="125">
        <f t="shared" si="11"/>
        <v>2636</v>
      </c>
      <c r="O20" s="125">
        <f t="shared" si="11"/>
        <v>2676</v>
      </c>
      <c r="P20" s="125">
        <f t="shared" si="11"/>
        <v>2755</v>
      </c>
      <c r="Q20" s="125">
        <f t="shared" si="11"/>
        <v>2716</v>
      </c>
      <c r="R20" s="125">
        <f t="shared" si="11"/>
        <v>2794</v>
      </c>
      <c r="S20" s="125">
        <f t="shared" si="11"/>
        <v>2873</v>
      </c>
      <c r="T20" s="125">
        <f t="shared" si="11"/>
        <v>2912</v>
      </c>
      <c r="U20" s="125">
        <f t="shared" si="11"/>
        <v>2912</v>
      </c>
      <c r="V20" s="125">
        <f t="shared" si="11"/>
        <v>3030</v>
      </c>
      <c r="W20" s="125">
        <f t="shared" si="11"/>
        <v>3070</v>
      </c>
      <c r="X20" s="125">
        <f t="shared" si="11"/>
        <v>3187</v>
      </c>
      <c r="Y20" s="125">
        <f t="shared" si="11"/>
        <v>373123</v>
      </c>
      <c r="Z20" s="125">
        <f t="shared" si="11"/>
        <v>411607</v>
      </c>
      <c r="AA20" s="14"/>
      <c r="AD20" s="14"/>
      <c r="AE20" s="14"/>
      <c r="AF20" s="14"/>
      <c r="AG20" s="14"/>
    </row>
    <row r="21" ht="15.0" customHeight="1">
      <c r="A21" s="56" t="s">
        <v>50</v>
      </c>
      <c r="B21" s="57">
        <v>1.04</v>
      </c>
      <c r="C21" s="123">
        <f t="shared" ref="C21:Z21" si="12">ROUNDUP((C$13*$B21),0)</f>
        <v>2470</v>
      </c>
      <c r="D21" s="123">
        <f t="shared" si="12"/>
        <v>4966</v>
      </c>
      <c r="E21" s="123">
        <f t="shared" si="12"/>
        <v>2639</v>
      </c>
      <c r="F21" s="123">
        <f t="shared" si="12"/>
        <v>2920</v>
      </c>
      <c r="G21" s="123">
        <f t="shared" si="12"/>
        <v>3482</v>
      </c>
      <c r="H21" s="123">
        <f t="shared" si="12"/>
        <v>3704</v>
      </c>
      <c r="I21" s="123">
        <f t="shared" si="12"/>
        <v>2864</v>
      </c>
      <c r="J21" s="123">
        <f t="shared" si="12"/>
        <v>3705</v>
      </c>
      <c r="K21" s="123">
        <f t="shared" si="12"/>
        <v>2504</v>
      </c>
      <c r="L21" s="123">
        <f t="shared" si="12"/>
        <v>2622</v>
      </c>
      <c r="M21" s="123">
        <f t="shared" si="12"/>
        <v>2622</v>
      </c>
      <c r="N21" s="123">
        <f t="shared" si="12"/>
        <v>2662</v>
      </c>
      <c r="O21" s="123">
        <f t="shared" si="12"/>
        <v>2702</v>
      </c>
      <c r="P21" s="123">
        <f t="shared" si="12"/>
        <v>2781</v>
      </c>
      <c r="Q21" s="123">
        <f t="shared" si="12"/>
        <v>2742</v>
      </c>
      <c r="R21" s="123">
        <f t="shared" si="12"/>
        <v>2821</v>
      </c>
      <c r="S21" s="123">
        <f t="shared" si="12"/>
        <v>2901</v>
      </c>
      <c r="T21" s="123">
        <f t="shared" si="12"/>
        <v>2941</v>
      </c>
      <c r="U21" s="123">
        <f t="shared" si="12"/>
        <v>2941</v>
      </c>
      <c r="V21" s="123">
        <f t="shared" si="12"/>
        <v>3059</v>
      </c>
      <c r="W21" s="123">
        <f t="shared" si="12"/>
        <v>3100</v>
      </c>
      <c r="X21" s="123">
        <f t="shared" si="12"/>
        <v>3218</v>
      </c>
      <c r="Y21" s="123">
        <f t="shared" si="12"/>
        <v>376746</v>
      </c>
      <c r="Z21" s="123">
        <f t="shared" si="12"/>
        <v>415603</v>
      </c>
      <c r="AA21" s="14"/>
      <c r="AD21" s="14"/>
      <c r="AE21" s="14"/>
      <c r="AF21" s="14"/>
      <c r="AG21" s="14"/>
    </row>
    <row r="22" ht="15.0" customHeight="1">
      <c r="A22" s="59" t="s">
        <v>51</v>
      </c>
      <c r="B22" s="57">
        <v>1.05</v>
      </c>
      <c r="C22" s="125">
        <f t="shared" ref="C22:Z22" si="13">ROUNDUP((C$13*$B22),0)</f>
        <v>2494</v>
      </c>
      <c r="D22" s="125">
        <f t="shared" si="13"/>
        <v>5014</v>
      </c>
      <c r="E22" s="125">
        <f t="shared" si="13"/>
        <v>2664</v>
      </c>
      <c r="F22" s="125">
        <f t="shared" si="13"/>
        <v>2948</v>
      </c>
      <c r="G22" s="125">
        <f t="shared" si="13"/>
        <v>3516</v>
      </c>
      <c r="H22" s="125">
        <f t="shared" si="13"/>
        <v>3740</v>
      </c>
      <c r="I22" s="125">
        <f t="shared" si="13"/>
        <v>2891</v>
      </c>
      <c r="J22" s="125">
        <f t="shared" si="13"/>
        <v>3741</v>
      </c>
      <c r="K22" s="125">
        <f t="shared" si="13"/>
        <v>2528</v>
      </c>
      <c r="L22" s="125">
        <f t="shared" si="13"/>
        <v>2648</v>
      </c>
      <c r="M22" s="125">
        <f t="shared" si="13"/>
        <v>2648</v>
      </c>
      <c r="N22" s="125">
        <f t="shared" si="13"/>
        <v>2687</v>
      </c>
      <c r="O22" s="125">
        <f t="shared" si="13"/>
        <v>2728</v>
      </c>
      <c r="P22" s="125">
        <f t="shared" si="13"/>
        <v>2808</v>
      </c>
      <c r="Q22" s="125">
        <f t="shared" si="13"/>
        <v>2768</v>
      </c>
      <c r="R22" s="125">
        <f t="shared" si="13"/>
        <v>2848</v>
      </c>
      <c r="S22" s="125">
        <f t="shared" si="13"/>
        <v>2929</v>
      </c>
      <c r="T22" s="125">
        <f t="shared" si="13"/>
        <v>2969</v>
      </c>
      <c r="U22" s="125">
        <f t="shared" si="13"/>
        <v>2969</v>
      </c>
      <c r="V22" s="125">
        <f t="shared" si="13"/>
        <v>3089</v>
      </c>
      <c r="W22" s="125">
        <f t="shared" si="13"/>
        <v>3129</v>
      </c>
      <c r="X22" s="125">
        <f t="shared" si="13"/>
        <v>3249</v>
      </c>
      <c r="Y22" s="125">
        <f t="shared" si="13"/>
        <v>380368</v>
      </c>
      <c r="Z22" s="125">
        <f t="shared" si="13"/>
        <v>419599</v>
      </c>
      <c r="AA22" s="14"/>
      <c r="AD22" s="14"/>
      <c r="AE22" s="14"/>
      <c r="AF22" s="14"/>
      <c r="AG22" s="14"/>
    </row>
    <row r="23" ht="15.0" customHeight="1">
      <c r="A23" s="56" t="s">
        <v>52</v>
      </c>
      <c r="B23" s="57">
        <v>1.06</v>
      </c>
      <c r="C23" s="123">
        <f t="shared" ref="C23:Z23" si="14">ROUNDUP((C$13*$B23),0)</f>
        <v>2518</v>
      </c>
      <c r="D23" s="123">
        <f t="shared" si="14"/>
        <v>5062</v>
      </c>
      <c r="E23" s="123">
        <f t="shared" si="14"/>
        <v>2690</v>
      </c>
      <c r="F23" s="123">
        <f t="shared" si="14"/>
        <v>2976</v>
      </c>
      <c r="G23" s="123">
        <f t="shared" si="14"/>
        <v>3549</v>
      </c>
      <c r="H23" s="123">
        <f t="shared" si="14"/>
        <v>3775</v>
      </c>
      <c r="I23" s="123">
        <f t="shared" si="14"/>
        <v>2919</v>
      </c>
      <c r="J23" s="123">
        <f t="shared" si="14"/>
        <v>3776</v>
      </c>
      <c r="K23" s="123">
        <f t="shared" si="14"/>
        <v>2552</v>
      </c>
      <c r="L23" s="123">
        <f t="shared" si="14"/>
        <v>2673</v>
      </c>
      <c r="M23" s="123">
        <f t="shared" si="14"/>
        <v>2673</v>
      </c>
      <c r="N23" s="123">
        <f t="shared" si="14"/>
        <v>2713</v>
      </c>
      <c r="O23" s="123">
        <f t="shared" si="14"/>
        <v>2754</v>
      </c>
      <c r="P23" s="123">
        <f t="shared" si="14"/>
        <v>2835</v>
      </c>
      <c r="Q23" s="123">
        <f t="shared" si="14"/>
        <v>2795</v>
      </c>
      <c r="R23" s="123">
        <f t="shared" si="14"/>
        <v>2875</v>
      </c>
      <c r="S23" s="123">
        <f t="shared" si="14"/>
        <v>2957</v>
      </c>
      <c r="T23" s="123">
        <f t="shared" si="14"/>
        <v>2997</v>
      </c>
      <c r="U23" s="123">
        <f t="shared" si="14"/>
        <v>2997</v>
      </c>
      <c r="V23" s="123">
        <f t="shared" si="14"/>
        <v>3118</v>
      </c>
      <c r="W23" s="123">
        <f t="shared" si="14"/>
        <v>3159</v>
      </c>
      <c r="X23" s="123">
        <f t="shared" si="14"/>
        <v>3280</v>
      </c>
      <c r="Y23" s="123">
        <f t="shared" si="14"/>
        <v>383991</v>
      </c>
      <c r="Z23" s="123">
        <f t="shared" si="14"/>
        <v>423596</v>
      </c>
      <c r="AA23" s="14"/>
      <c r="AD23" s="14"/>
      <c r="AE23" s="14"/>
      <c r="AF23" s="14"/>
      <c r="AG23" s="14"/>
    </row>
    <row r="24" ht="15.0" customHeight="1">
      <c r="A24" s="59" t="s">
        <v>53</v>
      </c>
      <c r="B24" s="57">
        <v>1.07</v>
      </c>
      <c r="C24" s="125">
        <f t="shared" ref="C24:Z24" si="15">ROUNDUP((C$13*$B24),0)</f>
        <v>2542</v>
      </c>
      <c r="D24" s="125">
        <f t="shared" si="15"/>
        <v>5110</v>
      </c>
      <c r="E24" s="125">
        <f t="shared" si="15"/>
        <v>2715</v>
      </c>
      <c r="F24" s="125">
        <f t="shared" si="15"/>
        <v>3004</v>
      </c>
      <c r="G24" s="125">
        <f t="shared" si="15"/>
        <v>3583</v>
      </c>
      <c r="H24" s="125">
        <f t="shared" si="15"/>
        <v>3811</v>
      </c>
      <c r="I24" s="125">
        <f t="shared" si="15"/>
        <v>2946</v>
      </c>
      <c r="J24" s="125">
        <f t="shared" si="15"/>
        <v>3812</v>
      </c>
      <c r="K24" s="125">
        <f t="shared" si="15"/>
        <v>2576</v>
      </c>
      <c r="L24" s="125">
        <f t="shared" si="15"/>
        <v>2698</v>
      </c>
      <c r="M24" s="125">
        <f t="shared" si="15"/>
        <v>2698</v>
      </c>
      <c r="N24" s="125">
        <f t="shared" si="15"/>
        <v>2739</v>
      </c>
      <c r="O24" s="125">
        <f t="shared" si="15"/>
        <v>2780</v>
      </c>
      <c r="P24" s="125">
        <f t="shared" si="15"/>
        <v>2862</v>
      </c>
      <c r="Q24" s="125">
        <f t="shared" si="15"/>
        <v>2821</v>
      </c>
      <c r="R24" s="125">
        <f t="shared" si="15"/>
        <v>2902</v>
      </c>
      <c r="S24" s="125">
        <f t="shared" si="15"/>
        <v>2985</v>
      </c>
      <c r="T24" s="125">
        <f t="shared" si="15"/>
        <v>3025</v>
      </c>
      <c r="U24" s="125">
        <f t="shared" si="15"/>
        <v>3025</v>
      </c>
      <c r="V24" s="125">
        <f t="shared" si="15"/>
        <v>3147</v>
      </c>
      <c r="W24" s="125">
        <f t="shared" si="15"/>
        <v>3189</v>
      </c>
      <c r="X24" s="125">
        <f t="shared" si="15"/>
        <v>3311</v>
      </c>
      <c r="Y24" s="125">
        <f t="shared" si="15"/>
        <v>387613</v>
      </c>
      <c r="Z24" s="125">
        <f t="shared" si="15"/>
        <v>427592</v>
      </c>
      <c r="AA24" s="14"/>
      <c r="AD24" s="14"/>
      <c r="AE24" s="14"/>
      <c r="AF24" s="14"/>
      <c r="AG24" s="14"/>
    </row>
    <row r="25" ht="15.0" customHeight="1">
      <c r="A25" s="56" t="s">
        <v>54</v>
      </c>
      <c r="B25" s="57">
        <v>1.08</v>
      </c>
      <c r="C25" s="123">
        <f t="shared" ref="C25:Z25" si="16">ROUNDUP((C$13*$B25),0)</f>
        <v>2565</v>
      </c>
      <c r="D25" s="123">
        <f t="shared" si="16"/>
        <v>5157</v>
      </c>
      <c r="E25" s="123">
        <f t="shared" si="16"/>
        <v>2740</v>
      </c>
      <c r="F25" s="123">
        <f t="shared" si="16"/>
        <v>3032</v>
      </c>
      <c r="G25" s="123">
        <f t="shared" si="16"/>
        <v>3616</v>
      </c>
      <c r="H25" s="123">
        <f t="shared" si="16"/>
        <v>3846</v>
      </c>
      <c r="I25" s="123">
        <f t="shared" si="16"/>
        <v>2974</v>
      </c>
      <c r="J25" s="123">
        <f t="shared" si="16"/>
        <v>3847</v>
      </c>
      <c r="K25" s="123">
        <f t="shared" si="16"/>
        <v>2600</v>
      </c>
      <c r="L25" s="123">
        <f t="shared" si="16"/>
        <v>2723</v>
      </c>
      <c r="M25" s="123">
        <f t="shared" si="16"/>
        <v>2723</v>
      </c>
      <c r="N25" s="123">
        <f t="shared" si="16"/>
        <v>2764</v>
      </c>
      <c r="O25" s="123">
        <f t="shared" si="16"/>
        <v>2806</v>
      </c>
      <c r="P25" s="123">
        <f t="shared" si="16"/>
        <v>2888</v>
      </c>
      <c r="Q25" s="123">
        <f t="shared" si="16"/>
        <v>2847</v>
      </c>
      <c r="R25" s="123">
        <f t="shared" si="16"/>
        <v>2929</v>
      </c>
      <c r="S25" s="123">
        <f t="shared" si="16"/>
        <v>3013</v>
      </c>
      <c r="T25" s="123">
        <f t="shared" si="16"/>
        <v>3054</v>
      </c>
      <c r="U25" s="123">
        <f t="shared" si="16"/>
        <v>3054</v>
      </c>
      <c r="V25" s="123">
        <f t="shared" si="16"/>
        <v>3177</v>
      </c>
      <c r="W25" s="123">
        <f t="shared" si="16"/>
        <v>3219</v>
      </c>
      <c r="X25" s="123">
        <f t="shared" si="16"/>
        <v>3342</v>
      </c>
      <c r="Y25" s="123">
        <f t="shared" si="16"/>
        <v>391236</v>
      </c>
      <c r="Z25" s="123">
        <f t="shared" si="16"/>
        <v>431588</v>
      </c>
      <c r="AA25" s="14"/>
      <c r="AD25" s="14"/>
      <c r="AE25" s="14"/>
      <c r="AF25" s="14"/>
      <c r="AG25" s="14"/>
    </row>
    <row r="26" ht="15.0" customHeight="1">
      <c r="A26" s="59" t="s">
        <v>55</v>
      </c>
      <c r="B26" s="57">
        <v>1.09</v>
      </c>
      <c r="C26" s="125">
        <f t="shared" ref="C26:Z26" si="17">ROUNDUP((C$13*$B26),0)</f>
        <v>2589</v>
      </c>
      <c r="D26" s="125">
        <f t="shared" si="17"/>
        <v>5205</v>
      </c>
      <c r="E26" s="125">
        <f t="shared" si="17"/>
        <v>2766</v>
      </c>
      <c r="F26" s="125">
        <f t="shared" si="17"/>
        <v>3060</v>
      </c>
      <c r="G26" s="125">
        <f t="shared" si="17"/>
        <v>3650</v>
      </c>
      <c r="H26" s="125">
        <f t="shared" si="17"/>
        <v>3882</v>
      </c>
      <c r="I26" s="125">
        <f t="shared" si="17"/>
        <v>3001</v>
      </c>
      <c r="J26" s="125">
        <f t="shared" si="17"/>
        <v>3883</v>
      </c>
      <c r="K26" s="125">
        <f t="shared" si="17"/>
        <v>2624</v>
      </c>
      <c r="L26" s="125">
        <f t="shared" si="17"/>
        <v>2748</v>
      </c>
      <c r="M26" s="125">
        <f t="shared" si="17"/>
        <v>2748</v>
      </c>
      <c r="N26" s="125">
        <f t="shared" si="17"/>
        <v>2790</v>
      </c>
      <c r="O26" s="125">
        <f t="shared" si="17"/>
        <v>2832</v>
      </c>
      <c r="P26" s="125">
        <f t="shared" si="17"/>
        <v>2915</v>
      </c>
      <c r="Q26" s="125">
        <f t="shared" si="17"/>
        <v>2874</v>
      </c>
      <c r="R26" s="125">
        <f t="shared" si="17"/>
        <v>2957</v>
      </c>
      <c r="S26" s="125">
        <f t="shared" si="17"/>
        <v>3041</v>
      </c>
      <c r="T26" s="125">
        <f t="shared" si="17"/>
        <v>3082</v>
      </c>
      <c r="U26" s="125">
        <f t="shared" si="17"/>
        <v>3082</v>
      </c>
      <c r="V26" s="125">
        <f t="shared" si="17"/>
        <v>3206</v>
      </c>
      <c r="W26" s="125">
        <f t="shared" si="17"/>
        <v>3249</v>
      </c>
      <c r="X26" s="125">
        <f t="shared" si="17"/>
        <v>3373</v>
      </c>
      <c r="Y26" s="125">
        <f t="shared" si="17"/>
        <v>394858</v>
      </c>
      <c r="Z26" s="125">
        <f t="shared" si="17"/>
        <v>435584</v>
      </c>
      <c r="AA26" s="14"/>
      <c r="AD26" s="14"/>
      <c r="AE26" s="14"/>
      <c r="AF26" s="14"/>
      <c r="AG26" s="14"/>
    </row>
    <row r="27" ht="15.0" customHeight="1">
      <c r="A27" s="56" t="s">
        <v>56</v>
      </c>
      <c r="B27" s="57">
        <v>1.1</v>
      </c>
      <c r="C27" s="123">
        <f t="shared" ref="C27:Z27" si="18">ROUNDUP((C$13*$B27),0)</f>
        <v>2613</v>
      </c>
      <c r="D27" s="123">
        <f t="shared" si="18"/>
        <v>5253</v>
      </c>
      <c r="E27" s="123">
        <f t="shared" si="18"/>
        <v>2791</v>
      </c>
      <c r="F27" s="123">
        <f t="shared" si="18"/>
        <v>3088</v>
      </c>
      <c r="G27" s="123">
        <f t="shared" si="18"/>
        <v>3683</v>
      </c>
      <c r="H27" s="123">
        <f t="shared" si="18"/>
        <v>3918</v>
      </c>
      <c r="I27" s="123">
        <f t="shared" si="18"/>
        <v>3029</v>
      </c>
      <c r="J27" s="123">
        <f t="shared" si="18"/>
        <v>3919</v>
      </c>
      <c r="K27" s="123">
        <f t="shared" si="18"/>
        <v>2648</v>
      </c>
      <c r="L27" s="123">
        <f t="shared" si="18"/>
        <v>2774</v>
      </c>
      <c r="M27" s="123">
        <f t="shared" si="18"/>
        <v>2774</v>
      </c>
      <c r="N27" s="123">
        <f t="shared" si="18"/>
        <v>2815</v>
      </c>
      <c r="O27" s="123">
        <f t="shared" si="18"/>
        <v>2858</v>
      </c>
      <c r="P27" s="123">
        <f t="shared" si="18"/>
        <v>2942</v>
      </c>
      <c r="Q27" s="123">
        <f t="shared" si="18"/>
        <v>2900</v>
      </c>
      <c r="R27" s="123">
        <f t="shared" si="18"/>
        <v>2984</v>
      </c>
      <c r="S27" s="123">
        <f t="shared" si="18"/>
        <v>3068</v>
      </c>
      <c r="T27" s="123">
        <f t="shared" si="18"/>
        <v>3110</v>
      </c>
      <c r="U27" s="123">
        <f t="shared" si="18"/>
        <v>3110</v>
      </c>
      <c r="V27" s="123">
        <f t="shared" si="18"/>
        <v>3236</v>
      </c>
      <c r="W27" s="123">
        <f t="shared" si="18"/>
        <v>3278</v>
      </c>
      <c r="X27" s="123">
        <f t="shared" si="18"/>
        <v>3404</v>
      </c>
      <c r="Y27" s="123">
        <f t="shared" si="18"/>
        <v>398481</v>
      </c>
      <c r="Z27" s="123">
        <f t="shared" si="18"/>
        <v>439580</v>
      </c>
      <c r="AA27" s="14"/>
      <c r="AC27" s="126">
        <v>32.0</v>
      </c>
      <c r="AD27" s="14">
        <v>533.0</v>
      </c>
      <c r="AE27" s="14"/>
      <c r="AF27" s="14"/>
      <c r="AG27" s="14"/>
    </row>
    <row r="28" ht="15.75" customHeight="1">
      <c r="A28" s="48"/>
      <c r="B28" s="118"/>
      <c r="D28" s="14"/>
      <c r="E28" s="14"/>
      <c r="H28" s="14"/>
      <c r="I28" s="62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D28" s="14">
        <f>AD27*AC27</f>
        <v>17056</v>
      </c>
      <c r="AE28" s="14"/>
      <c r="AF28" s="14"/>
      <c r="AG28" s="14"/>
    </row>
    <row r="29" ht="16.5" customHeight="1">
      <c r="A29" s="48"/>
      <c r="B29" s="118"/>
      <c r="D29" s="14"/>
      <c r="E29" s="14"/>
      <c r="H29" s="14"/>
      <c r="I29" s="62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74"/>
      <c r="Z29" s="14"/>
      <c r="AA29" s="14"/>
      <c r="AD29" s="14"/>
      <c r="AE29" s="14"/>
      <c r="AF29" s="14"/>
      <c r="AG29" s="14"/>
    </row>
    <row r="30" ht="16.5" customHeight="1">
      <c r="A30" s="50" t="s">
        <v>45</v>
      </c>
      <c r="B30" s="15" t="s">
        <v>57</v>
      </c>
      <c r="C30" s="63" t="s">
        <v>58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5"/>
      <c r="Q30" s="127"/>
      <c r="R30" s="127"/>
      <c r="S30" s="127"/>
      <c r="T30" s="127"/>
      <c r="U30" s="127"/>
      <c r="V30" s="128"/>
      <c r="W30" s="121"/>
      <c r="X30" s="121"/>
      <c r="Y30" s="129"/>
      <c r="Z30" s="121"/>
      <c r="AA30" s="64" t="s">
        <v>59</v>
      </c>
      <c r="AB30" s="65"/>
      <c r="AC30" s="13"/>
      <c r="AD30" s="14"/>
      <c r="AE30" s="14"/>
      <c r="AF30" s="14"/>
      <c r="AG30" s="14"/>
    </row>
    <row r="31" ht="15.75" customHeight="1">
      <c r="A31" s="56" t="s">
        <v>48</v>
      </c>
      <c r="B31" s="57">
        <v>1.0</v>
      </c>
      <c r="C31" s="130">
        <f t="shared" ref="C31:M31" si="19">(C19-C$13)*$B31</f>
        <v>48</v>
      </c>
      <c r="D31" s="130">
        <f t="shared" si="19"/>
        <v>96</v>
      </c>
      <c r="E31" s="130">
        <f t="shared" si="19"/>
        <v>51</v>
      </c>
      <c r="F31" s="130">
        <f t="shared" si="19"/>
        <v>57</v>
      </c>
      <c r="G31" s="130">
        <f t="shared" si="19"/>
        <v>67</v>
      </c>
      <c r="H31" s="130">
        <f t="shared" si="19"/>
        <v>72</v>
      </c>
      <c r="I31" s="130">
        <f t="shared" si="19"/>
        <v>56</v>
      </c>
      <c r="J31" s="130">
        <f t="shared" si="19"/>
        <v>72</v>
      </c>
      <c r="K31" s="130">
        <f t="shared" si="19"/>
        <v>49</v>
      </c>
      <c r="L31" s="130">
        <f t="shared" si="19"/>
        <v>51</v>
      </c>
      <c r="M31" s="130">
        <f t="shared" si="19"/>
        <v>51</v>
      </c>
      <c r="N31" s="130"/>
      <c r="O31" s="130">
        <f t="shared" ref="O31:R31" si="20">(O19-O$13)*$B31</f>
        <v>52</v>
      </c>
      <c r="P31" s="130">
        <f t="shared" si="20"/>
        <v>54</v>
      </c>
      <c r="Q31" s="130">
        <f t="shared" si="20"/>
        <v>53</v>
      </c>
      <c r="R31" s="130">
        <f t="shared" si="20"/>
        <v>55</v>
      </c>
      <c r="S31" s="130"/>
      <c r="T31" s="130">
        <f t="shared" ref="T31:V31" si="21">(T19-T$13)*$B31</f>
        <v>57</v>
      </c>
      <c r="U31" s="130">
        <f t="shared" si="21"/>
        <v>57</v>
      </c>
      <c r="V31" s="130">
        <f t="shared" si="21"/>
        <v>59</v>
      </c>
      <c r="W31" s="130"/>
      <c r="X31" s="130"/>
      <c r="Y31" s="130">
        <f t="shared" ref="Y31:Z31" si="22">(Y19-Y$13)*$B31</f>
        <v>7246</v>
      </c>
      <c r="Z31" s="130">
        <f t="shared" si="22"/>
        <v>7993</v>
      </c>
      <c r="AA31" s="67" t="s">
        <v>60</v>
      </c>
      <c r="AB31" s="13"/>
      <c r="AC31" s="68">
        <v>533.0</v>
      </c>
      <c r="AD31" s="14"/>
      <c r="AE31" s="14"/>
      <c r="AF31" s="14"/>
      <c r="AG31" s="14"/>
    </row>
    <row r="32" ht="15.75" customHeight="1">
      <c r="A32" s="59" t="s">
        <v>49</v>
      </c>
      <c r="B32" s="57">
        <v>1.0</v>
      </c>
      <c r="C32" s="131">
        <f t="shared" ref="C32:M32" si="23">(C20-C$13)*$B32</f>
        <v>72</v>
      </c>
      <c r="D32" s="131">
        <f t="shared" si="23"/>
        <v>144</v>
      </c>
      <c r="E32" s="131">
        <f t="shared" si="23"/>
        <v>77</v>
      </c>
      <c r="F32" s="131">
        <f t="shared" si="23"/>
        <v>85</v>
      </c>
      <c r="G32" s="131">
        <f t="shared" si="23"/>
        <v>101</v>
      </c>
      <c r="H32" s="131">
        <f t="shared" si="23"/>
        <v>107</v>
      </c>
      <c r="I32" s="131">
        <f t="shared" si="23"/>
        <v>83</v>
      </c>
      <c r="J32" s="131">
        <f t="shared" si="23"/>
        <v>107</v>
      </c>
      <c r="K32" s="131">
        <f t="shared" si="23"/>
        <v>73</v>
      </c>
      <c r="L32" s="131">
        <f t="shared" si="23"/>
        <v>76</v>
      </c>
      <c r="M32" s="131">
        <f t="shared" si="23"/>
        <v>76</v>
      </c>
      <c r="N32" s="131"/>
      <c r="O32" s="131">
        <f t="shared" ref="O32:R32" si="24">(O20-O$13)*$B32</f>
        <v>78</v>
      </c>
      <c r="P32" s="131">
        <f t="shared" si="24"/>
        <v>81</v>
      </c>
      <c r="Q32" s="131">
        <f t="shared" si="24"/>
        <v>80</v>
      </c>
      <c r="R32" s="131">
        <f t="shared" si="24"/>
        <v>82</v>
      </c>
      <c r="S32" s="131"/>
      <c r="T32" s="131">
        <f t="shared" ref="T32:V32" si="25">(T20-T$13)*$B32</f>
        <v>85</v>
      </c>
      <c r="U32" s="131">
        <f t="shared" si="25"/>
        <v>85</v>
      </c>
      <c r="V32" s="131">
        <f t="shared" si="25"/>
        <v>89</v>
      </c>
      <c r="W32" s="131"/>
      <c r="X32" s="131"/>
      <c r="Y32" s="131">
        <f t="shared" ref="Y32:Z32" si="26">(Y20-Y$13)*$B32</f>
        <v>10868</v>
      </c>
      <c r="Z32" s="131">
        <f t="shared" si="26"/>
        <v>11989</v>
      </c>
      <c r="AA32" s="70" t="s">
        <v>61</v>
      </c>
      <c r="AB32" s="13"/>
      <c r="AC32" s="68">
        <f>V31</f>
        <v>59</v>
      </c>
      <c r="AD32" s="14"/>
      <c r="AE32" s="14"/>
      <c r="AF32" s="14"/>
      <c r="AG32" s="14"/>
    </row>
    <row r="33" ht="15.75" customHeight="1">
      <c r="A33" s="56" t="s">
        <v>50</v>
      </c>
      <c r="B33" s="57">
        <v>1.0</v>
      </c>
      <c r="C33" s="130">
        <f t="shared" ref="C33:M33" si="27">(C21-C$13)*$B33</f>
        <v>95</v>
      </c>
      <c r="D33" s="130">
        <f t="shared" si="27"/>
        <v>191</v>
      </c>
      <c r="E33" s="130">
        <f t="shared" si="27"/>
        <v>102</v>
      </c>
      <c r="F33" s="130">
        <f t="shared" si="27"/>
        <v>113</v>
      </c>
      <c r="G33" s="130">
        <f t="shared" si="27"/>
        <v>134</v>
      </c>
      <c r="H33" s="130">
        <f t="shared" si="27"/>
        <v>143</v>
      </c>
      <c r="I33" s="130">
        <f t="shared" si="27"/>
        <v>111</v>
      </c>
      <c r="J33" s="130">
        <f t="shared" si="27"/>
        <v>143</v>
      </c>
      <c r="K33" s="130">
        <f t="shared" si="27"/>
        <v>97</v>
      </c>
      <c r="L33" s="130">
        <f t="shared" si="27"/>
        <v>101</v>
      </c>
      <c r="M33" s="130">
        <f t="shared" si="27"/>
        <v>101</v>
      </c>
      <c r="N33" s="130"/>
      <c r="O33" s="130">
        <f t="shared" ref="O33:R33" si="28">(O21-O$13)*$B33</f>
        <v>104</v>
      </c>
      <c r="P33" s="130">
        <f t="shared" si="28"/>
        <v>107</v>
      </c>
      <c r="Q33" s="130">
        <f t="shared" si="28"/>
        <v>106</v>
      </c>
      <c r="R33" s="130">
        <f t="shared" si="28"/>
        <v>109</v>
      </c>
      <c r="S33" s="130"/>
      <c r="T33" s="130">
        <f t="shared" ref="T33:V33" si="29">(T21-T$13)*$B33</f>
        <v>114</v>
      </c>
      <c r="U33" s="130">
        <f t="shared" si="29"/>
        <v>114</v>
      </c>
      <c r="V33" s="130">
        <f t="shared" si="29"/>
        <v>118</v>
      </c>
      <c r="W33" s="130"/>
      <c r="X33" s="130"/>
      <c r="Y33" s="130">
        <f t="shared" ref="Y33:Z33" si="30">(Y21-Y$13)*$B33</f>
        <v>14491</v>
      </c>
      <c r="Z33" s="130">
        <f t="shared" si="30"/>
        <v>15985</v>
      </c>
      <c r="AA33" s="67" t="s">
        <v>62</v>
      </c>
      <c r="AB33" s="13"/>
      <c r="AC33" s="68">
        <f>AC31*AC32</f>
        <v>31447</v>
      </c>
      <c r="AD33" s="14"/>
      <c r="AE33" s="14"/>
      <c r="AF33" s="14"/>
      <c r="AG33" s="14"/>
    </row>
    <row r="34" ht="15.75" customHeight="1">
      <c r="A34" s="59" t="s">
        <v>51</v>
      </c>
      <c r="B34" s="57">
        <v>1.0</v>
      </c>
      <c r="C34" s="131">
        <f t="shared" ref="C34:M34" si="31">(C22-C$13)*$B34</f>
        <v>119</v>
      </c>
      <c r="D34" s="131">
        <f t="shared" si="31"/>
        <v>239</v>
      </c>
      <c r="E34" s="131">
        <f t="shared" si="31"/>
        <v>127</v>
      </c>
      <c r="F34" s="131">
        <f t="shared" si="31"/>
        <v>141</v>
      </c>
      <c r="G34" s="131">
        <f t="shared" si="31"/>
        <v>168</v>
      </c>
      <c r="H34" s="131">
        <f t="shared" si="31"/>
        <v>179</v>
      </c>
      <c r="I34" s="131">
        <f t="shared" si="31"/>
        <v>138</v>
      </c>
      <c r="J34" s="131">
        <f t="shared" si="31"/>
        <v>179</v>
      </c>
      <c r="K34" s="131">
        <f t="shared" si="31"/>
        <v>121</v>
      </c>
      <c r="L34" s="131">
        <f t="shared" si="31"/>
        <v>127</v>
      </c>
      <c r="M34" s="131">
        <f t="shared" si="31"/>
        <v>127</v>
      </c>
      <c r="N34" s="131"/>
      <c r="O34" s="131">
        <f t="shared" ref="O34:R34" si="32">(O22-O$13)*$B34</f>
        <v>130</v>
      </c>
      <c r="P34" s="131">
        <f t="shared" si="32"/>
        <v>134</v>
      </c>
      <c r="Q34" s="131">
        <f t="shared" si="32"/>
        <v>132</v>
      </c>
      <c r="R34" s="131">
        <f t="shared" si="32"/>
        <v>136</v>
      </c>
      <c r="S34" s="131"/>
      <c r="T34" s="131">
        <f t="shared" ref="T34:V34" si="33">(T22-T$13)*$B34</f>
        <v>142</v>
      </c>
      <c r="U34" s="131">
        <f t="shared" si="33"/>
        <v>142</v>
      </c>
      <c r="V34" s="131">
        <f t="shared" si="33"/>
        <v>148</v>
      </c>
      <c r="W34" s="131"/>
      <c r="X34" s="131"/>
      <c r="Y34" s="131">
        <f t="shared" ref="Y34:Z34" si="34">(Y22-Y$13)*$B34</f>
        <v>18113</v>
      </c>
      <c r="Z34" s="131">
        <f t="shared" si="34"/>
        <v>19981</v>
      </c>
      <c r="AA34" s="14"/>
      <c r="AD34" s="14"/>
      <c r="AE34" s="14"/>
      <c r="AF34" s="14"/>
      <c r="AG34" s="14"/>
    </row>
    <row r="35" ht="15.75" customHeight="1">
      <c r="A35" s="56" t="s">
        <v>52</v>
      </c>
      <c r="B35" s="57">
        <v>1.0</v>
      </c>
      <c r="C35" s="130">
        <f t="shared" ref="C35:M35" si="35">(C23-C$13)*$B35</f>
        <v>143</v>
      </c>
      <c r="D35" s="130">
        <f t="shared" si="35"/>
        <v>287</v>
      </c>
      <c r="E35" s="130">
        <f t="shared" si="35"/>
        <v>153</v>
      </c>
      <c r="F35" s="130">
        <f t="shared" si="35"/>
        <v>169</v>
      </c>
      <c r="G35" s="130">
        <f t="shared" si="35"/>
        <v>201</v>
      </c>
      <c r="H35" s="130">
        <f t="shared" si="35"/>
        <v>214</v>
      </c>
      <c r="I35" s="130">
        <f t="shared" si="35"/>
        <v>166</v>
      </c>
      <c r="J35" s="130">
        <f t="shared" si="35"/>
        <v>214</v>
      </c>
      <c r="K35" s="130">
        <f t="shared" si="35"/>
        <v>145</v>
      </c>
      <c r="L35" s="130">
        <f t="shared" si="35"/>
        <v>152</v>
      </c>
      <c r="M35" s="130">
        <f t="shared" si="35"/>
        <v>152</v>
      </c>
      <c r="N35" s="130"/>
      <c r="O35" s="130">
        <f t="shared" ref="O35:R35" si="36">(O23-O$13)*$B35</f>
        <v>156</v>
      </c>
      <c r="P35" s="130">
        <f t="shared" si="36"/>
        <v>161</v>
      </c>
      <c r="Q35" s="130">
        <f t="shared" si="36"/>
        <v>159</v>
      </c>
      <c r="R35" s="130">
        <f t="shared" si="36"/>
        <v>163</v>
      </c>
      <c r="S35" s="130"/>
      <c r="T35" s="130">
        <f t="shared" ref="T35:V35" si="37">(T23-T$13)*$B35</f>
        <v>170</v>
      </c>
      <c r="U35" s="130">
        <f t="shared" si="37"/>
        <v>170</v>
      </c>
      <c r="V35" s="130">
        <f t="shared" si="37"/>
        <v>177</v>
      </c>
      <c r="W35" s="130"/>
      <c r="X35" s="130"/>
      <c r="Y35" s="130">
        <f t="shared" ref="Y35:Z35" si="38">(Y23-Y$13)*$B35</f>
        <v>21736</v>
      </c>
      <c r="Z35" s="130">
        <f t="shared" si="38"/>
        <v>23978</v>
      </c>
      <c r="AA35" s="14"/>
      <c r="AD35" s="14"/>
      <c r="AE35" s="14"/>
      <c r="AF35" s="14"/>
      <c r="AG35" s="14"/>
    </row>
    <row r="36" ht="15.75" customHeight="1">
      <c r="A36" s="59" t="s">
        <v>53</v>
      </c>
      <c r="B36" s="57">
        <v>1.0</v>
      </c>
      <c r="C36" s="131">
        <f t="shared" ref="C36:M36" si="39">(C24-C$13)*$B36</f>
        <v>167</v>
      </c>
      <c r="D36" s="131">
        <f t="shared" si="39"/>
        <v>335</v>
      </c>
      <c r="E36" s="131">
        <f t="shared" si="39"/>
        <v>178</v>
      </c>
      <c r="F36" s="131">
        <f t="shared" si="39"/>
        <v>197</v>
      </c>
      <c r="G36" s="131">
        <f t="shared" si="39"/>
        <v>235</v>
      </c>
      <c r="H36" s="131">
        <f t="shared" si="39"/>
        <v>250</v>
      </c>
      <c r="I36" s="131">
        <f t="shared" si="39"/>
        <v>193</v>
      </c>
      <c r="J36" s="131">
        <f t="shared" si="39"/>
        <v>250</v>
      </c>
      <c r="K36" s="131">
        <f t="shared" si="39"/>
        <v>169</v>
      </c>
      <c r="L36" s="131">
        <f t="shared" si="39"/>
        <v>177</v>
      </c>
      <c r="M36" s="131">
        <f t="shared" si="39"/>
        <v>177</v>
      </c>
      <c r="N36" s="131"/>
      <c r="O36" s="131">
        <f t="shared" ref="O36:R36" si="40">(O24-O$13)*$B36</f>
        <v>182</v>
      </c>
      <c r="P36" s="131">
        <f t="shared" si="40"/>
        <v>188</v>
      </c>
      <c r="Q36" s="131">
        <f t="shared" si="40"/>
        <v>185</v>
      </c>
      <c r="R36" s="131">
        <f t="shared" si="40"/>
        <v>190</v>
      </c>
      <c r="S36" s="131"/>
      <c r="T36" s="131">
        <f t="shared" ref="T36:V36" si="41">(T24-T$13)*$B36</f>
        <v>198</v>
      </c>
      <c r="U36" s="131">
        <f t="shared" si="41"/>
        <v>198</v>
      </c>
      <c r="V36" s="131">
        <f t="shared" si="41"/>
        <v>206</v>
      </c>
      <c r="W36" s="131"/>
      <c r="X36" s="131"/>
      <c r="Y36" s="131">
        <f t="shared" ref="Y36:Z36" si="42">(Y24-Y$13)*$B36</f>
        <v>25358</v>
      </c>
      <c r="Z36" s="131">
        <f t="shared" si="42"/>
        <v>27974</v>
      </c>
      <c r="AA36" s="14"/>
      <c r="AD36" s="14"/>
      <c r="AE36" s="14"/>
      <c r="AF36" s="14"/>
      <c r="AG36" s="14"/>
    </row>
    <row r="37" ht="15.75" customHeight="1">
      <c r="A37" s="56" t="s">
        <v>54</v>
      </c>
      <c r="B37" s="57">
        <v>1.0</v>
      </c>
      <c r="C37" s="130">
        <f t="shared" ref="C37:M37" si="43">(C25-C$13)*$B37</f>
        <v>190</v>
      </c>
      <c r="D37" s="130">
        <f t="shared" si="43"/>
        <v>382</v>
      </c>
      <c r="E37" s="130">
        <f t="shared" si="43"/>
        <v>203</v>
      </c>
      <c r="F37" s="130">
        <f t="shared" si="43"/>
        <v>225</v>
      </c>
      <c r="G37" s="130">
        <f t="shared" si="43"/>
        <v>268</v>
      </c>
      <c r="H37" s="130">
        <f t="shared" si="43"/>
        <v>285</v>
      </c>
      <c r="I37" s="130">
        <f t="shared" si="43"/>
        <v>221</v>
      </c>
      <c r="J37" s="130">
        <f t="shared" si="43"/>
        <v>285</v>
      </c>
      <c r="K37" s="130">
        <f t="shared" si="43"/>
        <v>193</v>
      </c>
      <c r="L37" s="130">
        <f t="shared" si="43"/>
        <v>202</v>
      </c>
      <c r="M37" s="130">
        <f t="shared" si="43"/>
        <v>202</v>
      </c>
      <c r="N37" s="130"/>
      <c r="O37" s="130">
        <f t="shared" ref="O37:R37" si="44">(O25-O$13)*$B37</f>
        <v>208</v>
      </c>
      <c r="P37" s="130">
        <f t="shared" si="44"/>
        <v>214</v>
      </c>
      <c r="Q37" s="130">
        <f t="shared" si="44"/>
        <v>211</v>
      </c>
      <c r="R37" s="130">
        <f t="shared" si="44"/>
        <v>217</v>
      </c>
      <c r="S37" s="130"/>
      <c r="T37" s="130">
        <f t="shared" ref="T37:V37" si="45">(T25-T$13)*$B37</f>
        <v>227</v>
      </c>
      <c r="U37" s="130">
        <f t="shared" si="45"/>
        <v>227</v>
      </c>
      <c r="V37" s="130">
        <f t="shared" si="45"/>
        <v>236</v>
      </c>
      <c r="W37" s="130"/>
      <c r="X37" s="130"/>
      <c r="Y37" s="130">
        <f t="shared" ref="Y37:Z37" si="46">(Y25-Y$13)*$B37</f>
        <v>28981</v>
      </c>
      <c r="Z37" s="130">
        <f t="shared" si="46"/>
        <v>31970</v>
      </c>
      <c r="AA37" s="14"/>
      <c r="AD37" s="14"/>
      <c r="AE37" s="14"/>
      <c r="AF37" s="14"/>
      <c r="AG37" s="14"/>
    </row>
    <row r="38" ht="15.75" customHeight="1">
      <c r="A38" s="59" t="s">
        <v>55</v>
      </c>
      <c r="B38" s="57">
        <v>1.0</v>
      </c>
      <c r="C38" s="131">
        <f t="shared" ref="C38:M38" si="47">(C26-C$13)*$B38</f>
        <v>214</v>
      </c>
      <c r="D38" s="131">
        <f t="shared" si="47"/>
        <v>430</v>
      </c>
      <c r="E38" s="131">
        <f t="shared" si="47"/>
        <v>229</v>
      </c>
      <c r="F38" s="131">
        <f t="shared" si="47"/>
        <v>253</v>
      </c>
      <c r="G38" s="131">
        <f t="shared" si="47"/>
        <v>302</v>
      </c>
      <c r="H38" s="131">
        <f t="shared" si="47"/>
        <v>321</v>
      </c>
      <c r="I38" s="131">
        <f t="shared" si="47"/>
        <v>248</v>
      </c>
      <c r="J38" s="131">
        <f t="shared" si="47"/>
        <v>321</v>
      </c>
      <c r="K38" s="131">
        <f t="shared" si="47"/>
        <v>217</v>
      </c>
      <c r="L38" s="131">
        <f t="shared" si="47"/>
        <v>227</v>
      </c>
      <c r="M38" s="131">
        <f t="shared" si="47"/>
        <v>227</v>
      </c>
      <c r="N38" s="131"/>
      <c r="O38" s="131">
        <f t="shared" ref="O38:R38" si="48">(O26-O$13)*$B38</f>
        <v>234</v>
      </c>
      <c r="P38" s="131">
        <f t="shared" si="48"/>
        <v>241</v>
      </c>
      <c r="Q38" s="131">
        <f t="shared" si="48"/>
        <v>238</v>
      </c>
      <c r="R38" s="131">
        <f t="shared" si="48"/>
        <v>245</v>
      </c>
      <c r="S38" s="131"/>
      <c r="T38" s="131">
        <f t="shared" ref="T38:V38" si="49">(T26-T$13)*$B38</f>
        <v>255</v>
      </c>
      <c r="U38" s="131">
        <f t="shared" si="49"/>
        <v>255</v>
      </c>
      <c r="V38" s="131">
        <f t="shared" si="49"/>
        <v>265</v>
      </c>
      <c r="W38" s="131"/>
      <c r="X38" s="131"/>
      <c r="Y38" s="131">
        <f t="shared" ref="Y38:Z38" si="50">(Y26-Y$13)*$B38</f>
        <v>32603</v>
      </c>
      <c r="Z38" s="131">
        <f t="shared" si="50"/>
        <v>35966</v>
      </c>
      <c r="AA38" s="14"/>
      <c r="AD38" s="14"/>
      <c r="AE38" s="14"/>
      <c r="AF38" s="14"/>
      <c r="AG38" s="14"/>
    </row>
    <row r="39" ht="15.75" customHeight="1">
      <c r="A39" s="56" t="s">
        <v>56</v>
      </c>
      <c r="B39" s="132">
        <v>1.0</v>
      </c>
      <c r="C39" s="130">
        <f t="shared" ref="C39:M39" si="51">(C27-C$13)*$B39</f>
        <v>238</v>
      </c>
      <c r="D39" s="130">
        <f t="shared" si="51"/>
        <v>478</v>
      </c>
      <c r="E39" s="130">
        <f t="shared" si="51"/>
        <v>254</v>
      </c>
      <c r="F39" s="130">
        <f t="shared" si="51"/>
        <v>281</v>
      </c>
      <c r="G39" s="130">
        <f t="shared" si="51"/>
        <v>335</v>
      </c>
      <c r="H39" s="130">
        <f t="shared" si="51"/>
        <v>357</v>
      </c>
      <c r="I39" s="130">
        <f t="shared" si="51"/>
        <v>276</v>
      </c>
      <c r="J39" s="130">
        <f t="shared" si="51"/>
        <v>357</v>
      </c>
      <c r="K39" s="130">
        <f t="shared" si="51"/>
        <v>241</v>
      </c>
      <c r="L39" s="130">
        <f t="shared" si="51"/>
        <v>253</v>
      </c>
      <c r="M39" s="130">
        <f t="shared" si="51"/>
        <v>253</v>
      </c>
      <c r="N39" s="130"/>
      <c r="O39" s="130">
        <f t="shared" ref="O39:R39" si="52">(O27-O$13)*$B39</f>
        <v>260</v>
      </c>
      <c r="P39" s="130">
        <f t="shared" si="52"/>
        <v>268</v>
      </c>
      <c r="Q39" s="130">
        <f t="shared" si="52"/>
        <v>264</v>
      </c>
      <c r="R39" s="130">
        <f t="shared" si="52"/>
        <v>272</v>
      </c>
      <c r="S39" s="130"/>
      <c r="T39" s="130">
        <f t="shared" ref="T39:V39" si="53">(T27-T$13)*$B39</f>
        <v>283</v>
      </c>
      <c r="U39" s="130">
        <f t="shared" si="53"/>
        <v>283</v>
      </c>
      <c r="V39" s="130">
        <f t="shared" si="53"/>
        <v>295</v>
      </c>
      <c r="W39" s="130"/>
      <c r="X39" s="130"/>
      <c r="Y39" s="130">
        <f t="shared" ref="Y39:Z39" si="54">(Y27-Y$13)*$B39</f>
        <v>36226</v>
      </c>
      <c r="Z39" s="130">
        <f t="shared" si="54"/>
        <v>39962</v>
      </c>
      <c r="AA39" s="14"/>
      <c r="AD39" s="14"/>
      <c r="AE39" s="14"/>
      <c r="AF39" s="14"/>
      <c r="AG39" s="14"/>
    </row>
    <row r="40" ht="15.75" customHeight="1">
      <c r="B40" s="73"/>
      <c r="C40" s="73"/>
      <c r="D40" s="73"/>
      <c r="E40" s="73"/>
      <c r="F40" s="73"/>
      <c r="G40" s="73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D40" s="14"/>
      <c r="AE40" s="14"/>
      <c r="AF40" s="14"/>
      <c r="AG40" s="14"/>
    </row>
    <row r="41" ht="15.75" customHeight="1">
      <c r="B41" s="48"/>
      <c r="C41" s="83"/>
      <c r="D41" s="83"/>
      <c r="E41" s="83"/>
      <c r="F41" s="83"/>
      <c r="G41" s="62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D41" s="14"/>
      <c r="AE41" s="14"/>
      <c r="AF41" s="14"/>
      <c r="AG41" s="14"/>
    </row>
    <row r="42" ht="15.75" customHeight="1">
      <c r="B42" s="48"/>
      <c r="C42" s="62"/>
      <c r="D42" s="62"/>
      <c r="E42" s="62"/>
      <c r="F42" s="62"/>
      <c r="G42" s="62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72"/>
      <c r="Z42" s="14"/>
      <c r="AA42" s="14"/>
      <c r="AD42" s="14"/>
      <c r="AE42" s="14"/>
      <c r="AF42" s="14"/>
      <c r="AG42" s="14"/>
    </row>
    <row r="43" ht="15.75" customHeight="1">
      <c r="B43" s="48"/>
      <c r="C43" s="62"/>
      <c r="D43" s="62"/>
      <c r="E43" s="62"/>
      <c r="F43" s="62"/>
      <c r="G43" s="62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72"/>
      <c r="Z43" s="14"/>
      <c r="AA43" s="14"/>
      <c r="AD43" s="14"/>
      <c r="AE43" s="14"/>
      <c r="AF43" s="14"/>
      <c r="AG43" s="14"/>
    </row>
    <row r="44" ht="15.75" customHeight="1">
      <c r="B44" s="79"/>
      <c r="C44" s="86"/>
      <c r="D44" s="86"/>
      <c r="E44" s="86"/>
      <c r="F44" s="86"/>
      <c r="G44" s="86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72"/>
      <c r="Z44" s="14"/>
      <c r="AA44" s="14"/>
      <c r="AD44" s="14"/>
      <c r="AE44" s="14"/>
      <c r="AF44" s="14"/>
      <c r="AG44" s="14"/>
    </row>
    <row r="45" ht="15.75" customHeight="1">
      <c r="B45" s="48"/>
      <c r="C45" s="86"/>
      <c r="D45" s="86"/>
      <c r="E45" s="86"/>
      <c r="F45" s="86"/>
      <c r="G45" s="86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72"/>
      <c r="Z45" s="14"/>
      <c r="AA45" s="14"/>
      <c r="AD45" s="14"/>
      <c r="AE45" s="14"/>
      <c r="AF45" s="14"/>
      <c r="AG45" s="14"/>
    </row>
    <row r="46" ht="15.75" customHeight="1">
      <c r="B46" s="48"/>
      <c r="C46" s="86"/>
      <c r="D46" s="86"/>
      <c r="E46" s="86"/>
      <c r="F46" s="86"/>
      <c r="G46" s="86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72"/>
      <c r="Z46" s="14"/>
      <c r="AA46" s="14"/>
      <c r="AD46" s="14"/>
      <c r="AE46" s="14"/>
      <c r="AF46" s="14"/>
      <c r="AG46" s="14"/>
    </row>
    <row r="47" ht="15.75" customHeight="1">
      <c r="B47" s="62"/>
      <c r="C47" s="86"/>
      <c r="D47" s="86"/>
      <c r="E47" s="86"/>
      <c r="F47" s="86"/>
      <c r="G47" s="86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D47" s="14"/>
      <c r="AE47" s="14"/>
      <c r="AF47" s="14"/>
      <c r="AG47" s="14"/>
    </row>
    <row r="48" ht="15.75" customHeight="1">
      <c r="B48" s="81"/>
      <c r="C48" s="86"/>
      <c r="D48" s="86"/>
      <c r="E48" s="86"/>
      <c r="F48" s="86"/>
      <c r="G48" s="86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D48" s="14"/>
      <c r="AE48" s="14"/>
      <c r="AF48" s="14"/>
      <c r="AG48" s="14"/>
    </row>
    <row r="49" ht="15.75" customHeight="1">
      <c r="B49" s="48"/>
      <c r="C49" s="87"/>
      <c r="D49" s="87"/>
      <c r="E49" s="87"/>
      <c r="F49" s="87"/>
      <c r="G49" s="87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D49" s="14"/>
      <c r="AE49" s="14"/>
      <c r="AF49" s="14"/>
      <c r="AG49" s="14"/>
    </row>
    <row r="50" ht="15.75" customHeight="1">
      <c r="B50" s="14"/>
      <c r="C50" s="14"/>
      <c r="D50" s="14"/>
      <c r="E50" s="14"/>
      <c r="F50" s="72"/>
      <c r="G50" s="72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D50" s="14"/>
      <c r="AE50" s="14"/>
      <c r="AF50" s="14"/>
      <c r="AG50" s="14"/>
    </row>
    <row r="51" ht="15.75" customHeight="1">
      <c r="B51" s="14"/>
      <c r="C51" s="72"/>
      <c r="D51" s="72"/>
      <c r="E51" s="72"/>
      <c r="F51" s="14"/>
      <c r="G51" s="14"/>
      <c r="N51" s="14"/>
      <c r="S51" s="14"/>
      <c r="W51" s="14"/>
      <c r="X51" s="14"/>
      <c r="Y51" s="14"/>
      <c r="Z51" s="14"/>
      <c r="AA51" s="14"/>
      <c r="AD51" s="14"/>
      <c r="AE51" s="14"/>
      <c r="AF51" s="14"/>
      <c r="AG51" s="14"/>
    </row>
    <row r="52" ht="15.75" customHeight="1">
      <c r="B52" s="14"/>
      <c r="C52" s="72"/>
      <c r="D52" s="72"/>
      <c r="E52" s="72"/>
      <c r="F52" s="14"/>
      <c r="G52" s="14"/>
      <c r="N52" s="14"/>
      <c r="S52" s="14"/>
      <c r="W52" s="14"/>
      <c r="X52" s="14"/>
      <c r="Y52" s="14"/>
      <c r="Z52" s="14"/>
      <c r="AA52" s="14"/>
      <c r="AD52" s="14"/>
      <c r="AE52" s="14"/>
      <c r="AF52" s="14"/>
      <c r="AG52" s="14"/>
    </row>
    <row r="53" ht="15.75" customHeight="1">
      <c r="B53" s="14"/>
      <c r="C53" s="14"/>
      <c r="D53" s="14"/>
      <c r="E53" s="14"/>
      <c r="F53" s="14"/>
      <c r="N53" s="14"/>
      <c r="S53" s="14"/>
      <c r="W53" s="14"/>
      <c r="X53" s="14"/>
      <c r="Y53" s="14"/>
      <c r="Z53" s="14"/>
      <c r="AA53" s="14"/>
      <c r="AD53" s="14"/>
      <c r="AE53" s="14"/>
      <c r="AF53" s="14"/>
      <c r="AG53" s="14"/>
    </row>
    <row r="54" ht="15.75" customHeight="1">
      <c r="B54" s="84"/>
      <c r="C54" s="88"/>
      <c r="D54" s="88"/>
      <c r="E54" s="88"/>
      <c r="F54" s="14"/>
      <c r="N54" s="14"/>
      <c r="S54" s="14"/>
      <c r="W54" s="14"/>
      <c r="X54" s="14"/>
      <c r="Y54" s="14"/>
      <c r="Z54" s="14"/>
      <c r="AA54" s="14"/>
      <c r="AD54" s="14"/>
      <c r="AE54" s="14"/>
      <c r="AF54" s="14"/>
      <c r="AG54" s="14"/>
    </row>
    <row r="55" ht="15.75" customHeight="1">
      <c r="B55" s="84"/>
      <c r="C55" s="88"/>
      <c r="D55" s="88"/>
      <c r="E55" s="88"/>
      <c r="F55" s="14"/>
      <c r="N55" s="14"/>
      <c r="S55" s="14"/>
      <c r="W55" s="14"/>
      <c r="X55" s="14"/>
      <c r="Y55" s="14"/>
      <c r="Z55" s="14"/>
      <c r="AA55" s="14"/>
      <c r="AD55" s="14"/>
      <c r="AE55" s="14"/>
      <c r="AF55" s="14"/>
      <c r="AG55" s="14"/>
    </row>
    <row r="56" ht="15.75" customHeight="1">
      <c r="B56" s="14"/>
      <c r="C56" s="14"/>
      <c r="D56" s="14"/>
      <c r="E56" s="14"/>
      <c r="F56" s="14"/>
      <c r="N56" s="14"/>
      <c r="S56" s="14"/>
      <c r="W56" s="14"/>
      <c r="X56" s="14"/>
      <c r="Y56" s="14"/>
      <c r="Z56" s="14"/>
      <c r="AA56" s="14"/>
      <c r="AD56" s="14"/>
      <c r="AE56" s="14"/>
      <c r="AF56" s="14"/>
      <c r="AG56" s="14"/>
    </row>
    <row r="57" ht="15.75" customHeight="1">
      <c r="D57" s="14"/>
      <c r="E57" s="14"/>
      <c r="N57" s="14"/>
      <c r="S57" s="14"/>
      <c r="W57" s="14"/>
      <c r="X57" s="14"/>
      <c r="Y57" s="14"/>
      <c r="Z57" s="14"/>
      <c r="AA57" s="14"/>
      <c r="AD57" s="14"/>
      <c r="AE57" s="14"/>
      <c r="AF57" s="14"/>
      <c r="AG57" s="14"/>
    </row>
    <row r="58" ht="15.75" customHeight="1">
      <c r="D58" s="14"/>
      <c r="E58" s="14"/>
      <c r="N58" s="14"/>
      <c r="S58" s="14"/>
      <c r="W58" s="14"/>
      <c r="X58" s="14"/>
      <c r="Y58" s="14"/>
      <c r="Z58" s="14"/>
      <c r="AA58" s="14"/>
      <c r="AD58" s="14"/>
      <c r="AE58" s="14"/>
      <c r="AF58" s="14"/>
      <c r="AG58" s="14"/>
    </row>
    <row r="59" ht="15.75" customHeight="1">
      <c r="D59" s="14"/>
      <c r="E59" s="14"/>
      <c r="N59" s="14"/>
      <c r="S59" s="14"/>
      <c r="W59" s="14"/>
      <c r="X59" s="14"/>
      <c r="Y59" s="14"/>
      <c r="Z59" s="14"/>
      <c r="AA59" s="14"/>
      <c r="AD59" s="14"/>
      <c r="AE59" s="14"/>
      <c r="AF59" s="14"/>
      <c r="AG59" s="14"/>
    </row>
    <row r="60" ht="15.75" customHeight="1">
      <c r="D60" s="14"/>
      <c r="E60" s="14"/>
      <c r="N60" s="14"/>
      <c r="S60" s="14"/>
      <c r="W60" s="14"/>
      <c r="X60" s="14"/>
      <c r="Y60" s="14"/>
      <c r="Z60" s="14"/>
      <c r="AA60" s="14"/>
      <c r="AD60" s="14"/>
      <c r="AE60" s="14"/>
      <c r="AF60" s="14"/>
      <c r="AG60" s="14"/>
    </row>
    <row r="61" ht="15.75" customHeight="1">
      <c r="D61" s="14"/>
      <c r="E61" s="14"/>
      <c r="N61" s="14"/>
      <c r="S61" s="14"/>
      <c r="W61" s="14"/>
      <c r="X61" s="14"/>
      <c r="Y61" s="14"/>
      <c r="Z61" s="14"/>
      <c r="AA61" s="14"/>
      <c r="AD61" s="14"/>
      <c r="AE61" s="14"/>
      <c r="AF61" s="14"/>
      <c r="AG61" s="14"/>
    </row>
    <row r="62" ht="15.75" customHeight="1">
      <c r="D62" s="14"/>
      <c r="E62" s="14"/>
      <c r="N62" s="14"/>
      <c r="S62" s="14"/>
      <c r="W62" s="14"/>
      <c r="X62" s="14"/>
      <c r="Y62" s="14"/>
      <c r="Z62" s="14"/>
      <c r="AA62" s="14"/>
      <c r="AD62" s="14"/>
      <c r="AE62" s="14"/>
      <c r="AF62" s="14"/>
      <c r="AG62" s="14"/>
    </row>
    <row r="63" ht="15.75" customHeight="1">
      <c r="D63" s="14"/>
      <c r="E63" s="14"/>
      <c r="N63" s="14"/>
      <c r="S63" s="14"/>
      <c r="W63" s="14"/>
      <c r="X63" s="14"/>
      <c r="Y63" s="14"/>
      <c r="Z63" s="14"/>
      <c r="AA63" s="14"/>
      <c r="AD63" s="14"/>
      <c r="AE63" s="14"/>
      <c r="AF63" s="14"/>
      <c r="AG63" s="14"/>
    </row>
    <row r="64" ht="15.75" customHeight="1">
      <c r="D64" s="14"/>
      <c r="E64" s="14"/>
      <c r="N64" s="14"/>
      <c r="S64" s="14"/>
      <c r="W64" s="14"/>
      <c r="X64" s="14"/>
      <c r="Y64" s="14"/>
      <c r="Z64" s="14"/>
      <c r="AA64" s="14"/>
      <c r="AD64" s="14"/>
      <c r="AE64" s="14"/>
      <c r="AF64" s="14"/>
      <c r="AG64" s="14"/>
    </row>
    <row r="65" ht="15.75" customHeight="1">
      <c r="D65" s="14"/>
      <c r="E65" s="14"/>
      <c r="N65" s="14"/>
      <c r="S65" s="14"/>
      <c r="W65" s="14"/>
      <c r="X65" s="14"/>
      <c r="Y65" s="14"/>
      <c r="Z65" s="14"/>
      <c r="AA65" s="14"/>
      <c r="AD65" s="14"/>
      <c r="AE65" s="14"/>
      <c r="AF65" s="14"/>
      <c r="AG65" s="14"/>
    </row>
    <row r="66" ht="15.75" customHeight="1">
      <c r="D66" s="14"/>
      <c r="E66" s="14"/>
      <c r="N66" s="14"/>
      <c r="S66" s="14"/>
      <c r="W66" s="14"/>
      <c r="X66" s="14"/>
      <c r="Y66" s="14"/>
      <c r="Z66" s="14"/>
      <c r="AA66" s="14"/>
      <c r="AD66" s="14"/>
      <c r="AE66" s="14"/>
      <c r="AF66" s="14"/>
      <c r="AG66" s="14"/>
    </row>
    <row r="67" ht="15.75" customHeight="1">
      <c r="D67" s="14"/>
      <c r="E67" s="14"/>
      <c r="N67" s="14"/>
      <c r="S67" s="14"/>
      <c r="W67" s="14"/>
      <c r="X67" s="14"/>
      <c r="Y67" s="14"/>
      <c r="Z67" s="14"/>
      <c r="AA67" s="14"/>
      <c r="AD67" s="14"/>
      <c r="AE67" s="14"/>
      <c r="AF67" s="14"/>
      <c r="AG67" s="14"/>
    </row>
    <row r="68" ht="15.75" customHeight="1">
      <c r="D68" s="14"/>
      <c r="E68" s="14"/>
      <c r="N68" s="14"/>
      <c r="S68" s="14"/>
      <c r="W68" s="14"/>
      <c r="X68" s="14"/>
      <c r="Y68" s="14"/>
      <c r="Z68" s="14"/>
      <c r="AA68" s="14"/>
      <c r="AD68" s="14"/>
      <c r="AE68" s="14"/>
      <c r="AF68" s="14"/>
      <c r="AG68" s="14"/>
    </row>
    <row r="69" ht="15.75" customHeight="1">
      <c r="D69" s="14"/>
      <c r="E69" s="14"/>
      <c r="N69" s="14"/>
      <c r="S69" s="14"/>
      <c r="W69" s="14"/>
      <c r="X69" s="14"/>
      <c r="Y69" s="14"/>
      <c r="Z69" s="14"/>
      <c r="AA69" s="14"/>
      <c r="AD69" s="14"/>
      <c r="AE69" s="14"/>
      <c r="AF69" s="14"/>
      <c r="AG69" s="14"/>
    </row>
    <row r="70" ht="15.75" customHeight="1">
      <c r="D70" s="14"/>
      <c r="E70" s="14"/>
      <c r="N70" s="14"/>
      <c r="S70" s="14"/>
      <c r="W70" s="14"/>
      <c r="X70" s="14"/>
      <c r="Y70" s="14"/>
      <c r="Z70" s="14"/>
      <c r="AA70" s="14"/>
      <c r="AD70" s="14"/>
      <c r="AE70" s="14"/>
      <c r="AF70" s="14"/>
      <c r="AG70" s="14"/>
    </row>
    <row r="71" ht="15.75" customHeight="1">
      <c r="D71" s="14"/>
      <c r="E71" s="14"/>
      <c r="J71" s="14"/>
      <c r="N71" s="14"/>
      <c r="S71" s="14"/>
      <c r="W71" s="14"/>
      <c r="X71" s="14"/>
      <c r="Y71" s="14"/>
      <c r="Z71" s="14"/>
      <c r="AA71" s="14"/>
      <c r="AD71" s="14"/>
      <c r="AE71" s="14"/>
      <c r="AF71" s="14"/>
      <c r="AG71" s="14"/>
    </row>
    <row r="72" ht="15.75" customHeight="1">
      <c r="D72" s="14"/>
      <c r="E72" s="14"/>
      <c r="J72" s="14"/>
      <c r="N72" s="14"/>
      <c r="S72" s="14"/>
      <c r="W72" s="14"/>
      <c r="X72" s="14"/>
      <c r="Y72" s="14"/>
      <c r="Z72" s="14"/>
      <c r="AA72" s="14"/>
      <c r="AD72" s="14"/>
      <c r="AE72" s="14"/>
      <c r="AF72" s="14"/>
      <c r="AG72" s="14"/>
    </row>
    <row r="73" ht="15.75" customHeight="1">
      <c r="D73" s="14"/>
      <c r="E73" s="14"/>
      <c r="J73" s="14"/>
      <c r="N73" s="14"/>
      <c r="S73" s="14"/>
      <c r="W73" s="14"/>
      <c r="X73" s="14"/>
      <c r="Y73" s="14"/>
      <c r="Z73" s="14"/>
      <c r="AA73" s="14"/>
      <c r="AD73" s="14"/>
      <c r="AE73" s="14"/>
      <c r="AF73" s="14"/>
      <c r="AG73" s="14"/>
    </row>
    <row r="74" ht="15.75" customHeight="1">
      <c r="D74" s="14"/>
      <c r="E74" s="14"/>
      <c r="J74" s="14"/>
      <c r="N74" s="14"/>
      <c r="S74" s="14"/>
      <c r="W74" s="14"/>
      <c r="X74" s="14"/>
      <c r="Y74" s="14"/>
      <c r="Z74" s="14"/>
      <c r="AA74" s="14"/>
      <c r="AD74" s="14"/>
      <c r="AE74" s="14"/>
      <c r="AF74" s="14"/>
      <c r="AG74" s="14"/>
    </row>
    <row r="75" ht="15.75" customHeight="1">
      <c r="D75" s="14"/>
      <c r="E75" s="14"/>
      <c r="J75" s="14"/>
      <c r="N75" s="14"/>
      <c r="S75" s="14"/>
      <c r="W75" s="14"/>
      <c r="X75" s="14"/>
      <c r="Y75" s="14"/>
      <c r="Z75" s="14"/>
      <c r="AA75" s="14"/>
      <c r="AD75" s="14"/>
      <c r="AE75" s="14"/>
      <c r="AF75" s="14"/>
      <c r="AG75" s="14"/>
    </row>
    <row r="76" ht="15.75" customHeight="1">
      <c r="D76" s="14"/>
      <c r="E76" s="14"/>
      <c r="J76" s="14"/>
      <c r="N76" s="14"/>
      <c r="S76" s="14"/>
      <c r="W76" s="14"/>
      <c r="X76" s="14"/>
      <c r="Y76" s="14"/>
      <c r="Z76" s="14"/>
      <c r="AA76" s="14"/>
      <c r="AD76" s="14"/>
      <c r="AE76" s="14"/>
      <c r="AF76" s="14"/>
      <c r="AG76" s="14"/>
    </row>
    <row r="77" ht="15.75" customHeight="1">
      <c r="D77" s="14"/>
      <c r="E77" s="14"/>
      <c r="J77" s="14"/>
      <c r="N77" s="14"/>
      <c r="S77" s="14"/>
      <c r="W77" s="14"/>
      <c r="X77" s="14"/>
      <c r="Y77" s="14"/>
      <c r="Z77" s="14"/>
      <c r="AA77" s="14"/>
      <c r="AD77" s="14"/>
      <c r="AE77" s="14"/>
      <c r="AF77" s="14"/>
      <c r="AG77" s="14"/>
    </row>
    <row r="78" ht="15.75" customHeight="1">
      <c r="D78" s="14"/>
      <c r="E78" s="14"/>
      <c r="J78" s="14"/>
      <c r="N78" s="14"/>
      <c r="S78" s="14"/>
      <c r="W78" s="14"/>
      <c r="X78" s="14"/>
      <c r="Y78" s="14"/>
      <c r="Z78" s="14"/>
      <c r="AA78" s="14"/>
      <c r="AD78" s="14"/>
      <c r="AE78" s="14"/>
      <c r="AF78" s="14"/>
      <c r="AG78" s="14"/>
    </row>
    <row r="79" ht="15.75" customHeight="1">
      <c r="D79" s="14"/>
      <c r="E79" s="14"/>
      <c r="J79" s="14"/>
      <c r="N79" s="14"/>
      <c r="S79" s="14"/>
      <c r="W79" s="14"/>
      <c r="X79" s="14"/>
      <c r="Y79" s="14"/>
      <c r="Z79" s="14"/>
      <c r="AA79" s="14"/>
      <c r="AD79" s="14"/>
      <c r="AE79" s="14"/>
      <c r="AF79" s="14"/>
      <c r="AG79" s="14"/>
    </row>
    <row r="80" ht="15.75" customHeight="1">
      <c r="D80" s="14"/>
      <c r="E80" s="14"/>
      <c r="J80" s="14"/>
      <c r="N80" s="14"/>
      <c r="S80" s="14"/>
      <c r="W80" s="14"/>
      <c r="X80" s="14"/>
      <c r="Y80" s="14"/>
      <c r="Z80" s="14"/>
      <c r="AA80" s="14"/>
      <c r="AD80" s="14"/>
      <c r="AE80" s="14"/>
      <c r="AF80" s="14"/>
      <c r="AG80" s="14"/>
    </row>
    <row r="81" ht="15.75" customHeight="1">
      <c r="D81" s="14"/>
      <c r="E81" s="14"/>
      <c r="J81" s="14"/>
      <c r="N81" s="14"/>
      <c r="S81" s="14"/>
      <c r="W81" s="14"/>
      <c r="X81" s="14"/>
      <c r="Y81" s="14"/>
      <c r="Z81" s="14"/>
      <c r="AA81" s="14"/>
      <c r="AD81" s="14"/>
      <c r="AE81" s="14"/>
      <c r="AF81" s="14"/>
      <c r="AG81" s="14"/>
    </row>
    <row r="82" ht="15.75" customHeight="1">
      <c r="A82" s="14"/>
      <c r="B82" s="73"/>
      <c r="D82" s="14"/>
      <c r="E82" s="14"/>
      <c r="N82" s="14"/>
      <c r="S82" s="14"/>
      <c r="W82" s="14"/>
      <c r="X82" s="14"/>
      <c r="Z82" s="14"/>
      <c r="AA82" s="14"/>
      <c r="AD82" s="14"/>
      <c r="AE82" s="14"/>
      <c r="AF82" s="14"/>
      <c r="AG82" s="14"/>
    </row>
    <row r="83" ht="15.75" customHeight="1">
      <c r="A83" s="14"/>
      <c r="B83" s="48"/>
      <c r="D83" s="14"/>
      <c r="E83" s="14"/>
      <c r="N83" s="14"/>
      <c r="S83" s="14"/>
      <c r="W83" s="14"/>
      <c r="X83" s="14"/>
      <c r="Z83" s="14"/>
      <c r="AA83" s="14"/>
      <c r="AD83" s="14"/>
      <c r="AE83" s="14"/>
      <c r="AF83" s="14"/>
      <c r="AG83" s="14"/>
    </row>
    <row r="84" ht="15.75" customHeight="1">
      <c r="A84" s="14"/>
      <c r="B84" s="48"/>
      <c r="D84" s="14"/>
      <c r="E84" s="14"/>
      <c r="F84" s="14"/>
      <c r="G84" s="14"/>
      <c r="H84" s="14"/>
      <c r="N84" s="14"/>
      <c r="S84" s="14"/>
      <c r="W84" s="14"/>
      <c r="X84" s="14"/>
      <c r="Z84" s="14"/>
      <c r="AA84" s="14"/>
      <c r="AD84" s="14"/>
      <c r="AE84" s="14"/>
      <c r="AF84" s="14"/>
      <c r="AG84" s="14"/>
    </row>
    <row r="85" ht="15.75" customHeight="1">
      <c r="A85" s="14"/>
      <c r="B85" s="48"/>
      <c r="D85" s="14"/>
      <c r="E85" s="14"/>
      <c r="F85" s="84"/>
      <c r="G85" s="88"/>
      <c r="H85" s="14"/>
      <c r="N85" s="14"/>
      <c r="S85" s="14"/>
      <c r="W85" s="14"/>
      <c r="X85" s="14"/>
      <c r="Z85" s="14"/>
      <c r="AA85" s="14"/>
      <c r="AD85" s="14"/>
      <c r="AE85" s="14"/>
      <c r="AF85" s="14"/>
      <c r="AG85" s="14"/>
    </row>
    <row r="86" ht="15.75" customHeight="1">
      <c r="A86" s="14"/>
      <c r="B86" s="48"/>
      <c r="D86" s="14"/>
      <c r="E86" s="14"/>
      <c r="F86" s="84"/>
      <c r="G86" s="88"/>
      <c r="H86" s="14"/>
      <c r="N86" s="14"/>
      <c r="S86" s="14"/>
      <c r="W86" s="14"/>
      <c r="X86" s="14"/>
      <c r="Z86" s="14"/>
      <c r="AA86" s="14"/>
      <c r="AD86" s="14"/>
      <c r="AE86" s="14"/>
      <c r="AF86" s="14"/>
      <c r="AG86" s="14"/>
    </row>
    <row r="87" ht="15.75" customHeight="1">
      <c r="A87" s="14"/>
      <c r="B87" s="79"/>
      <c r="D87" s="14"/>
      <c r="E87" s="14"/>
      <c r="F87" s="14"/>
      <c r="G87" s="14"/>
      <c r="H87" s="14"/>
      <c r="N87" s="14"/>
      <c r="S87" s="14"/>
      <c r="W87" s="14"/>
      <c r="X87" s="14"/>
      <c r="Z87" s="14"/>
      <c r="AA87" s="14"/>
      <c r="AD87" s="14"/>
      <c r="AE87" s="14"/>
      <c r="AF87" s="14"/>
      <c r="AG87" s="14"/>
    </row>
    <row r="88" ht="15.75" customHeight="1">
      <c r="A88" s="14"/>
      <c r="B88" s="79"/>
      <c r="D88" s="14"/>
      <c r="E88" s="14"/>
      <c r="N88" s="14"/>
      <c r="S88" s="14"/>
      <c r="W88" s="14"/>
      <c r="X88" s="14"/>
      <c r="Z88" s="14"/>
      <c r="AA88" s="14"/>
      <c r="AD88" s="14"/>
      <c r="AE88" s="14"/>
      <c r="AF88" s="14"/>
      <c r="AG88" s="14"/>
    </row>
    <row r="89" ht="15.75" customHeight="1">
      <c r="A89" s="14"/>
      <c r="B89" s="48"/>
      <c r="D89" s="14"/>
      <c r="E89" s="14"/>
      <c r="N89" s="14"/>
      <c r="S89" s="14"/>
      <c r="W89" s="14"/>
      <c r="X89" s="14"/>
      <c r="Z89" s="14"/>
      <c r="AA89" s="14"/>
      <c r="AD89" s="14"/>
      <c r="AE89" s="14"/>
      <c r="AF89" s="14"/>
      <c r="AG89" s="14"/>
    </row>
    <row r="90" ht="15.75" customHeight="1">
      <c r="A90" s="14"/>
      <c r="B90" s="62"/>
      <c r="D90" s="14"/>
      <c r="E90" s="14"/>
      <c r="N90" s="14"/>
      <c r="S90" s="14"/>
      <c r="W90" s="14"/>
      <c r="X90" s="14"/>
      <c r="Z90" s="14"/>
      <c r="AA90" s="14"/>
      <c r="AD90" s="14"/>
      <c r="AE90" s="14"/>
      <c r="AF90" s="14"/>
      <c r="AG90" s="14"/>
    </row>
    <row r="91" ht="15.75" customHeight="1">
      <c r="A91" s="14"/>
      <c r="B91" s="81"/>
      <c r="D91" s="14"/>
      <c r="E91" s="14"/>
      <c r="N91" s="14"/>
      <c r="S91" s="14"/>
      <c r="W91" s="14"/>
      <c r="X91" s="14"/>
      <c r="Z91" s="14"/>
      <c r="AA91" s="14"/>
      <c r="AD91" s="14"/>
      <c r="AE91" s="14"/>
      <c r="AF91" s="14"/>
      <c r="AG91" s="14"/>
    </row>
    <row r="92" ht="15.75" customHeight="1">
      <c r="A92" s="14"/>
      <c r="B92" s="48"/>
      <c r="D92" s="14"/>
      <c r="E92" s="14"/>
      <c r="N92" s="14"/>
      <c r="S92" s="14"/>
      <c r="W92" s="14"/>
      <c r="X92" s="14"/>
      <c r="Z92" s="14"/>
      <c r="AA92" s="14"/>
      <c r="AD92" s="14"/>
      <c r="AE92" s="14"/>
      <c r="AF92" s="14"/>
      <c r="AG92" s="14"/>
    </row>
    <row r="93" ht="15.75" customHeight="1">
      <c r="A93" s="14"/>
      <c r="B93" s="14"/>
      <c r="D93" s="14"/>
      <c r="E93" s="14"/>
      <c r="N93" s="14"/>
      <c r="S93" s="14"/>
      <c r="W93" s="14"/>
      <c r="X93" s="14"/>
      <c r="Z93" s="14"/>
      <c r="AA93" s="14"/>
      <c r="AD93" s="14"/>
      <c r="AE93" s="14"/>
      <c r="AF93" s="14"/>
      <c r="AG93" s="14"/>
    </row>
    <row r="94" ht="15.75" customHeight="1">
      <c r="A94" s="14"/>
      <c r="B94" s="48"/>
      <c r="D94" s="14"/>
      <c r="E94" s="14"/>
      <c r="N94" s="14"/>
      <c r="S94" s="14"/>
      <c r="W94" s="14"/>
      <c r="X94" s="14"/>
      <c r="Z94" s="14"/>
      <c r="AA94" s="14"/>
      <c r="AD94" s="14"/>
      <c r="AE94" s="14"/>
      <c r="AF94" s="14"/>
      <c r="AG94" s="14"/>
    </row>
    <row r="95" ht="15.75" customHeight="1">
      <c r="A95" s="14"/>
      <c r="B95" s="48"/>
      <c r="D95" s="14"/>
      <c r="E95" s="14"/>
      <c r="N95" s="14"/>
      <c r="S95" s="14"/>
      <c r="W95" s="14"/>
      <c r="X95" s="14"/>
      <c r="Z95" s="14"/>
      <c r="AA95" s="14"/>
      <c r="AD95" s="14"/>
      <c r="AE95" s="14"/>
      <c r="AF95" s="14"/>
      <c r="AG95" s="14"/>
    </row>
    <row r="96" ht="15.75" customHeight="1">
      <c r="A96" s="14"/>
      <c r="B96" s="48"/>
      <c r="D96" s="14"/>
      <c r="E96" s="14"/>
      <c r="N96" s="14"/>
      <c r="S96" s="14"/>
      <c r="W96" s="14"/>
      <c r="X96" s="14"/>
      <c r="Z96" s="14"/>
      <c r="AA96" s="14"/>
      <c r="AD96" s="14"/>
      <c r="AE96" s="14"/>
      <c r="AF96" s="14"/>
      <c r="AG96" s="14"/>
    </row>
    <row r="97" ht="15.75" customHeight="1">
      <c r="A97" s="14"/>
      <c r="B97" s="48"/>
      <c r="D97" s="14"/>
      <c r="E97" s="14"/>
      <c r="N97" s="14"/>
      <c r="S97" s="14"/>
      <c r="W97" s="14"/>
      <c r="X97" s="14"/>
      <c r="Z97" s="14"/>
      <c r="AA97" s="14"/>
      <c r="AD97" s="14"/>
      <c r="AE97" s="14"/>
      <c r="AF97" s="14"/>
      <c r="AG97" s="14"/>
    </row>
    <row r="98" ht="15.75" customHeight="1">
      <c r="A98" s="14"/>
      <c r="B98" s="48"/>
      <c r="D98" s="14"/>
      <c r="E98" s="14"/>
      <c r="N98" s="14"/>
      <c r="S98" s="14"/>
      <c r="W98" s="14"/>
      <c r="X98" s="14"/>
      <c r="Z98" s="14"/>
      <c r="AA98" s="14"/>
      <c r="AD98" s="14"/>
      <c r="AE98" s="14"/>
      <c r="AF98" s="14"/>
      <c r="AG98" s="14"/>
    </row>
    <row r="99" ht="15.75" customHeight="1">
      <c r="A99" s="14"/>
      <c r="B99" s="48"/>
      <c r="D99" s="14"/>
      <c r="E99" s="14"/>
      <c r="N99" s="14"/>
      <c r="S99" s="14"/>
      <c r="W99" s="14"/>
      <c r="X99" s="14"/>
      <c r="Z99" s="14"/>
      <c r="AA99" s="14"/>
      <c r="AD99" s="14"/>
      <c r="AE99" s="14"/>
      <c r="AF99" s="14"/>
      <c r="AG99" s="14"/>
    </row>
    <row r="100" ht="15.75" customHeight="1">
      <c r="A100" s="14"/>
      <c r="B100" s="48"/>
      <c r="D100" s="14"/>
      <c r="E100" s="14"/>
      <c r="N100" s="14"/>
      <c r="S100" s="14"/>
      <c r="W100" s="14"/>
      <c r="X100" s="14"/>
      <c r="Z100" s="14"/>
      <c r="AA100" s="14"/>
      <c r="AD100" s="14"/>
      <c r="AE100" s="14"/>
      <c r="AF100" s="14"/>
      <c r="AG100" s="14"/>
    </row>
    <row r="101" ht="15.75" customHeight="1">
      <c r="A101" s="14"/>
      <c r="B101" s="14"/>
      <c r="D101" s="14"/>
      <c r="E101" s="14"/>
      <c r="N101" s="14"/>
      <c r="S101" s="14"/>
      <c r="W101" s="14"/>
      <c r="X101" s="14"/>
      <c r="Z101" s="14"/>
      <c r="AA101" s="14"/>
      <c r="AD101" s="14"/>
      <c r="AE101" s="14"/>
      <c r="AF101" s="14"/>
      <c r="AG101" s="14"/>
    </row>
    <row r="102" ht="15.75" customHeight="1">
      <c r="A102" s="14"/>
      <c r="B102" s="73"/>
      <c r="D102" s="14"/>
      <c r="E102" s="14"/>
      <c r="N102" s="14"/>
      <c r="S102" s="14"/>
      <c r="W102" s="14"/>
      <c r="X102" s="14"/>
      <c r="Z102" s="14"/>
      <c r="AA102" s="14"/>
      <c r="AD102" s="14"/>
      <c r="AE102" s="14"/>
      <c r="AF102" s="14"/>
      <c r="AG102" s="14"/>
    </row>
    <row r="103" ht="15.75" customHeight="1">
      <c r="A103" s="14"/>
      <c r="B103" s="48"/>
      <c r="D103" s="14"/>
      <c r="E103" s="14"/>
      <c r="N103" s="14"/>
      <c r="S103" s="14"/>
      <c r="W103" s="14"/>
      <c r="X103" s="14"/>
      <c r="Z103" s="14"/>
      <c r="AA103" s="14"/>
      <c r="AD103" s="14"/>
      <c r="AE103" s="14"/>
      <c r="AF103" s="14"/>
      <c r="AG103" s="14"/>
    </row>
    <row r="104" ht="15.75" customHeight="1">
      <c r="A104" s="14"/>
      <c r="B104" s="48"/>
      <c r="D104" s="14"/>
      <c r="E104" s="14"/>
      <c r="N104" s="14"/>
      <c r="S104" s="14"/>
      <c r="W104" s="14"/>
      <c r="X104" s="14"/>
      <c r="Z104" s="14"/>
      <c r="AA104" s="14"/>
      <c r="AD104" s="14"/>
      <c r="AE104" s="14"/>
      <c r="AF104" s="14"/>
      <c r="AG104" s="14"/>
    </row>
    <row r="105" ht="15.75" customHeight="1">
      <c r="A105" s="14"/>
      <c r="B105" s="48"/>
      <c r="D105" s="14"/>
      <c r="E105" s="14"/>
      <c r="N105" s="14"/>
      <c r="S105" s="14"/>
      <c r="W105" s="14"/>
      <c r="X105" s="14"/>
      <c r="Z105" s="14"/>
      <c r="AA105" s="14"/>
      <c r="AD105" s="14"/>
      <c r="AE105" s="14"/>
      <c r="AF105" s="14"/>
      <c r="AG105" s="14"/>
    </row>
    <row r="106" ht="15.75" customHeight="1">
      <c r="A106" s="14"/>
      <c r="B106" s="79"/>
      <c r="D106" s="14"/>
      <c r="E106" s="14"/>
      <c r="N106" s="14"/>
      <c r="S106" s="14"/>
      <c r="W106" s="14"/>
      <c r="X106" s="14"/>
      <c r="Z106" s="14"/>
      <c r="AA106" s="14"/>
      <c r="AD106" s="14"/>
      <c r="AE106" s="14"/>
      <c r="AF106" s="14"/>
      <c r="AG106" s="14"/>
    </row>
    <row r="107" ht="15.75" customHeight="1">
      <c r="A107" s="14"/>
      <c r="B107" s="48"/>
      <c r="D107" s="14"/>
      <c r="E107" s="14"/>
      <c r="N107" s="14"/>
      <c r="S107" s="14"/>
      <c r="W107" s="14"/>
      <c r="X107" s="14"/>
      <c r="Z107" s="14"/>
      <c r="AA107" s="14"/>
      <c r="AD107" s="14"/>
      <c r="AE107" s="14"/>
      <c r="AF107" s="14"/>
      <c r="AG107" s="14"/>
    </row>
    <row r="108" ht="15.75" customHeight="1">
      <c r="A108" s="14"/>
      <c r="B108" s="48"/>
      <c r="D108" s="14"/>
      <c r="E108" s="14"/>
      <c r="N108" s="14"/>
      <c r="S108" s="14"/>
      <c r="W108" s="14"/>
      <c r="X108" s="14"/>
      <c r="Z108" s="14"/>
      <c r="AA108" s="14"/>
      <c r="AD108" s="14"/>
      <c r="AE108" s="14"/>
      <c r="AF108" s="14"/>
      <c r="AG108" s="14"/>
    </row>
    <row r="109" ht="15.75" customHeight="1">
      <c r="A109" s="14"/>
      <c r="B109" s="62"/>
      <c r="D109" s="14"/>
      <c r="E109" s="14"/>
      <c r="N109" s="14"/>
      <c r="S109" s="14"/>
      <c r="W109" s="14"/>
      <c r="X109" s="14"/>
      <c r="Z109" s="14"/>
      <c r="AA109" s="14"/>
      <c r="AD109" s="14"/>
      <c r="AE109" s="14"/>
      <c r="AF109" s="14"/>
      <c r="AG109" s="14"/>
    </row>
    <row r="110" ht="15.75" customHeight="1">
      <c r="A110" s="14"/>
      <c r="B110" s="81"/>
      <c r="D110" s="14"/>
      <c r="E110" s="14"/>
      <c r="N110" s="14"/>
      <c r="S110" s="14"/>
      <c r="W110" s="14"/>
      <c r="X110" s="14"/>
      <c r="Z110" s="14"/>
      <c r="AA110" s="14"/>
      <c r="AD110" s="14"/>
      <c r="AE110" s="14"/>
      <c r="AF110" s="14"/>
      <c r="AG110" s="14"/>
    </row>
    <row r="111" ht="15.75" customHeight="1">
      <c r="A111" s="14"/>
      <c r="B111" s="48"/>
      <c r="D111" s="14"/>
      <c r="E111" s="14"/>
      <c r="N111" s="14"/>
      <c r="S111" s="14"/>
      <c r="W111" s="14"/>
      <c r="X111" s="14"/>
      <c r="Z111" s="14"/>
      <c r="AA111" s="14"/>
      <c r="AD111" s="14"/>
      <c r="AE111" s="14"/>
      <c r="AF111" s="14"/>
      <c r="AG111" s="14"/>
    </row>
    <row r="112" ht="15.75" customHeight="1">
      <c r="A112" s="14"/>
      <c r="B112" s="14"/>
      <c r="D112" s="14"/>
      <c r="E112" s="14"/>
      <c r="N112" s="14"/>
      <c r="S112" s="14"/>
      <c r="W112" s="14"/>
      <c r="X112" s="14"/>
      <c r="Z112" s="14"/>
      <c r="AA112" s="14"/>
      <c r="AD112" s="14"/>
      <c r="AE112" s="14"/>
      <c r="AF112" s="14"/>
      <c r="AG112" s="14"/>
    </row>
    <row r="113" ht="15.75" customHeight="1">
      <c r="A113" s="14"/>
      <c r="B113" s="14"/>
      <c r="D113" s="14"/>
      <c r="E113" s="14"/>
      <c r="N113" s="14"/>
      <c r="S113" s="14"/>
      <c r="W113" s="14"/>
      <c r="X113" s="14"/>
      <c r="Z113" s="14"/>
      <c r="AA113" s="14"/>
      <c r="AD113" s="14"/>
      <c r="AE113" s="14"/>
      <c r="AF113" s="14"/>
      <c r="AG113" s="14"/>
    </row>
    <row r="114" ht="15.75" customHeight="1">
      <c r="A114" s="14"/>
      <c r="B114" s="14"/>
      <c r="D114" s="14"/>
      <c r="E114" s="14"/>
      <c r="N114" s="14"/>
      <c r="S114" s="14"/>
      <c r="W114" s="14"/>
      <c r="X114" s="14"/>
      <c r="Z114" s="14"/>
      <c r="AA114" s="14"/>
      <c r="AD114" s="14"/>
      <c r="AE114" s="14"/>
      <c r="AF114" s="14"/>
      <c r="AG114" s="14"/>
    </row>
    <row r="115" ht="15.75" customHeight="1">
      <c r="A115" s="14"/>
      <c r="B115" s="14"/>
      <c r="D115" s="14"/>
      <c r="E115" s="14"/>
      <c r="N115" s="14"/>
      <c r="S115" s="14"/>
      <c r="W115" s="14"/>
      <c r="X115" s="14"/>
      <c r="Z115" s="14"/>
      <c r="AA115" s="14"/>
      <c r="AD115" s="14"/>
      <c r="AE115" s="14"/>
      <c r="AF115" s="14"/>
      <c r="AG115" s="14"/>
    </row>
    <row r="116" ht="15.75" customHeight="1">
      <c r="A116" s="14"/>
      <c r="B116" s="84"/>
      <c r="D116" s="14"/>
      <c r="E116" s="14"/>
      <c r="N116" s="14"/>
      <c r="S116" s="14"/>
      <c r="W116" s="14"/>
      <c r="X116" s="14"/>
      <c r="Z116" s="14"/>
      <c r="AA116" s="14"/>
      <c r="AD116" s="14"/>
      <c r="AE116" s="14"/>
      <c r="AF116" s="14"/>
      <c r="AG116" s="14"/>
    </row>
    <row r="117" ht="15.75" customHeight="1">
      <c r="A117" s="14"/>
      <c r="B117" s="84"/>
      <c r="D117" s="14"/>
      <c r="E117" s="14"/>
      <c r="N117" s="14"/>
      <c r="S117" s="14"/>
      <c r="W117" s="14"/>
      <c r="X117" s="14"/>
      <c r="Z117" s="14"/>
      <c r="AA117" s="14"/>
      <c r="AD117" s="14"/>
      <c r="AE117" s="14"/>
      <c r="AF117" s="14"/>
      <c r="AG117" s="14"/>
    </row>
    <row r="118" ht="15.75" customHeight="1">
      <c r="A118" s="14"/>
      <c r="B118" s="14"/>
      <c r="D118" s="14"/>
      <c r="E118" s="14"/>
      <c r="N118" s="14"/>
      <c r="S118" s="14"/>
      <c r="W118" s="14"/>
      <c r="X118" s="14"/>
      <c r="Z118" s="14"/>
      <c r="AA118" s="14"/>
      <c r="AD118" s="14"/>
      <c r="AE118" s="14"/>
      <c r="AF118" s="14"/>
      <c r="AG118" s="14"/>
    </row>
    <row r="119" ht="15.75" customHeight="1">
      <c r="A119" s="14"/>
      <c r="B119" s="14"/>
      <c r="D119" s="14"/>
      <c r="E119" s="14"/>
      <c r="N119" s="14"/>
      <c r="S119" s="14"/>
      <c r="W119" s="14"/>
      <c r="X119" s="14"/>
      <c r="Z119" s="14"/>
      <c r="AA119" s="14"/>
      <c r="AD119" s="14"/>
      <c r="AE119" s="14"/>
      <c r="AF119" s="14"/>
      <c r="AG119" s="14"/>
    </row>
    <row r="120" ht="15.75" customHeight="1">
      <c r="A120" s="14"/>
      <c r="B120" s="14"/>
      <c r="D120" s="14"/>
      <c r="E120" s="14"/>
      <c r="N120" s="14"/>
      <c r="S120" s="14"/>
      <c r="W120" s="14"/>
      <c r="X120" s="14"/>
      <c r="Z120" s="14"/>
      <c r="AA120" s="14"/>
      <c r="AD120" s="14"/>
      <c r="AE120" s="14"/>
      <c r="AF120" s="14"/>
      <c r="AG120" s="14"/>
    </row>
    <row r="121" ht="15.75" customHeight="1">
      <c r="A121" s="14"/>
      <c r="B121" s="14"/>
      <c r="D121" s="14"/>
      <c r="E121" s="14"/>
      <c r="N121" s="14"/>
      <c r="S121" s="14"/>
      <c r="W121" s="14"/>
      <c r="X121" s="14"/>
      <c r="Z121" s="14"/>
      <c r="AA121" s="14"/>
      <c r="AD121" s="14"/>
      <c r="AE121" s="14"/>
      <c r="AF121" s="14"/>
      <c r="AG121" s="14"/>
    </row>
    <row r="122" ht="15.75" customHeight="1">
      <c r="A122" s="14"/>
      <c r="B122" s="14"/>
      <c r="D122" s="14"/>
      <c r="E122" s="14"/>
      <c r="N122" s="14"/>
      <c r="S122" s="14"/>
      <c r="W122" s="14"/>
      <c r="X122" s="14"/>
      <c r="Z122" s="14"/>
      <c r="AA122" s="14"/>
      <c r="AD122" s="14"/>
      <c r="AE122" s="14"/>
      <c r="AF122" s="14"/>
      <c r="AG122" s="14"/>
    </row>
    <row r="123" ht="15.75" customHeight="1">
      <c r="A123" s="14"/>
      <c r="B123" s="14"/>
      <c r="D123" s="14"/>
      <c r="E123" s="14"/>
      <c r="N123" s="14"/>
      <c r="S123" s="14"/>
      <c r="W123" s="14"/>
      <c r="X123" s="14"/>
      <c r="Z123" s="14"/>
      <c r="AA123" s="14"/>
      <c r="AD123" s="14"/>
      <c r="AE123" s="14"/>
      <c r="AF123" s="14"/>
      <c r="AG123" s="14"/>
    </row>
    <row r="124" ht="15.75" customHeight="1">
      <c r="A124" s="14"/>
      <c r="B124" s="14"/>
      <c r="D124" s="14"/>
      <c r="E124" s="14"/>
      <c r="N124" s="14"/>
      <c r="S124" s="14"/>
      <c r="W124" s="14"/>
      <c r="X124" s="14"/>
      <c r="Z124" s="14"/>
      <c r="AA124" s="14"/>
      <c r="AD124" s="14"/>
      <c r="AE124" s="14"/>
      <c r="AF124" s="14"/>
      <c r="AG124" s="14"/>
    </row>
    <row r="125" ht="15.75" customHeight="1">
      <c r="A125" s="14"/>
      <c r="B125" s="14"/>
      <c r="D125" s="14"/>
      <c r="E125" s="14"/>
      <c r="N125" s="14"/>
      <c r="S125" s="14"/>
      <c r="W125" s="14"/>
      <c r="X125" s="14"/>
      <c r="Z125" s="14"/>
      <c r="AA125" s="14"/>
      <c r="AD125" s="14"/>
      <c r="AE125" s="14"/>
      <c r="AF125" s="14"/>
      <c r="AG125" s="14"/>
    </row>
    <row r="126" ht="15.75" customHeight="1">
      <c r="A126" s="14"/>
      <c r="B126" s="14"/>
      <c r="D126" s="14"/>
      <c r="E126" s="14"/>
      <c r="N126" s="14"/>
      <c r="S126" s="14"/>
      <c r="W126" s="14"/>
      <c r="X126" s="14"/>
      <c r="Z126" s="14"/>
      <c r="AA126" s="14"/>
      <c r="AD126" s="14"/>
      <c r="AE126" s="14"/>
      <c r="AF126" s="14"/>
      <c r="AG126" s="14"/>
    </row>
    <row r="127" ht="15.75" customHeight="1">
      <c r="A127" s="14"/>
      <c r="B127" s="14"/>
      <c r="D127" s="14"/>
      <c r="E127" s="14"/>
      <c r="N127" s="14"/>
      <c r="S127" s="14"/>
      <c r="W127" s="14"/>
      <c r="X127" s="14"/>
      <c r="Z127" s="14"/>
      <c r="AA127" s="14"/>
      <c r="AD127" s="14"/>
      <c r="AE127" s="14"/>
      <c r="AF127" s="14"/>
      <c r="AG127" s="14"/>
    </row>
    <row r="128" ht="15.75" customHeight="1">
      <c r="A128" s="14"/>
      <c r="B128" s="14"/>
      <c r="D128" s="14"/>
      <c r="E128" s="14"/>
      <c r="N128" s="14"/>
      <c r="S128" s="14"/>
      <c r="W128" s="14"/>
      <c r="X128" s="14"/>
      <c r="Z128" s="14"/>
      <c r="AA128" s="14"/>
      <c r="AD128" s="14"/>
      <c r="AE128" s="14"/>
      <c r="AF128" s="14"/>
      <c r="AG128" s="14"/>
    </row>
    <row r="129" ht="15.75" customHeight="1">
      <c r="A129" s="14"/>
      <c r="B129" s="14"/>
      <c r="D129" s="14"/>
      <c r="E129" s="14"/>
      <c r="N129" s="14"/>
      <c r="S129" s="14"/>
      <c r="W129" s="14"/>
      <c r="X129" s="14"/>
      <c r="Z129" s="14"/>
      <c r="AA129" s="14"/>
      <c r="AD129" s="14"/>
      <c r="AE129" s="14"/>
      <c r="AF129" s="14"/>
      <c r="AG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D130" s="14"/>
      <c r="AE130" s="14"/>
      <c r="AF130" s="14"/>
      <c r="AG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D131" s="14"/>
      <c r="AE131" s="14"/>
      <c r="AF131" s="14"/>
      <c r="AG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D132" s="14"/>
      <c r="AE132" s="14"/>
      <c r="AF132" s="14"/>
      <c r="AG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D133" s="14"/>
      <c r="AE133" s="14"/>
      <c r="AF133" s="14"/>
      <c r="AG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D134" s="14"/>
      <c r="AE134" s="14"/>
      <c r="AF134" s="14"/>
      <c r="AG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D135" s="14"/>
      <c r="AE135" s="14"/>
      <c r="AF135" s="14"/>
      <c r="AG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D136" s="14"/>
      <c r="AE136" s="14"/>
      <c r="AF136" s="14"/>
      <c r="AG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D137" s="14"/>
      <c r="AE137" s="14"/>
      <c r="AF137" s="14"/>
      <c r="AG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D138" s="14"/>
      <c r="AE138" s="14"/>
      <c r="AF138" s="14"/>
      <c r="AG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D139" s="14"/>
      <c r="AE139" s="14"/>
      <c r="AF139" s="14"/>
      <c r="AG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D140" s="14"/>
      <c r="AE140" s="14"/>
      <c r="AF140" s="14"/>
      <c r="AG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D141" s="14"/>
      <c r="AE141" s="14"/>
      <c r="AF141" s="14"/>
      <c r="AG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D142" s="14"/>
      <c r="AE142" s="14"/>
      <c r="AF142" s="14"/>
      <c r="AG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D143" s="14"/>
      <c r="AE143" s="14"/>
      <c r="AF143" s="14"/>
      <c r="AG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D144" s="14"/>
      <c r="AE144" s="14"/>
      <c r="AF144" s="14"/>
      <c r="AG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D145" s="14"/>
      <c r="AE145" s="14"/>
      <c r="AF145" s="14"/>
      <c r="AG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D146" s="14"/>
      <c r="AE146" s="14"/>
      <c r="AF146" s="14"/>
      <c r="AG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D147" s="14"/>
      <c r="AE147" s="14"/>
      <c r="AF147" s="14"/>
      <c r="AG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D148" s="14"/>
      <c r="AE148" s="14"/>
      <c r="AF148" s="14"/>
      <c r="AG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D149" s="14"/>
      <c r="AE149" s="14"/>
      <c r="AF149" s="14"/>
      <c r="AG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D150" s="14"/>
      <c r="AE150" s="14"/>
      <c r="AF150" s="14"/>
      <c r="AG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D151" s="14"/>
      <c r="AE151" s="14"/>
      <c r="AF151" s="14"/>
      <c r="AG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</row>
    <row r="240" ht="15.75" customHeight="1">
      <c r="D240" s="14"/>
      <c r="E240" s="14"/>
      <c r="N240" s="14"/>
      <c r="S240" s="14"/>
      <c r="W240" s="14"/>
      <c r="X240" s="14"/>
    </row>
    <row r="241" ht="15.75" customHeight="1">
      <c r="D241" s="14"/>
      <c r="E241" s="14"/>
      <c r="N241" s="14"/>
      <c r="S241" s="14"/>
      <c r="W241" s="14"/>
      <c r="X241" s="14"/>
    </row>
    <row r="242" ht="15.75" customHeight="1">
      <c r="D242" s="14"/>
      <c r="E242" s="14"/>
      <c r="N242" s="14"/>
      <c r="S242" s="14"/>
      <c r="W242" s="14"/>
      <c r="X242" s="14"/>
    </row>
    <row r="243" ht="15.75" customHeight="1">
      <c r="D243" s="14"/>
      <c r="E243" s="14"/>
      <c r="N243" s="14"/>
      <c r="S243" s="14"/>
      <c r="W243" s="14"/>
      <c r="X243" s="14"/>
    </row>
    <row r="244" ht="15.75" customHeight="1">
      <c r="D244" s="14"/>
      <c r="E244" s="14"/>
      <c r="N244" s="14"/>
      <c r="S244" s="14"/>
      <c r="W244" s="14"/>
      <c r="X244" s="14"/>
    </row>
    <row r="245" ht="15.75" customHeight="1">
      <c r="D245" s="14"/>
      <c r="E245" s="14"/>
      <c r="N245" s="14"/>
      <c r="S245" s="14"/>
      <c r="W245" s="14"/>
      <c r="X245" s="14"/>
    </row>
    <row r="246" ht="15.75" customHeight="1">
      <c r="D246" s="14"/>
      <c r="E246" s="14"/>
      <c r="N246" s="14"/>
      <c r="S246" s="14"/>
      <c r="W246" s="14"/>
      <c r="X246" s="14"/>
    </row>
    <row r="247" ht="15.75" customHeight="1">
      <c r="D247" s="14"/>
      <c r="E247" s="14"/>
      <c r="N247" s="14"/>
      <c r="S247" s="14"/>
      <c r="W247" s="14"/>
      <c r="X247" s="14"/>
    </row>
    <row r="248" ht="15.75" customHeight="1">
      <c r="D248" s="14"/>
      <c r="E248" s="14"/>
      <c r="N248" s="14"/>
      <c r="S248" s="14"/>
      <c r="W248" s="14"/>
      <c r="X248" s="14"/>
    </row>
    <row r="249" ht="15.75" customHeight="1">
      <c r="D249" s="14"/>
      <c r="E249" s="14"/>
      <c r="N249" s="14"/>
      <c r="S249" s="14"/>
      <c r="W249" s="14"/>
      <c r="X249" s="14"/>
    </row>
    <row r="250" ht="15.75" customHeight="1">
      <c r="D250" s="14"/>
      <c r="E250" s="14"/>
      <c r="N250" s="14"/>
      <c r="S250" s="14"/>
      <c r="W250" s="14"/>
      <c r="X250" s="14"/>
    </row>
    <row r="251" ht="15.75" customHeight="1">
      <c r="D251" s="14"/>
      <c r="E251" s="14"/>
      <c r="N251" s="14"/>
      <c r="S251" s="14"/>
      <c r="W251" s="14"/>
      <c r="X251" s="14"/>
    </row>
    <row r="252" ht="15.75" customHeight="1">
      <c r="D252" s="14"/>
      <c r="E252" s="14"/>
      <c r="N252" s="14"/>
      <c r="S252" s="14"/>
      <c r="W252" s="14"/>
      <c r="X252" s="14"/>
    </row>
    <row r="253" ht="15.75" customHeight="1">
      <c r="D253" s="14"/>
      <c r="E253" s="14"/>
      <c r="N253" s="14"/>
      <c r="S253" s="14"/>
      <c r="W253" s="14"/>
      <c r="X253" s="14"/>
    </row>
    <row r="254" ht="15.75" customHeight="1">
      <c r="D254" s="14"/>
      <c r="E254" s="14"/>
      <c r="N254" s="14"/>
      <c r="S254" s="14"/>
      <c r="W254" s="14"/>
      <c r="X254" s="14"/>
    </row>
    <row r="255" ht="15.75" customHeight="1">
      <c r="D255" s="14"/>
      <c r="E255" s="14"/>
      <c r="N255" s="14"/>
      <c r="S255" s="14"/>
      <c r="W255" s="14"/>
      <c r="X255" s="14"/>
    </row>
    <row r="256" ht="15.75" customHeight="1">
      <c r="D256" s="14"/>
      <c r="E256" s="14"/>
      <c r="N256" s="14"/>
      <c r="S256" s="14"/>
      <c r="W256" s="14"/>
      <c r="X256" s="14"/>
    </row>
    <row r="257" ht="15.75" customHeight="1">
      <c r="D257" s="14"/>
      <c r="E257" s="14"/>
      <c r="N257" s="14"/>
      <c r="S257" s="14"/>
      <c r="W257" s="14"/>
      <c r="X257" s="14"/>
    </row>
    <row r="258" ht="15.75" customHeight="1">
      <c r="D258" s="14"/>
      <c r="E258" s="14"/>
      <c r="N258" s="14"/>
      <c r="S258" s="14"/>
      <c r="W258" s="14"/>
      <c r="X258" s="14"/>
    </row>
    <row r="259" ht="15.75" customHeight="1">
      <c r="D259" s="14"/>
      <c r="E259" s="14"/>
      <c r="N259" s="14"/>
      <c r="S259" s="14"/>
      <c r="W259" s="14"/>
      <c r="X259" s="14"/>
    </row>
    <row r="260" ht="15.75" customHeight="1">
      <c r="D260" s="14"/>
      <c r="E260" s="14"/>
      <c r="N260" s="14"/>
      <c r="S260" s="14"/>
      <c r="W260" s="14"/>
      <c r="X260" s="14"/>
    </row>
    <row r="261" ht="15.75" customHeight="1">
      <c r="D261" s="14"/>
      <c r="E261" s="14"/>
      <c r="N261" s="14"/>
      <c r="S261" s="14"/>
      <c r="W261" s="14"/>
      <c r="X261" s="14"/>
    </row>
    <row r="262" ht="15.75" customHeight="1">
      <c r="D262" s="14"/>
      <c r="E262" s="14"/>
      <c r="N262" s="14"/>
      <c r="S262" s="14"/>
      <c r="W262" s="14"/>
      <c r="X262" s="14"/>
    </row>
    <row r="263" ht="15.75" customHeight="1">
      <c r="D263" s="14"/>
      <c r="E263" s="14"/>
      <c r="N263" s="14"/>
      <c r="S263" s="14"/>
      <c r="W263" s="14"/>
      <c r="X263" s="14"/>
    </row>
    <row r="264" ht="15.75" customHeight="1">
      <c r="D264" s="14"/>
      <c r="E264" s="14"/>
      <c r="N264" s="14"/>
      <c r="S264" s="14"/>
      <c r="W264" s="14"/>
      <c r="X264" s="14"/>
    </row>
    <row r="265" ht="15.75" customHeight="1">
      <c r="D265" s="14"/>
      <c r="E265" s="14"/>
      <c r="N265" s="14"/>
      <c r="S265" s="14"/>
      <c r="W265" s="14"/>
      <c r="X265" s="14"/>
    </row>
    <row r="266" ht="15.75" customHeight="1">
      <c r="D266" s="14"/>
      <c r="E266" s="14"/>
      <c r="N266" s="14"/>
      <c r="S266" s="14"/>
      <c r="W266" s="14"/>
      <c r="X266" s="14"/>
    </row>
    <row r="267" ht="15.75" customHeight="1">
      <c r="D267" s="14"/>
      <c r="E267" s="14"/>
      <c r="N267" s="14"/>
      <c r="S267" s="14"/>
      <c r="W267" s="14"/>
      <c r="X267" s="14"/>
    </row>
    <row r="268" ht="15.75" customHeight="1">
      <c r="D268" s="14"/>
      <c r="E268" s="14"/>
      <c r="N268" s="14"/>
      <c r="S268" s="14"/>
      <c r="W268" s="14"/>
      <c r="X268" s="14"/>
    </row>
    <row r="269" ht="15.75" customHeight="1">
      <c r="D269" s="14"/>
      <c r="E269" s="14"/>
      <c r="N269" s="14"/>
      <c r="S269" s="14"/>
      <c r="W269" s="14"/>
      <c r="X269" s="14"/>
    </row>
    <row r="270" ht="15.75" customHeight="1">
      <c r="D270" s="14"/>
      <c r="E270" s="14"/>
      <c r="N270" s="14"/>
      <c r="S270" s="14"/>
      <c r="W270" s="14"/>
      <c r="X270" s="14"/>
    </row>
    <row r="271" ht="15.75" customHeight="1">
      <c r="D271" s="14"/>
      <c r="E271" s="14"/>
      <c r="N271" s="14"/>
      <c r="S271" s="14"/>
      <c r="W271" s="14"/>
      <c r="X271" s="14"/>
    </row>
    <row r="272" ht="15.75" customHeight="1">
      <c r="D272" s="14"/>
      <c r="E272" s="14"/>
      <c r="N272" s="14"/>
      <c r="S272" s="14"/>
      <c r="W272" s="14"/>
      <c r="X272" s="14"/>
    </row>
    <row r="273" ht="15.75" customHeight="1">
      <c r="D273" s="14"/>
      <c r="E273" s="14"/>
      <c r="N273" s="14"/>
      <c r="S273" s="14"/>
      <c r="W273" s="14"/>
      <c r="X273" s="14"/>
    </row>
    <row r="274" ht="15.75" customHeight="1">
      <c r="D274" s="14"/>
      <c r="E274" s="14"/>
      <c r="N274" s="14"/>
      <c r="S274" s="14"/>
      <c r="W274" s="14"/>
      <c r="X274" s="14"/>
    </row>
    <row r="275" ht="15.75" customHeight="1">
      <c r="D275" s="14"/>
      <c r="E275" s="14"/>
      <c r="N275" s="14"/>
      <c r="S275" s="14"/>
      <c r="W275" s="14"/>
      <c r="X275" s="14"/>
    </row>
    <row r="276" ht="15.75" customHeight="1">
      <c r="D276" s="14"/>
      <c r="E276" s="14"/>
      <c r="N276" s="14"/>
      <c r="S276" s="14"/>
      <c r="W276" s="14"/>
      <c r="X276" s="14"/>
    </row>
    <row r="277" ht="15.75" customHeight="1">
      <c r="D277" s="14"/>
      <c r="E277" s="14"/>
      <c r="N277" s="14"/>
      <c r="S277" s="14"/>
      <c r="W277" s="14"/>
      <c r="X277" s="14"/>
    </row>
    <row r="278" ht="15.75" customHeight="1">
      <c r="D278" s="14"/>
      <c r="E278" s="14"/>
      <c r="N278" s="14"/>
      <c r="S278" s="14"/>
      <c r="W278" s="14"/>
      <c r="X278" s="14"/>
    </row>
    <row r="279" ht="15.75" customHeight="1">
      <c r="D279" s="14"/>
      <c r="E279" s="14"/>
      <c r="N279" s="14"/>
      <c r="S279" s="14"/>
      <c r="W279" s="14"/>
      <c r="X279" s="14"/>
    </row>
    <row r="280" ht="15.75" customHeight="1">
      <c r="D280" s="14"/>
      <c r="E280" s="14"/>
      <c r="N280" s="14"/>
      <c r="S280" s="14"/>
      <c r="W280" s="14"/>
      <c r="X280" s="14"/>
    </row>
    <row r="281" ht="15.75" customHeight="1">
      <c r="D281" s="14"/>
      <c r="E281" s="14"/>
      <c r="N281" s="14"/>
      <c r="S281" s="14"/>
      <c r="W281" s="14"/>
      <c r="X281" s="14"/>
    </row>
    <row r="282" ht="15.75" customHeight="1">
      <c r="D282" s="14"/>
      <c r="E282" s="14"/>
      <c r="N282" s="14"/>
      <c r="S282" s="14"/>
      <c r="W282" s="14"/>
      <c r="X282" s="14"/>
    </row>
    <row r="283" ht="15.75" customHeight="1">
      <c r="D283" s="14"/>
      <c r="E283" s="14"/>
      <c r="N283" s="14"/>
      <c r="S283" s="14"/>
      <c r="W283" s="14"/>
      <c r="X283" s="14"/>
    </row>
    <row r="284" ht="15.75" customHeight="1">
      <c r="D284" s="14"/>
      <c r="E284" s="14"/>
      <c r="N284" s="14"/>
      <c r="S284" s="14"/>
      <c r="W284" s="14"/>
      <c r="X284" s="14"/>
    </row>
    <row r="285" ht="15.75" customHeight="1">
      <c r="D285" s="14"/>
      <c r="E285" s="14"/>
      <c r="N285" s="14"/>
      <c r="S285" s="14"/>
      <c r="W285" s="14"/>
      <c r="X285" s="14"/>
    </row>
    <row r="286" ht="15.75" customHeight="1">
      <c r="D286" s="14"/>
      <c r="E286" s="14"/>
      <c r="N286" s="14"/>
      <c r="S286" s="14"/>
      <c r="W286" s="14"/>
      <c r="X286" s="14"/>
    </row>
    <row r="287" ht="15.75" customHeight="1">
      <c r="D287" s="14"/>
      <c r="E287" s="14"/>
      <c r="N287" s="14"/>
      <c r="S287" s="14"/>
      <c r="W287" s="14"/>
      <c r="X287" s="14"/>
    </row>
    <row r="288" ht="15.75" customHeight="1">
      <c r="D288" s="14"/>
      <c r="E288" s="14"/>
      <c r="N288" s="14"/>
      <c r="S288" s="14"/>
      <c r="W288" s="14"/>
      <c r="X288" s="14"/>
    </row>
    <row r="289" ht="15.75" customHeight="1">
      <c r="D289" s="14"/>
      <c r="E289" s="14"/>
      <c r="N289" s="14"/>
      <c r="S289" s="14"/>
      <c r="W289" s="14"/>
      <c r="X289" s="14"/>
    </row>
    <row r="290" ht="15.75" customHeight="1">
      <c r="D290" s="14"/>
      <c r="E290" s="14"/>
      <c r="N290" s="14"/>
      <c r="S290" s="14"/>
      <c r="W290" s="14"/>
      <c r="X290" s="14"/>
    </row>
    <row r="291" ht="15.75" customHeight="1">
      <c r="D291" s="14"/>
      <c r="E291" s="14"/>
      <c r="N291" s="14"/>
      <c r="S291" s="14"/>
      <c r="W291" s="14"/>
      <c r="X291" s="14"/>
    </row>
    <row r="292" ht="15.75" customHeight="1">
      <c r="D292" s="14"/>
      <c r="E292" s="14"/>
      <c r="N292" s="14"/>
      <c r="S292" s="14"/>
      <c r="W292" s="14"/>
      <c r="X292" s="14"/>
    </row>
    <row r="293" ht="15.75" customHeight="1">
      <c r="D293" s="14"/>
      <c r="E293" s="14"/>
      <c r="N293" s="14"/>
      <c r="S293" s="14"/>
      <c r="W293" s="14"/>
      <c r="X293" s="14"/>
    </row>
    <row r="294" ht="15.75" customHeight="1">
      <c r="D294" s="14"/>
      <c r="E294" s="14"/>
      <c r="N294" s="14"/>
      <c r="S294" s="14"/>
      <c r="W294" s="14"/>
      <c r="X294" s="14"/>
    </row>
    <row r="295" ht="15.75" customHeight="1">
      <c r="D295" s="14"/>
      <c r="E295" s="14"/>
      <c r="N295" s="14"/>
      <c r="S295" s="14"/>
      <c r="W295" s="14"/>
      <c r="X295" s="14"/>
    </row>
    <row r="296" ht="15.75" customHeight="1">
      <c r="D296" s="14"/>
      <c r="E296" s="14"/>
      <c r="N296" s="14"/>
      <c r="S296" s="14"/>
      <c r="W296" s="14"/>
      <c r="X296" s="14"/>
    </row>
    <row r="297" ht="15.75" customHeight="1">
      <c r="D297" s="14"/>
      <c r="E297" s="14"/>
      <c r="N297" s="14"/>
      <c r="S297" s="14"/>
      <c r="W297" s="14"/>
      <c r="X297" s="14"/>
    </row>
    <row r="298" ht="15.75" customHeight="1">
      <c r="D298" s="14"/>
      <c r="E298" s="14"/>
      <c r="N298" s="14"/>
      <c r="S298" s="14"/>
      <c r="W298" s="14"/>
      <c r="X298" s="14"/>
    </row>
    <row r="299" ht="15.75" customHeight="1">
      <c r="D299" s="14"/>
      <c r="E299" s="14"/>
      <c r="N299" s="14"/>
      <c r="S299" s="14"/>
      <c r="W299" s="14"/>
      <c r="X299" s="14"/>
    </row>
    <row r="300" ht="15.75" customHeight="1">
      <c r="D300" s="14"/>
      <c r="E300" s="14"/>
      <c r="N300" s="14"/>
      <c r="S300" s="14"/>
      <c r="W300" s="14"/>
      <c r="X300" s="14"/>
    </row>
    <row r="301" ht="15.75" customHeight="1">
      <c r="D301" s="14"/>
      <c r="E301" s="14"/>
      <c r="N301" s="14"/>
      <c r="S301" s="14"/>
      <c r="W301" s="14"/>
      <c r="X301" s="14"/>
    </row>
    <row r="302" ht="15.75" customHeight="1">
      <c r="D302" s="14"/>
      <c r="E302" s="14"/>
      <c r="N302" s="14"/>
      <c r="S302" s="14"/>
      <c r="W302" s="14"/>
      <c r="X302" s="14"/>
    </row>
    <row r="303" ht="15.75" customHeight="1">
      <c r="D303" s="14"/>
      <c r="E303" s="14"/>
      <c r="N303" s="14"/>
      <c r="S303" s="14"/>
      <c r="W303" s="14"/>
      <c r="X303" s="14"/>
    </row>
    <row r="304" ht="15.75" customHeight="1">
      <c r="D304" s="14"/>
      <c r="E304" s="14"/>
      <c r="N304" s="14"/>
      <c r="S304" s="14"/>
      <c r="W304" s="14"/>
      <c r="X304" s="14"/>
    </row>
    <row r="305" ht="15.75" customHeight="1">
      <c r="D305" s="14"/>
      <c r="E305" s="14"/>
      <c r="N305" s="14"/>
      <c r="S305" s="14"/>
      <c r="W305" s="14"/>
      <c r="X305" s="14"/>
    </row>
    <row r="306" ht="15.75" customHeight="1">
      <c r="D306" s="14"/>
      <c r="E306" s="14"/>
      <c r="N306" s="14"/>
      <c r="S306" s="14"/>
      <c r="W306" s="14"/>
      <c r="X306" s="14"/>
    </row>
    <row r="307" ht="15.75" customHeight="1">
      <c r="D307" s="14"/>
      <c r="E307" s="14"/>
      <c r="N307" s="14"/>
      <c r="S307" s="14"/>
      <c r="W307" s="14"/>
      <c r="X307" s="14"/>
    </row>
    <row r="308" ht="15.75" customHeight="1">
      <c r="D308" s="14"/>
      <c r="E308" s="14"/>
      <c r="N308" s="14"/>
      <c r="S308" s="14"/>
      <c r="W308" s="14"/>
      <c r="X308" s="14"/>
    </row>
    <row r="309" ht="15.75" customHeight="1">
      <c r="D309" s="14"/>
      <c r="E309" s="14"/>
      <c r="N309" s="14"/>
      <c r="S309" s="14"/>
      <c r="W309" s="14"/>
      <c r="X309" s="14"/>
    </row>
    <row r="310" ht="15.75" customHeight="1">
      <c r="D310" s="14"/>
      <c r="E310" s="14"/>
      <c r="N310" s="14"/>
      <c r="S310" s="14"/>
      <c r="W310" s="14"/>
      <c r="X310" s="14"/>
    </row>
    <row r="311" ht="15.75" customHeight="1">
      <c r="D311" s="14"/>
      <c r="E311" s="14"/>
      <c r="N311" s="14"/>
      <c r="S311" s="14"/>
      <c r="W311" s="14"/>
      <c r="X311" s="14"/>
    </row>
    <row r="312" ht="15.75" customHeight="1">
      <c r="D312" s="14"/>
      <c r="E312" s="14"/>
      <c r="N312" s="14"/>
      <c r="S312" s="14"/>
      <c r="W312" s="14"/>
      <c r="X312" s="14"/>
    </row>
    <row r="313" ht="15.75" customHeight="1">
      <c r="D313" s="14"/>
      <c r="E313" s="14"/>
      <c r="N313" s="14"/>
      <c r="S313" s="14"/>
      <c r="W313" s="14"/>
      <c r="X313" s="14"/>
    </row>
    <row r="314" ht="15.75" customHeight="1">
      <c r="D314" s="14"/>
      <c r="E314" s="14"/>
      <c r="N314" s="14"/>
      <c r="S314" s="14"/>
      <c r="W314" s="14"/>
      <c r="X314" s="14"/>
    </row>
    <row r="315" ht="15.75" customHeight="1">
      <c r="D315" s="14"/>
      <c r="E315" s="14"/>
      <c r="N315" s="14"/>
      <c r="S315" s="14"/>
      <c r="W315" s="14"/>
      <c r="X315" s="14"/>
    </row>
    <row r="316" ht="15.75" customHeight="1">
      <c r="D316" s="14"/>
      <c r="E316" s="14"/>
      <c r="N316" s="14"/>
      <c r="S316" s="14"/>
      <c r="W316" s="14"/>
      <c r="X316" s="14"/>
    </row>
    <row r="317" ht="15.75" customHeight="1">
      <c r="D317" s="14"/>
      <c r="E317" s="14"/>
      <c r="N317" s="14"/>
      <c r="S317" s="14"/>
      <c r="W317" s="14"/>
      <c r="X317" s="14"/>
    </row>
    <row r="318" ht="15.75" customHeight="1">
      <c r="D318" s="14"/>
      <c r="E318" s="14"/>
      <c r="N318" s="14"/>
      <c r="S318" s="14"/>
      <c r="W318" s="14"/>
      <c r="X318" s="14"/>
    </row>
    <row r="319" ht="15.75" customHeight="1">
      <c r="D319" s="14"/>
      <c r="E319" s="14"/>
      <c r="N319" s="14"/>
      <c r="S319" s="14"/>
      <c r="W319" s="14"/>
      <c r="X319" s="14"/>
    </row>
    <row r="320" ht="15.75" customHeight="1">
      <c r="D320" s="14"/>
      <c r="E320" s="14"/>
      <c r="N320" s="14"/>
      <c r="S320" s="14"/>
      <c r="W320" s="14"/>
      <c r="X320" s="14"/>
    </row>
    <row r="321" ht="15.75" customHeight="1">
      <c r="D321" s="14"/>
      <c r="E321" s="14"/>
      <c r="N321" s="14"/>
      <c r="S321" s="14"/>
      <c r="W321" s="14"/>
      <c r="X321" s="14"/>
    </row>
    <row r="322" ht="15.75" customHeight="1">
      <c r="D322" s="14"/>
      <c r="E322" s="14"/>
      <c r="N322" s="14"/>
      <c r="S322" s="14"/>
      <c r="W322" s="14"/>
      <c r="X322" s="14"/>
    </row>
    <row r="323" ht="15.75" customHeight="1">
      <c r="D323" s="14"/>
      <c r="E323" s="14"/>
      <c r="N323" s="14"/>
      <c r="S323" s="14"/>
      <c r="W323" s="14"/>
      <c r="X323" s="14"/>
    </row>
    <row r="324" ht="15.75" customHeight="1">
      <c r="D324" s="14"/>
      <c r="E324" s="14"/>
      <c r="N324" s="14"/>
      <c r="S324" s="14"/>
      <c r="W324" s="14"/>
      <c r="X324" s="14"/>
    </row>
    <row r="325" ht="15.75" customHeight="1">
      <c r="D325" s="14"/>
      <c r="E325" s="14"/>
      <c r="N325" s="14"/>
      <c r="S325" s="14"/>
      <c r="W325" s="14"/>
      <c r="X325" s="14"/>
    </row>
    <row r="326" ht="15.75" customHeight="1">
      <c r="D326" s="14"/>
      <c r="E326" s="14"/>
      <c r="N326" s="14"/>
      <c r="S326" s="14"/>
      <c r="W326" s="14"/>
      <c r="X326" s="14"/>
    </row>
    <row r="327" ht="15.75" customHeight="1">
      <c r="D327" s="14"/>
      <c r="E327" s="14"/>
      <c r="N327" s="14"/>
      <c r="S327" s="14"/>
      <c r="W327" s="14"/>
      <c r="X327" s="14"/>
    </row>
    <row r="328" ht="15.75" customHeight="1">
      <c r="D328" s="14"/>
      <c r="E328" s="14"/>
      <c r="N328" s="14"/>
      <c r="S328" s="14"/>
      <c r="W328" s="14"/>
      <c r="X328" s="14"/>
    </row>
    <row r="329" ht="15.75" customHeight="1">
      <c r="D329" s="14"/>
      <c r="E329" s="14"/>
      <c r="N329" s="14"/>
      <c r="S329" s="14"/>
      <c r="W329" s="14"/>
      <c r="X329" s="14"/>
    </row>
    <row r="330" ht="15.75" customHeight="1">
      <c r="D330" s="14"/>
      <c r="E330" s="14"/>
      <c r="N330" s="14"/>
      <c r="S330" s="14"/>
      <c r="W330" s="14"/>
      <c r="X330" s="14"/>
    </row>
    <row r="331" ht="15.75" customHeight="1">
      <c r="D331" s="14"/>
      <c r="E331" s="14"/>
      <c r="N331" s="14"/>
      <c r="S331" s="14"/>
      <c r="W331" s="14"/>
      <c r="X331" s="14"/>
    </row>
    <row r="332" ht="15.75" customHeight="1">
      <c r="D332" s="14"/>
      <c r="E332" s="14"/>
      <c r="N332" s="14"/>
      <c r="S332" s="14"/>
      <c r="W332" s="14"/>
      <c r="X332" s="14"/>
    </row>
    <row r="333" ht="15.75" customHeight="1">
      <c r="D333" s="14"/>
      <c r="E333" s="14"/>
      <c r="N333" s="14"/>
      <c r="S333" s="14"/>
      <c r="W333" s="14"/>
      <c r="X333" s="14"/>
    </row>
    <row r="334" ht="15.75" customHeight="1">
      <c r="D334" s="14"/>
      <c r="E334" s="14"/>
      <c r="N334" s="14"/>
      <c r="S334" s="14"/>
      <c r="W334" s="14"/>
      <c r="X334" s="14"/>
    </row>
    <row r="335" ht="15.75" customHeight="1">
      <c r="D335" s="14"/>
      <c r="E335" s="14"/>
      <c r="N335" s="14"/>
      <c r="S335" s="14"/>
      <c r="W335" s="14"/>
      <c r="X335" s="14"/>
    </row>
    <row r="336" ht="15.75" customHeight="1">
      <c r="D336" s="14"/>
      <c r="E336" s="14"/>
      <c r="N336" s="14"/>
      <c r="S336" s="14"/>
      <c r="W336" s="14"/>
      <c r="X336" s="14"/>
    </row>
    <row r="337" ht="15.75" customHeight="1">
      <c r="D337" s="14"/>
      <c r="E337" s="14"/>
      <c r="N337" s="14"/>
      <c r="S337" s="14"/>
      <c r="W337" s="14"/>
      <c r="X337" s="14"/>
    </row>
    <row r="338" ht="15.75" customHeight="1">
      <c r="D338" s="14"/>
      <c r="E338" s="14"/>
      <c r="N338" s="14"/>
      <c r="S338" s="14"/>
      <c r="W338" s="14"/>
      <c r="X338" s="14"/>
    </row>
    <row r="339" ht="15.75" customHeight="1">
      <c r="D339" s="14"/>
      <c r="E339" s="14"/>
      <c r="N339" s="14"/>
      <c r="S339" s="14"/>
      <c r="W339" s="14"/>
      <c r="X339" s="14"/>
    </row>
    <row r="340" ht="15.75" customHeight="1">
      <c r="D340" s="14"/>
      <c r="E340" s="14"/>
      <c r="N340" s="14"/>
      <c r="S340" s="14"/>
      <c r="W340" s="14"/>
      <c r="X340" s="14"/>
    </row>
    <row r="341" ht="15.75" customHeight="1">
      <c r="D341" s="14"/>
      <c r="E341" s="14"/>
      <c r="N341" s="14"/>
      <c r="S341" s="14"/>
      <c r="W341" s="14"/>
      <c r="X341" s="14"/>
    </row>
    <row r="342" ht="15.75" customHeight="1">
      <c r="D342" s="14"/>
      <c r="E342" s="14"/>
      <c r="N342" s="14"/>
      <c r="S342" s="14"/>
      <c r="W342" s="14"/>
      <c r="X342" s="14"/>
    </row>
    <row r="343" ht="15.75" customHeight="1">
      <c r="D343" s="14"/>
      <c r="E343" s="14"/>
      <c r="N343" s="14"/>
      <c r="S343" s="14"/>
      <c r="W343" s="14"/>
      <c r="X343" s="14"/>
    </row>
    <row r="344" ht="15.75" customHeight="1">
      <c r="D344" s="14"/>
      <c r="E344" s="14"/>
      <c r="N344" s="14"/>
      <c r="S344" s="14"/>
      <c r="W344" s="14"/>
      <c r="X344" s="14"/>
    </row>
    <row r="345" ht="15.75" customHeight="1">
      <c r="D345" s="14"/>
      <c r="E345" s="14"/>
      <c r="N345" s="14"/>
      <c r="S345" s="14"/>
      <c r="W345" s="14"/>
      <c r="X345" s="14"/>
    </row>
    <row r="346" ht="15.75" customHeight="1">
      <c r="D346" s="14"/>
      <c r="E346" s="14"/>
      <c r="N346" s="14"/>
      <c r="S346" s="14"/>
      <c r="W346" s="14"/>
      <c r="X346" s="14"/>
    </row>
    <row r="347" ht="15.75" customHeight="1">
      <c r="D347" s="14"/>
      <c r="E347" s="14"/>
      <c r="N347" s="14"/>
      <c r="S347" s="14"/>
      <c r="W347" s="14"/>
      <c r="X347" s="14"/>
    </row>
    <row r="348" ht="15.75" customHeight="1">
      <c r="D348" s="14"/>
      <c r="E348" s="14"/>
      <c r="N348" s="14"/>
      <c r="S348" s="14"/>
      <c r="W348" s="14"/>
      <c r="X348" s="14"/>
    </row>
    <row r="349" ht="15.75" customHeight="1">
      <c r="D349" s="14"/>
      <c r="E349" s="14"/>
      <c r="N349" s="14"/>
      <c r="S349" s="14"/>
      <c r="W349" s="14"/>
      <c r="X349" s="14"/>
    </row>
    <row r="350" ht="15.75" customHeight="1">
      <c r="D350" s="14"/>
      <c r="E350" s="14"/>
      <c r="N350" s="14"/>
      <c r="S350" s="14"/>
      <c r="W350" s="14"/>
      <c r="X350" s="14"/>
    </row>
    <row r="351" ht="15.75" customHeight="1">
      <c r="D351" s="14"/>
      <c r="E351" s="14"/>
      <c r="N351" s="14"/>
      <c r="S351" s="14"/>
      <c r="W351" s="14"/>
      <c r="X351" s="14"/>
    </row>
    <row r="352" ht="15.75" customHeight="1">
      <c r="D352" s="14"/>
      <c r="E352" s="14"/>
      <c r="N352" s="14"/>
      <c r="S352" s="14"/>
      <c r="W352" s="14"/>
      <c r="X352" s="14"/>
    </row>
    <row r="353" ht="15.75" customHeight="1">
      <c r="D353" s="14"/>
      <c r="E353" s="14"/>
      <c r="N353" s="14"/>
      <c r="S353" s="14"/>
      <c r="W353" s="14"/>
      <c r="X353" s="14"/>
    </row>
    <row r="354" ht="15.75" customHeight="1">
      <c r="D354" s="14"/>
      <c r="E354" s="14"/>
      <c r="N354" s="14"/>
      <c r="S354" s="14"/>
      <c r="W354" s="14"/>
      <c r="X354" s="14"/>
    </row>
    <row r="355" ht="15.75" customHeight="1">
      <c r="D355" s="14"/>
      <c r="E355" s="14"/>
      <c r="N355" s="14"/>
      <c r="S355" s="14"/>
      <c r="W355" s="14"/>
      <c r="X355" s="14"/>
    </row>
    <row r="356" ht="15.75" customHeight="1">
      <c r="D356" s="14"/>
      <c r="E356" s="14"/>
      <c r="N356" s="14"/>
      <c r="S356" s="14"/>
      <c r="W356" s="14"/>
      <c r="X356" s="14"/>
    </row>
    <row r="357" ht="15.75" customHeight="1">
      <c r="D357" s="14"/>
      <c r="E357" s="14"/>
      <c r="N357" s="14"/>
      <c r="S357" s="14"/>
      <c r="W357" s="14"/>
      <c r="X357" s="14"/>
    </row>
    <row r="358" ht="15.75" customHeight="1">
      <c r="D358" s="14"/>
      <c r="E358" s="14"/>
      <c r="N358" s="14"/>
      <c r="S358" s="14"/>
      <c r="W358" s="14"/>
      <c r="X358" s="14"/>
    </row>
    <row r="359" ht="15.75" customHeight="1">
      <c r="D359" s="14"/>
      <c r="E359" s="14"/>
      <c r="N359" s="14"/>
      <c r="S359" s="14"/>
      <c r="W359" s="14"/>
      <c r="X359" s="14"/>
    </row>
    <row r="360" ht="15.75" customHeight="1">
      <c r="D360" s="14"/>
      <c r="E360" s="14"/>
      <c r="N360" s="14"/>
      <c r="S360" s="14"/>
      <c r="W360" s="14"/>
      <c r="X360" s="14"/>
    </row>
    <row r="361" ht="15.75" customHeight="1">
      <c r="D361" s="14"/>
      <c r="E361" s="14"/>
      <c r="N361" s="14"/>
      <c r="S361" s="14"/>
      <c r="W361" s="14"/>
      <c r="X361" s="14"/>
    </row>
    <row r="362" ht="15.75" customHeight="1">
      <c r="D362" s="14"/>
      <c r="E362" s="14"/>
      <c r="N362" s="14"/>
      <c r="S362" s="14"/>
      <c r="W362" s="14"/>
      <c r="X362" s="14"/>
    </row>
    <row r="363" ht="15.75" customHeight="1">
      <c r="D363" s="14"/>
      <c r="E363" s="14"/>
      <c r="N363" s="14"/>
      <c r="S363" s="14"/>
      <c r="W363" s="14"/>
      <c r="X363" s="14"/>
    </row>
    <row r="364" ht="15.75" customHeight="1">
      <c r="D364" s="14"/>
      <c r="E364" s="14"/>
      <c r="N364" s="14"/>
      <c r="S364" s="14"/>
      <c r="W364" s="14"/>
      <c r="X364" s="14"/>
    </row>
    <row r="365" ht="15.75" customHeight="1">
      <c r="D365" s="14"/>
      <c r="E365" s="14"/>
      <c r="N365" s="14"/>
      <c r="S365" s="14"/>
      <c r="W365" s="14"/>
      <c r="X365" s="14"/>
    </row>
    <row r="366" ht="15.75" customHeight="1">
      <c r="D366" s="14"/>
      <c r="E366" s="14"/>
      <c r="N366" s="14"/>
      <c r="S366" s="14"/>
      <c r="W366" s="14"/>
      <c r="X366" s="14"/>
    </row>
    <row r="367" ht="15.75" customHeight="1">
      <c r="D367" s="14"/>
      <c r="E367" s="14"/>
      <c r="N367" s="14"/>
      <c r="S367" s="14"/>
      <c r="W367" s="14"/>
      <c r="X367" s="14"/>
    </row>
    <row r="368" ht="15.75" customHeight="1">
      <c r="D368" s="14"/>
      <c r="E368" s="14"/>
      <c r="N368" s="14"/>
      <c r="S368" s="14"/>
      <c r="W368" s="14"/>
      <c r="X368" s="14"/>
    </row>
    <row r="369" ht="15.75" customHeight="1">
      <c r="D369" s="14"/>
      <c r="E369" s="14"/>
      <c r="N369" s="14"/>
      <c r="S369" s="14"/>
      <c r="W369" s="14"/>
      <c r="X369" s="14"/>
    </row>
    <row r="370" ht="15.75" customHeight="1">
      <c r="D370" s="14"/>
      <c r="E370" s="14"/>
      <c r="N370" s="14"/>
      <c r="S370" s="14"/>
      <c r="W370" s="14"/>
      <c r="X370" s="14"/>
    </row>
    <row r="371" ht="15.75" customHeight="1">
      <c r="D371" s="14"/>
      <c r="E371" s="14"/>
      <c r="N371" s="14"/>
      <c r="S371" s="14"/>
      <c r="W371" s="14"/>
      <c r="X371" s="14"/>
    </row>
    <row r="372" ht="15.75" customHeight="1">
      <c r="D372" s="14"/>
      <c r="E372" s="14"/>
      <c r="N372" s="14"/>
      <c r="S372" s="14"/>
      <c r="W372" s="14"/>
      <c r="X372" s="14"/>
    </row>
    <row r="373" ht="15.75" customHeight="1">
      <c r="D373" s="14"/>
      <c r="E373" s="14"/>
      <c r="N373" s="14"/>
      <c r="S373" s="14"/>
      <c r="W373" s="14"/>
      <c r="X373" s="14"/>
    </row>
    <row r="374" ht="15.75" customHeight="1">
      <c r="D374" s="14"/>
      <c r="E374" s="14"/>
      <c r="N374" s="14"/>
      <c r="S374" s="14"/>
      <c r="W374" s="14"/>
      <c r="X374" s="14"/>
    </row>
    <row r="375" ht="15.75" customHeight="1">
      <c r="D375" s="14"/>
      <c r="E375" s="14"/>
      <c r="N375" s="14"/>
      <c r="S375" s="14"/>
      <c r="W375" s="14"/>
      <c r="X375" s="14"/>
    </row>
    <row r="376" ht="15.75" customHeight="1">
      <c r="D376" s="14"/>
      <c r="E376" s="14"/>
      <c r="N376" s="14"/>
      <c r="S376" s="14"/>
      <c r="W376" s="14"/>
      <c r="X376" s="14"/>
    </row>
    <row r="377" ht="15.75" customHeight="1">
      <c r="D377" s="14"/>
      <c r="E377" s="14"/>
      <c r="N377" s="14"/>
      <c r="S377" s="14"/>
      <c r="W377" s="14"/>
      <c r="X377" s="14"/>
    </row>
    <row r="378" ht="15.75" customHeight="1">
      <c r="D378" s="14"/>
      <c r="E378" s="14"/>
      <c r="N378" s="14"/>
      <c r="S378" s="14"/>
      <c r="W378" s="14"/>
      <c r="X378" s="14"/>
    </row>
    <row r="379" ht="15.75" customHeight="1">
      <c r="D379" s="14"/>
      <c r="E379" s="14"/>
      <c r="N379" s="14"/>
      <c r="S379" s="14"/>
      <c r="W379" s="14"/>
      <c r="X379" s="14"/>
    </row>
    <row r="380" ht="15.75" customHeight="1">
      <c r="D380" s="14"/>
      <c r="E380" s="14"/>
      <c r="N380" s="14"/>
      <c r="S380" s="14"/>
      <c r="W380" s="14"/>
      <c r="X380" s="14"/>
    </row>
    <row r="381" ht="15.75" customHeight="1">
      <c r="D381" s="14"/>
      <c r="E381" s="14"/>
      <c r="N381" s="14"/>
      <c r="S381" s="14"/>
      <c r="W381" s="14"/>
      <c r="X381" s="14"/>
    </row>
    <row r="382" ht="15.75" customHeight="1">
      <c r="D382" s="14"/>
      <c r="E382" s="14"/>
      <c r="N382" s="14"/>
      <c r="S382" s="14"/>
      <c r="W382" s="14"/>
      <c r="X382" s="14"/>
    </row>
    <row r="383" ht="15.75" customHeight="1">
      <c r="D383" s="14"/>
      <c r="E383" s="14"/>
      <c r="N383" s="14"/>
      <c r="S383" s="14"/>
      <c r="W383" s="14"/>
      <c r="X383" s="14"/>
    </row>
    <row r="384" ht="15.75" customHeight="1">
      <c r="D384" s="14"/>
      <c r="E384" s="14"/>
      <c r="N384" s="14"/>
      <c r="S384" s="14"/>
      <c r="W384" s="14"/>
      <c r="X384" s="14"/>
    </row>
    <row r="385" ht="15.75" customHeight="1">
      <c r="D385" s="14"/>
      <c r="E385" s="14"/>
      <c r="N385" s="14"/>
      <c r="S385" s="14"/>
      <c r="W385" s="14"/>
      <c r="X385" s="14"/>
    </row>
    <row r="386" ht="15.75" customHeight="1">
      <c r="D386" s="14"/>
      <c r="E386" s="14"/>
      <c r="N386" s="14"/>
      <c r="S386" s="14"/>
      <c r="W386" s="14"/>
      <c r="X386" s="14"/>
    </row>
    <row r="387" ht="15.75" customHeight="1">
      <c r="D387" s="14"/>
      <c r="E387" s="14"/>
      <c r="N387" s="14"/>
      <c r="S387" s="14"/>
      <c r="W387" s="14"/>
      <c r="X387" s="14"/>
    </row>
    <row r="388" ht="15.75" customHeight="1">
      <c r="D388" s="14"/>
      <c r="E388" s="14"/>
      <c r="N388" s="14"/>
      <c r="S388" s="14"/>
      <c r="W388" s="14"/>
      <c r="X388" s="14"/>
    </row>
    <row r="389" ht="15.75" customHeight="1">
      <c r="D389" s="14"/>
      <c r="E389" s="14"/>
      <c r="N389" s="14"/>
      <c r="S389" s="14"/>
      <c r="W389" s="14"/>
      <c r="X389" s="14"/>
    </row>
    <row r="390" ht="15.75" customHeight="1">
      <c r="D390" s="14"/>
      <c r="E390" s="14"/>
      <c r="N390" s="14"/>
      <c r="S390" s="14"/>
      <c r="W390" s="14"/>
      <c r="X390" s="14"/>
    </row>
    <row r="391" ht="15.75" customHeight="1">
      <c r="D391" s="14"/>
      <c r="E391" s="14"/>
      <c r="N391" s="14"/>
      <c r="S391" s="14"/>
      <c r="W391" s="14"/>
      <c r="X391" s="14"/>
    </row>
    <row r="392" ht="15.75" customHeight="1">
      <c r="D392" s="14"/>
      <c r="E392" s="14"/>
      <c r="N392" s="14"/>
      <c r="S392" s="14"/>
      <c r="W392" s="14"/>
      <c r="X392" s="14"/>
    </row>
    <row r="393" ht="15.75" customHeight="1">
      <c r="D393" s="14"/>
      <c r="E393" s="14"/>
      <c r="N393" s="14"/>
      <c r="S393" s="14"/>
      <c r="W393" s="14"/>
      <c r="X393" s="14"/>
    </row>
    <row r="394" ht="15.75" customHeight="1">
      <c r="D394" s="14"/>
      <c r="E394" s="14"/>
      <c r="N394" s="14"/>
      <c r="S394" s="14"/>
      <c r="W394" s="14"/>
      <c r="X394" s="14"/>
    </row>
    <row r="395" ht="15.75" customHeight="1">
      <c r="D395" s="14"/>
      <c r="E395" s="14"/>
      <c r="N395" s="14"/>
      <c r="S395" s="14"/>
      <c r="W395" s="14"/>
      <c r="X395" s="14"/>
    </row>
    <row r="396" ht="15.75" customHeight="1">
      <c r="D396" s="14"/>
      <c r="E396" s="14"/>
      <c r="N396" s="14"/>
      <c r="S396" s="14"/>
      <c r="W396" s="14"/>
      <c r="X396" s="14"/>
    </row>
    <row r="397" ht="15.75" customHeight="1">
      <c r="D397" s="14"/>
      <c r="E397" s="14"/>
      <c r="N397" s="14"/>
      <c r="S397" s="14"/>
      <c r="W397" s="14"/>
      <c r="X397" s="14"/>
    </row>
    <row r="398" ht="15.75" customHeight="1">
      <c r="D398" s="14"/>
      <c r="E398" s="14"/>
      <c r="N398" s="14"/>
      <c r="S398" s="14"/>
      <c r="W398" s="14"/>
      <c r="X398" s="14"/>
    </row>
    <row r="399" ht="15.75" customHeight="1">
      <c r="D399" s="14"/>
      <c r="E399" s="14"/>
      <c r="N399" s="14"/>
      <c r="S399" s="14"/>
      <c r="W399" s="14"/>
      <c r="X399" s="14"/>
    </row>
    <row r="400" ht="15.75" customHeight="1">
      <c r="D400" s="14"/>
      <c r="E400" s="14"/>
      <c r="N400" s="14"/>
      <c r="S400" s="14"/>
      <c r="W400" s="14"/>
      <c r="X400" s="14"/>
    </row>
    <row r="401" ht="15.75" customHeight="1">
      <c r="D401" s="14"/>
      <c r="E401" s="14"/>
      <c r="N401" s="14"/>
      <c r="S401" s="14"/>
      <c r="W401" s="14"/>
      <c r="X401" s="14"/>
    </row>
    <row r="402" ht="15.75" customHeight="1">
      <c r="D402" s="14"/>
      <c r="E402" s="14"/>
      <c r="N402" s="14"/>
      <c r="S402" s="14"/>
      <c r="W402" s="14"/>
      <c r="X402" s="14"/>
    </row>
    <row r="403" ht="15.75" customHeight="1">
      <c r="D403" s="14"/>
      <c r="E403" s="14"/>
      <c r="N403" s="14"/>
      <c r="S403" s="14"/>
      <c r="W403" s="14"/>
      <c r="X403" s="14"/>
    </row>
    <row r="404" ht="15.75" customHeight="1">
      <c r="D404" s="14"/>
      <c r="E404" s="14"/>
      <c r="N404" s="14"/>
      <c r="S404" s="14"/>
      <c r="W404" s="14"/>
      <c r="X404" s="14"/>
    </row>
    <row r="405" ht="15.75" customHeight="1">
      <c r="D405" s="14"/>
      <c r="E405" s="14"/>
      <c r="N405" s="14"/>
      <c r="S405" s="14"/>
      <c r="W405" s="14"/>
      <c r="X405" s="14"/>
    </row>
    <row r="406" ht="15.75" customHeight="1">
      <c r="D406" s="14"/>
      <c r="E406" s="14"/>
      <c r="N406" s="14"/>
      <c r="S406" s="14"/>
      <c r="W406" s="14"/>
      <c r="X406" s="14"/>
    </row>
    <row r="407" ht="15.75" customHeight="1">
      <c r="D407" s="14"/>
      <c r="E407" s="14"/>
      <c r="N407" s="14"/>
      <c r="S407" s="14"/>
      <c r="W407" s="14"/>
      <c r="X407" s="14"/>
    </row>
    <row r="408" ht="15.75" customHeight="1">
      <c r="D408" s="14"/>
      <c r="E408" s="14"/>
      <c r="N408" s="14"/>
      <c r="S408" s="14"/>
      <c r="W408" s="14"/>
      <c r="X408" s="14"/>
    </row>
    <row r="409" ht="15.75" customHeight="1">
      <c r="D409" s="14"/>
      <c r="E409" s="14"/>
      <c r="N409" s="14"/>
      <c r="S409" s="14"/>
      <c r="W409" s="14"/>
      <c r="X409" s="14"/>
    </row>
    <row r="410" ht="15.75" customHeight="1">
      <c r="D410" s="14"/>
      <c r="E410" s="14"/>
      <c r="N410" s="14"/>
      <c r="S410" s="14"/>
      <c r="W410" s="14"/>
      <c r="X410" s="14"/>
    </row>
    <row r="411" ht="15.75" customHeight="1">
      <c r="D411" s="14"/>
      <c r="E411" s="14"/>
      <c r="N411" s="14"/>
      <c r="S411" s="14"/>
      <c r="W411" s="14"/>
      <c r="X411" s="14"/>
    </row>
    <row r="412" ht="15.75" customHeight="1">
      <c r="D412" s="14"/>
      <c r="E412" s="14"/>
      <c r="N412" s="14"/>
      <c r="S412" s="14"/>
      <c r="W412" s="14"/>
      <c r="X412" s="14"/>
    </row>
    <row r="413" ht="15.75" customHeight="1">
      <c r="D413" s="14"/>
      <c r="E413" s="14"/>
      <c r="N413" s="14"/>
      <c r="S413" s="14"/>
      <c r="W413" s="14"/>
      <c r="X413" s="14"/>
    </row>
    <row r="414" ht="15.75" customHeight="1">
      <c r="D414" s="14"/>
      <c r="E414" s="14"/>
      <c r="N414" s="14"/>
      <c r="S414" s="14"/>
      <c r="W414" s="14"/>
      <c r="X414" s="14"/>
    </row>
    <row r="415" ht="15.75" customHeight="1">
      <c r="D415" s="14"/>
      <c r="E415" s="14"/>
      <c r="N415" s="14"/>
      <c r="S415" s="14"/>
      <c r="W415" s="14"/>
      <c r="X415" s="14"/>
    </row>
    <row r="416" ht="15.75" customHeight="1">
      <c r="D416" s="14"/>
      <c r="E416" s="14"/>
      <c r="N416" s="14"/>
      <c r="S416" s="14"/>
      <c r="W416" s="14"/>
      <c r="X416" s="14"/>
    </row>
    <row r="417" ht="15.75" customHeight="1">
      <c r="D417" s="14"/>
      <c r="E417" s="14"/>
      <c r="N417" s="14"/>
      <c r="S417" s="14"/>
      <c r="W417" s="14"/>
      <c r="X417" s="14"/>
    </row>
    <row r="418" ht="15.75" customHeight="1">
      <c r="D418" s="14"/>
      <c r="E418" s="14"/>
      <c r="N418" s="14"/>
      <c r="S418" s="14"/>
      <c r="W418" s="14"/>
      <c r="X418" s="14"/>
    </row>
    <row r="419" ht="15.75" customHeight="1">
      <c r="D419" s="14"/>
      <c r="E419" s="14"/>
      <c r="N419" s="14"/>
      <c r="S419" s="14"/>
      <c r="W419" s="14"/>
      <c r="X419" s="14"/>
    </row>
    <row r="420" ht="15.75" customHeight="1">
      <c r="D420" s="14"/>
      <c r="E420" s="14"/>
      <c r="N420" s="14"/>
      <c r="S420" s="14"/>
      <c r="W420" s="14"/>
      <c r="X420" s="14"/>
    </row>
    <row r="421" ht="15.75" customHeight="1">
      <c r="D421" s="14"/>
      <c r="E421" s="14"/>
      <c r="N421" s="14"/>
      <c r="S421" s="14"/>
      <c r="W421" s="14"/>
      <c r="X421" s="14"/>
    </row>
    <row r="422" ht="15.75" customHeight="1">
      <c r="D422" s="14"/>
      <c r="E422" s="14"/>
      <c r="N422" s="14"/>
      <c r="S422" s="14"/>
      <c r="W422" s="14"/>
      <c r="X422" s="14"/>
    </row>
    <row r="423" ht="15.75" customHeight="1">
      <c r="D423" s="14"/>
      <c r="E423" s="14"/>
      <c r="N423" s="14"/>
      <c r="S423" s="14"/>
      <c r="W423" s="14"/>
      <c r="X423" s="14"/>
    </row>
    <row r="424" ht="15.75" customHeight="1">
      <c r="D424" s="14"/>
      <c r="E424" s="14"/>
      <c r="N424" s="14"/>
      <c r="S424" s="14"/>
      <c r="W424" s="14"/>
      <c r="X424" s="14"/>
    </row>
    <row r="425" ht="15.75" customHeight="1">
      <c r="D425" s="14"/>
      <c r="E425" s="14"/>
      <c r="N425" s="14"/>
      <c r="S425" s="14"/>
      <c r="W425" s="14"/>
      <c r="X425" s="14"/>
    </row>
    <row r="426" ht="15.75" customHeight="1">
      <c r="D426" s="14"/>
      <c r="E426" s="14"/>
      <c r="N426" s="14"/>
      <c r="S426" s="14"/>
      <c r="W426" s="14"/>
      <c r="X426" s="14"/>
    </row>
    <row r="427" ht="15.75" customHeight="1">
      <c r="D427" s="14"/>
      <c r="E427" s="14"/>
      <c r="N427" s="14"/>
      <c r="S427" s="14"/>
      <c r="W427" s="14"/>
      <c r="X427" s="14"/>
    </row>
    <row r="428" ht="15.75" customHeight="1">
      <c r="D428" s="14"/>
      <c r="E428" s="14"/>
      <c r="N428" s="14"/>
      <c r="S428" s="14"/>
      <c r="W428" s="14"/>
      <c r="X428" s="14"/>
    </row>
    <row r="429" ht="15.75" customHeight="1">
      <c r="D429" s="14"/>
      <c r="E429" s="14"/>
      <c r="N429" s="14"/>
      <c r="S429" s="14"/>
      <c r="W429" s="14"/>
      <c r="X429" s="14"/>
    </row>
    <row r="430" ht="15.75" customHeight="1">
      <c r="D430" s="14"/>
      <c r="E430" s="14"/>
      <c r="N430" s="14"/>
      <c r="S430" s="14"/>
      <c r="W430" s="14"/>
      <c r="X430" s="14"/>
    </row>
    <row r="431" ht="15.75" customHeight="1">
      <c r="D431" s="14"/>
      <c r="E431" s="14"/>
      <c r="N431" s="14"/>
      <c r="S431" s="14"/>
      <c r="W431" s="14"/>
      <c r="X431" s="14"/>
    </row>
    <row r="432" ht="15.75" customHeight="1">
      <c r="D432" s="14"/>
      <c r="E432" s="14"/>
      <c r="N432" s="14"/>
      <c r="S432" s="14"/>
      <c r="W432" s="14"/>
      <c r="X432" s="14"/>
    </row>
    <row r="433" ht="15.75" customHeight="1">
      <c r="D433" s="14"/>
      <c r="E433" s="14"/>
      <c r="N433" s="14"/>
      <c r="S433" s="14"/>
      <c r="W433" s="14"/>
      <c r="X433" s="14"/>
    </row>
    <row r="434" ht="15.75" customHeight="1">
      <c r="D434" s="14"/>
      <c r="E434" s="14"/>
      <c r="N434" s="14"/>
      <c r="S434" s="14"/>
      <c r="W434" s="14"/>
      <c r="X434" s="14"/>
    </row>
    <row r="435" ht="15.75" customHeight="1">
      <c r="D435" s="14"/>
      <c r="E435" s="14"/>
      <c r="N435" s="14"/>
      <c r="S435" s="14"/>
      <c r="W435" s="14"/>
      <c r="X435" s="14"/>
    </row>
    <row r="436" ht="15.75" customHeight="1">
      <c r="D436" s="14"/>
      <c r="E436" s="14"/>
      <c r="N436" s="14"/>
      <c r="S436" s="14"/>
      <c r="W436" s="14"/>
      <c r="X436" s="14"/>
    </row>
    <row r="437" ht="15.75" customHeight="1">
      <c r="D437" s="14"/>
      <c r="E437" s="14"/>
      <c r="N437" s="14"/>
      <c r="S437" s="14"/>
      <c r="W437" s="14"/>
      <c r="X437" s="14"/>
    </row>
    <row r="438" ht="15.75" customHeight="1">
      <c r="D438" s="14"/>
      <c r="E438" s="14"/>
      <c r="N438" s="14"/>
      <c r="S438" s="14"/>
      <c r="W438" s="14"/>
      <c r="X438" s="14"/>
    </row>
    <row r="439" ht="15.75" customHeight="1">
      <c r="D439" s="14"/>
      <c r="E439" s="14"/>
      <c r="N439" s="14"/>
      <c r="S439" s="14"/>
      <c r="W439" s="14"/>
      <c r="X439" s="14"/>
    </row>
    <row r="440" ht="15.75" customHeight="1">
      <c r="D440" s="14"/>
      <c r="E440" s="14"/>
      <c r="N440" s="14"/>
      <c r="S440" s="14"/>
      <c r="W440" s="14"/>
      <c r="X440" s="14"/>
    </row>
    <row r="441" ht="15.75" customHeight="1">
      <c r="D441" s="14"/>
      <c r="E441" s="14"/>
      <c r="N441" s="14"/>
      <c r="S441" s="14"/>
      <c r="W441" s="14"/>
      <c r="X441" s="14"/>
    </row>
    <row r="442" ht="15.75" customHeight="1">
      <c r="D442" s="14"/>
      <c r="E442" s="14"/>
      <c r="N442" s="14"/>
      <c r="S442" s="14"/>
      <c r="W442" s="14"/>
      <c r="X442" s="14"/>
    </row>
    <row r="443" ht="15.75" customHeight="1">
      <c r="D443" s="14"/>
      <c r="E443" s="14"/>
      <c r="N443" s="14"/>
      <c r="S443" s="14"/>
      <c r="W443" s="14"/>
      <c r="X443" s="14"/>
    </row>
    <row r="444" ht="15.75" customHeight="1">
      <c r="D444" s="14"/>
      <c r="E444" s="14"/>
      <c r="N444" s="14"/>
      <c r="S444" s="14"/>
      <c r="W444" s="14"/>
      <c r="X444" s="14"/>
    </row>
    <row r="445" ht="15.75" customHeight="1">
      <c r="D445" s="14"/>
      <c r="E445" s="14"/>
      <c r="N445" s="14"/>
      <c r="S445" s="14"/>
      <c r="W445" s="14"/>
      <c r="X445" s="14"/>
    </row>
    <row r="446" ht="15.75" customHeight="1">
      <c r="D446" s="14"/>
      <c r="E446" s="14"/>
      <c r="N446" s="14"/>
      <c r="S446" s="14"/>
      <c r="W446" s="14"/>
      <c r="X446" s="14"/>
    </row>
    <row r="447" ht="15.75" customHeight="1">
      <c r="D447" s="14"/>
      <c r="E447" s="14"/>
      <c r="N447" s="14"/>
      <c r="S447" s="14"/>
      <c r="W447" s="14"/>
      <c r="X447" s="14"/>
    </row>
    <row r="448" ht="15.75" customHeight="1">
      <c r="D448" s="14"/>
      <c r="E448" s="14"/>
      <c r="N448" s="14"/>
      <c r="S448" s="14"/>
      <c r="W448" s="14"/>
      <c r="X448" s="14"/>
    </row>
    <row r="449" ht="15.75" customHeight="1">
      <c r="D449" s="14"/>
      <c r="E449" s="14"/>
      <c r="N449" s="14"/>
      <c r="S449" s="14"/>
      <c r="W449" s="14"/>
      <c r="X449" s="14"/>
    </row>
    <row r="450" ht="15.75" customHeight="1">
      <c r="D450" s="14"/>
      <c r="E450" s="14"/>
      <c r="N450" s="14"/>
      <c r="S450" s="14"/>
      <c r="W450" s="14"/>
      <c r="X450" s="14"/>
    </row>
    <row r="451" ht="15.75" customHeight="1">
      <c r="D451" s="14"/>
      <c r="E451" s="14"/>
      <c r="N451" s="14"/>
      <c r="S451" s="14"/>
      <c r="W451" s="14"/>
      <c r="X451" s="14"/>
    </row>
    <row r="452" ht="15.75" customHeight="1">
      <c r="D452" s="14"/>
      <c r="E452" s="14"/>
      <c r="N452" s="14"/>
      <c r="S452" s="14"/>
      <c r="W452" s="14"/>
      <c r="X452" s="14"/>
    </row>
    <row r="453" ht="15.75" customHeight="1">
      <c r="D453" s="14"/>
      <c r="E453" s="14"/>
      <c r="N453" s="14"/>
      <c r="S453" s="14"/>
      <c r="W453" s="14"/>
      <c r="X453" s="14"/>
    </row>
    <row r="454" ht="15.75" customHeight="1">
      <c r="D454" s="14"/>
      <c r="E454" s="14"/>
      <c r="N454" s="14"/>
      <c r="S454" s="14"/>
      <c r="W454" s="14"/>
      <c r="X454" s="14"/>
    </row>
    <row r="455" ht="15.75" customHeight="1">
      <c r="D455" s="14"/>
      <c r="E455" s="14"/>
      <c r="N455" s="14"/>
      <c r="S455" s="14"/>
      <c r="W455" s="14"/>
      <c r="X455" s="14"/>
    </row>
    <row r="456" ht="15.75" customHeight="1">
      <c r="D456" s="14"/>
      <c r="E456" s="14"/>
      <c r="N456" s="14"/>
      <c r="S456" s="14"/>
      <c r="W456" s="14"/>
      <c r="X456" s="14"/>
    </row>
    <row r="457" ht="15.75" customHeight="1">
      <c r="D457" s="14"/>
      <c r="E457" s="14"/>
      <c r="N457" s="14"/>
      <c r="S457" s="14"/>
      <c r="W457" s="14"/>
      <c r="X457" s="14"/>
    </row>
    <row r="458" ht="15.75" customHeight="1">
      <c r="D458" s="14"/>
      <c r="E458" s="14"/>
      <c r="N458" s="14"/>
      <c r="S458" s="14"/>
      <c r="W458" s="14"/>
      <c r="X458" s="14"/>
    </row>
    <row r="459" ht="15.75" customHeight="1">
      <c r="D459" s="14"/>
      <c r="E459" s="14"/>
      <c r="N459" s="14"/>
      <c r="S459" s="14"/>
      <c r="W459" s="14"/>
      <c r="X459" s="14"/>
    </row>
    <row r="460" ht="15.75" customHeight="1">
      <c r="D460" s="14"/>
      <c r="E460" s="14"/>
      <c r="N460" s="14"/>
      <c r="S460" s="14"/>
      <c r="W460" s="14"/>
      <c r="X460" s="14"/>
    </row>
    <row r="461" ht="15.75" customHeight="1">
      <c r="D461" s="14"/>
      <c r="E461" s="14"/>
      <c r="N461" s="14"/>
      <c r="S461" s="14"/>
      <c r="W461" s="14"/>
      <c r="X461" s="14"/>
    </row>
    <row r="462" ht="15.75" customHeight="1">
      <c r="D462" s="14"/>
      <c r="E462" s="14"/>
      <c r="N462" s="14"/>
      <c r="S462" s="14"/>
      <c r="W462" s="14"/>
      <c r="X462" s="14"/>
    </row>
    <row r="463" ht="15.75" customHeight="1">
      <c r="D463" s="14"/>
      <c r="E463" s="14"/>
      <c r="N463" s="14"/>
      <c r="S463" s="14"/>
      <c r="W463" s="14"/>
      <c r="X463" s="14"/>
    </row>
    <row r="464" ht="15.75" customHeight="1">
      <c r="D464" s="14"/>
      <c r="E464" s="14"/>
      <c r="N464" s="14"/>
      <c r="S464" s="14"/>
      <c r="W464" s="14"/>
      <c r="X464" s="14"/>
    </row>
    <row r="465" ht="15.75" customHeight="1">
      <c r="D465" s="14"/>
      <c r="E465" s="14"/>
      <c r="N465" s="14"/>
      <c r="S465" s="14"/>
      <c r="W465" s="14"/>
      <c r="X465" s="14"/>
    </row>
    <row r="466" ht="15.75" customHeight="1">
      <c r="D466" s="14"/>
      <c r="E466" s="14"/>
      <c r="N466" s="14"/>
      <c r="S466" s="14"/>
      <c r="W466" s="14"/>
      <c r="X466" s="14"/>
    </row>
    <row r="467" ht="15.75" customHeight="1">
      <c r="D467" s="14"/>
      <c r="E467" s="14"/>
      <c r="N467" s="14"/>
      <c r="S467" s="14"/>
      <c r="W467" s="14"/>
      <c r="X467" s="14"/>
    </row>
    <row r="468" ht="15.75" customHeight="1">
      <c r="D468" s="14"/>
      <c r="E468" s="14"/>
      <c r="N468" s="14"/>
      <c r="S468" s="14"/>
      <c r="W468" s="14"/>
      <c r="X468" s="14"/>
    </row>
    <row r="469" ht="15.75" customHeight="1">
      <c r="D469" s="14"/>
      <c r="E469" s="14"/>
      <c r="N469" s="14"/>
      <c r="S469" s="14"/>
      <c r="W469" s="14"/>
      <c r="X469" s="14"/>
    </row>
    <row r="470" ht="15.75" customHeight="1">
      <c r="D470" s="14"/>
      <c r="E470" s="14"/>
      <c r="N470" s="14"/>
      <c r="S470" s="14"/>
      <c r="W470" s="14"/>
      <c r="X470" s="14"/>
    </row>
    <row r="471" ht="15.75" customHeight="1">
      <c r="D471" s="14"/>
      <c r="E471" s="14"/>
      <c r="N471" s="14"/>
      <c r="S471" s="14"/>
      <c r="W471" s="14"/>
      <c r="X471" s="14"/>
    </row>
    <row r="472" ht="15.75" customHeight="1">
      <c r="D472" s="14"/>
      <c r="E472" s="14"/>
      <c r="N472" s="14"/>
      <c r="S472" s="14"/>
      <c r="W472" s="14"/>
      <c r="X472" s="14"/>
    </row>
    <row r="473" ht="15.75" customHeight="1">
      <c r="D473" s="14"/>
      <c r="E473" s="14"/>
      <c r="N473" s="14"/>
      <c r="S473" s="14"/>
      <c r="W473" s="14"/>
      <c r="X473" s="14"/>
    </row>
    <row r="474" ht="15.75" customHeight="1">
      <c r="D474" s="14"/>
      <c r="E474" s="14"/>
      <c r="N474" s="14"/>
      <c r="S474" s="14"/>
      <c r="W474" s="14"/>
      <c r="X474" s="14"/>
    </row>
    <row r="475" ht="15.75" customHeight="1">
      <c r="D475" s="14"/>
      <c r="E475" s="14"/>
      <c r="N475" s="14"/>
      <c r="S475" s="14"/>
      <c r="W475" s="14"/>
      <c r="X475" s="14"/>
    </row>
    <row r="476" ht="15.75" customHeight="1">
      <c r="D476" s="14"/>
      <c r="E476" s="14"/>
      <c r="N476" s="14"/>
      <c r="S476" s="14"/>
      <c r="W476" s="14"/>
      <c r="X476" s="14"/>
    </row>
    <row r="477" ht="15.75" customHeight="1">
      <c r="D477" s="14"/>
      <c r="E477" s="14"/>
      <c r="N477" s="14"/>
      <c r="S477" s="14"/>
      <c r="W477" s="14"/>
      <c r="X477" s="14"/>
    </row>
    <row r="478" ht="15.75" customHeight="1">
      <c r="D478" s="14"/>
      <c r="E478" s="14"/>
      <c r="N478" s="14"/>
      <c r="S478" s="14"/>
      <c r="W478" s="14"/>
      <c r="X478" s="14"/>
    </row>
    <row r="479" ht="15.75" customHeight="1">
      <c r="D479" s="14"/>
      <c r="E479" s="14"/>
      <c r="N479" s="14"/>
      <c r="S479" s="14"/>
      <c r="W479" s="14"/>
      <c r="X479" s="14"/>
    </row>
    <row r="480" ht="15.75" customHeight="1">
      <c r="D480" s="14"/>
      <c r="E480" s="14"/>
      <c r="N480" s="14"/>
      <c r="S480" s="14"/>
      <c r="W480" s="14"/>
      <c r="X480" s="14"/>
    </row>
    <row r="481" ht="15.75" customHeight="1">
      <c r="D481" s="14"/>
      <c r="E481" s="14"/>
      <c r="N481" s="14"/>
      <c r="S481" s="14"/>
      <c r="W481" s="14"/>
      <c r="X481" s="14"/>
    </row>
    <row r="482" ht="15.75" customHeight="1">
      <c r="D482" s="14"/>
      <c r="E482" s="14"/>
      <c r="N482" s="14"/>
      <c r="S482" s="14"/>
      <c r="W482" s="14"/>
      <c r="X482" s="14"/>
    </row>
    <row r="483" ht="15.75" customHeight="1">
      <c r="D483" s="14"/>
      <c r="E483" s="14"/>
      <c r="N483" s="14"/>
      <c r="S483" s="14"/>
      <c r="W483" s="14"/>
      <c r="X483" s="14"/>
    </row>
    <row r="484" ht="15.75" customHeight="1">
      <c r="D484" s="14"/>
      <c r="E484" s="14"/>
      <c r="N484" s="14"/>
      <c r="S484" s="14"/>
      <c r="W484" s="14"/>
      <c r="X484" s="14"/>
    </row>
    <row r="485" ht="15.75" customHeight="1">
      <c r="D485" s="14"/>
      <c r="E485" s="14"/>
      <c r="N485" s="14"/>
      <c r="S485" s="14"/>
      <c r="W485" s="14"/>
      <c r="X485" s="14"/>
    </row>
    <row r="486" ht="15.75" customHeight="1">
      <c r="D486" s="14"/>
      <c r="E486" s="14"/>
      <c r="N486" s="14"/>
      <c r="S486" s="14"/>
      <c r="W486" s="14"/>
      <c r="X486" s="14"/>
    </row>
    <row r="487" ht="15.75" customHeight="1">
      <c r="D487" s="14"/>
      <c r="E487" s="14"/>
      <c r="N487" s="14"/>
      <c r="S487" s="14"/>
      <c r="W487" s="14"/>
      <c r="X487" s="14"/>
    </row>
    <row r="488" ht="15.75" customHeight="1">
      <c r="D488" s="14"/>
      <c r="E488" s="14"/>
      <c r="N488" s="14"/>
      <c r="S488" s="14"/>
      <c r="W488" s="14"/>
      <c r="X488" s="14"/>
    </row>
    <row r="489" ht="15.75" customHeight="1">
      <c r="D489" s="14"/>
      <c r="E489" s="14"/>
      <c r="N489" s="14"/>
      <c r="S489" s="14"/>
      <c r="W489" s="14"/>
      <c r="X489" s="14"/>
    </row>
    <row r="490" ht="15.75" customHeight="1">
      <c r="D490" s="14"/>
      <c r="E490" s="14"/>
      <c r="N490" s="14"/>
      <c r="S490" s="14"/>
      <c r="W490" s="14"/>
      <c r="X490" s="14"/>
    </row>
    <row r="491" ht="15.75" customHeight="1">
      <c r="D491" s="14"/>
      <c r="E491" s="14"/>
      <c r="N491" s="14"/>
      <c r="S491" s="14"/>
      <c r="W491" s="14"/>
      <c r="X491" s="14"/>
    </row>
    <row r="492" ht="15.75" customHeight="1">
      <c r="D492" s="14"/>
      <c r="E492" s="14"/>
      <c r="N492" s="14"/>
      <c r="S492" s="14"/>
      <c r="W492" s="14"/>
      <c r="X492" s="14"/>
    </row>
    <row r="493" ht="15.75" customHeight="1">
      <c r="D493" s="14"/>
      <c r="E493" s="14"/>
      <c r="N493" s="14"/>
      <c r="S493" s="14"/>
      <c r="W493" s="14"/>
      <c r="X493" s="14"/>
    </row>
    <row r="494" ht="15.75" customHeight="1">
      <c r="D494" s="14"/>
      <c r="E494" s="14"/>
      <c r="N494" s="14"/>
      <c r="S494" s="14"/>
      <c r="W494" s="14"/>
      <c r="X494" s="14"/>
    </row>
    <row r="495" ht="15.75" customHeight="1">
      <c r="D495" s="14"/>
      <c r="E495" s="14"/>
      <c r="N495" s="14"/>
      <c r="S495" s="14"/>
      <c r="W495" s="14"/>
      <c r="X495" s="14"/>
    </row>
    <row r="496" ht="15.75" customHeight="1">
      <c r="D496" s="14"/>
      <c r="E496" s="14"/>
      <c r="N496" s="14"/>
      <c r="S496" s="14"/>
      <c r="W496" s="14"/>
      <c r="X496" s="14"/>
    </row>
    <row r="497" ht="15.75" customHeight="1">
      <c r="D497" s="14"/>
      <c r="E497" s="14"/>
      <c r="N497" s="14"/>
      <c r="S497" s="14"/>
      <c r="W497" s="14"/>
      <c r="X497" s="14"/>
    </row>
    <row r="498" ht="15.75" customHeight="1">
      <c r="D498" s="14"/>
      <c r="E498" s="14"/>
      <c r="N498" s="14"/>
      <c r="S498" s="14"/>
      <c r="W498" s="14"/>
      <c r="X498" s="14"/>
    </row>
    <row r="499" ht="15.75" customHeight="1">
      <c r="D499" s="14"/>
      <c r="E499" s="14"/>
      <c r="N499" s="14"/>
      <c r="S499" s="14"/>
      <c r="W499" s="14"/>
      <c r="X499" s="14"/>
    </row>
    <row r="500" ht="15.75" customHeight="1">
      <c r="D500" s="14"/>
      <c r="E500" s="14"/>
      <c r="N500" s="14"/>
      <c r="S500" s="14"/>
      <c r="W500" s="14"/>
      <c r="X500" s="14"/>
    </row>
    <row r="501" ht="15.75" customHeight="1">
      <c r="D501" s="14"/>
      <c r="E501" s="14"/>
      <c r="N501" s="14"/>
      <c r="S501" s="14"/>
      <c r="W501" s="14"/>
      <c r="X501" s="14"/>
    </row>
    <row r="502" ht="15.75" customHeight="1">
      <c r="D502" s="14"/>
      <c r="E502" s="14"/>
      <c r="N502" s="14"/>
      <c r="S502" s="14"/>
      <c r="W502" s="14"/>
      <c r="X502" s="14"/>
    </row>
    <row r="503" ht="15.75" customHeight="1">
      <c r="D503" s="14"/>
      <c r="E503" s="14"/>
      <c r="N503" s="14"/>
      <c r="S503" s="14"/>
      <c r="W503" s="14"/>
      <c r="X503" s="14"/>
    </row>
    <row r="504" ht="15.75" customHeight="1">
      <c r="D504" s="14"/>
      <c r="E504" s="14"/>
      <c r="N504" s="14"/>
      <c r="S504" s="14"/>
      <c r="W504" s="14"/>
      <c r="X504" s="14"/>
    </row>
    <row r="505" ht="15.75" customHeight="1">
      <c r="D505" s="14"/>
      <c r="E505" s="14"/>
      <c r="N505" s="14"/>
      <c r="S505" s="14"/>
      <c r="W505" s="14"/>
      <c r="X505" s="14"/>
    </row>
    <row r="506" ht="15.75" customHeight="1">
      <c r="D506" s="14"/>
      <c r="E506" s="14"/>
      <c r="N506" s="14"/>
      <c r="S506" s="14"/>
      <c r="W506" s="14"/>
      <c r="X506" s="14"/>
    </row>
    <row r="507" ht="15.75" customHeight="1">
      <c r="D507" s="14"/>
      <c r="E507" s="14"/>
      <c r="N507" s="14"/>
      <c r="S507" s="14"/>
      <c r="W507" s="14"/>
      <c r="X507" s="14"/>
    </row>
    <row r="508" ht="15.75" customHeight="1">
      <c r="D508" s="14"/>
      <c r="E508" s="14"/>
      <c r="N508" s="14"/>
      <c r="S508" s="14"/>
      <c r="W508" s="14"/>
      <c r="X508" s="14"/>
    </row>
    <row r="509" ht="15.75" customHeight="1">
      <c r="D509" s="14"/>
      <c r="E509" s="14"/>
      <c r="N509" s="14"/>
      <c r="S509" s="14"/>
      <c r="W509" s="14"/>
      <c r="X509" s="14"/>
    </row>
    <row r="510" ht="15.75" customHeight="1">
      <c r="D510" s="14"/>
      <c r="E510" s="14"/>
      <c r="N510" s="14"/>
      <c r="S510" s="14"/>
      <c r="W510" s="14"/>
      <c r="X510" s="14"/>
    </row>
    <row r="511" ht="15.75" customHeight="1">
      <c r="D511" s="14"/>
      <c r="E511" s="14"/>
      <c r="N511" s="14"/>
      <c r="S511" s="14"/>
      <c r="W511" s="14"/>
      <c r="X511" s="14"/>
    </row>
    <row r="512" ht="15.75" customHeight="1">
      <c r="D512" s="14"/>
      <c r="E512" s="14"/>
      <c r="N512" s="14"/>
      <c r="S512" s="14"/>
      <c r="W512" s="14"/>
      <c r="X512" s="14"/>
    </row>
    <row r="513" ht="15.75" customHeight="1">
      <c r="D513" s="14"/>
      <c r="E513" s="14"/>
      <c r="N513" s="14"/>
      <c r="S513" s="14"/>
      <c r="W513" s="14"/>
      <c r="X513" s="14"/>
    </row>
    <row r="514" ht="15.75" customHeight="1">
      <c r="D514" s="14"/>
      <c r="E514" s="14"/>
      <c r="N514" s="14"/>
      <c r="S514" s="14"/>
      <c r="W514" s="14"/>
      <c r="X514" s="14"/>
    </row>
    <row r="515" ht="15.75" customHeight="1">
      <c r="D515" s="14"/>
      <c r="E515" s="14"/>
      <c r="N515" s="14"/>
      <c r="S515" s="14"/>
      <c r="W515" s="14"/>
      <c r="X515" s="14"/>
    </row>
    <row r="516" ht="15.75" customHeight="1">
      <c r="D516" s="14"/>
      <c r="E516" s="14"/>
      <c r="N516" s="14"/>
      <c r="S516" s="14"/>
      <c r="W516" s="14"/>
      <c r="X516" s="14"/>
    </row>
    <row r="517" ht="15.75" customHeight="1">
      <c r="D517" s="14"/>
      <c r="E517" s="14"/>
      <c r="N517" s="14"/>
      <c r="S517" s="14"/>
      <c r="W517" s="14"/>
      <c r="X517" s="14"/>
    </row>
    <row r="518" ht="15.75" customHeight="1">
      <c r="D518" s="14"/>
      <c r="E518" s="14"/>
      <c r="N518" s="14"/>
      <c r="S518" s="14"/>
      <c r="W518" s="14"/>
      <c r="X518" s="14"/>
    </row>
    <row r="519" ht="15.75" customHeight="1">
      <c r="D519" s="14"/>
      <c r="E519" s="14"/>
      <c r="N519" s="14"/>
      <c r="S519" s="14"/>
      <c r="W519" s="14"/>
      <c r="X519" s="14"/>
    </row>
    <row r="520" ht="15.75" customHeight="1">
      <c r="D520" s="14"/>
      <c r="E520" s="14"/>
      <c r="N520" s="14"/>
      <c r="S520" s="14"/>
      <c r="W520" s="14"/>
      <c r="X520" s="14"/>
    </row>
    <row r="521" ht="15.75" customHeight="1">
      <c r="D521" s="14"/>
      <c r="E521" s="14"/>
      <c r="N521" s="14"/>
      <c r="S521" s="14"/>
      <c r="W521" s="14"/>
      <c r="X521" s="14"/>
    </row>
    <row r="522" ht="15.75" customHeight="1">
      <c r="D522" s="14"/>
      <c r="E522" s="14"/>
      <c r="N522" s="14"/>
      <c r="S522" s="14"/>
      <c r="W522" s="14"/>
      <c r="X522" s="14"/>
    </row>
    <row r="523" ht="15.75" customHeight="1">
      <c r="D523" s="14"/>
      <c r="E523" s="14"/>
      <c r="N523" s="14"/>
      <c r="S523" s="14"/>
      <c r="W523" s="14"/>
      <c r="X523" s="14"/>
    </row>
    <row r="524" ht="15.75" customHeight="1">
      <c r="D524" s="14"/>
      <c r="E524" s="14"/>
      <c r="N524" s="14"/>
      <c r="S524" s="14"/>
      <c r="W524" s="14"/>
      <c r="X524" s="14"/>
    </row>
    <row r="525" ht="15.75" customHeight="1">
      <c r="D525" s="14"/>
      <c r="E525" s="14"/>
      <c r="N525" s="14"/>
      <c r="S525" s="14"/>
      <c r="W525" s="14"/>
      <c r="X525" s="14"/>
    </row>
    <row r="526" ht="15.75" customHeight="1">
      <c r="D526" s="14"/>
      <c r="E526" s="14"/>
      <c r="N526" s="14"/>
      <c r="S526" s="14"/>
      <c r="W526" s="14"/>
      <c r="X526" s="14"/>
    </row>
    <row r="527" ht="15.75" customHeight="1">
      <c r="D527" s="14"/>
      <c r="E527" s="14"/>
      <c r="N527" s="14"/>
      <c r="S527" s="14"/>
      <c r="W527" s="14"/>
      <c r="X527" s="14"/>
    </row>
    <row r="528" ht="15.75" customHeight="1">
      <c r="D528" s="14"/>
      <c r="E528" s="14"/>
      <c r="N528" s="14"/>
      <c r="S528" s="14"/>
      <c r="W528" s="14"/>
      <c r="X528" s="14"/>
    </row>
    <row r="529" ht="15.75" customHeight="1">
      <c r="D529" s="14"/>
      <c r="E529" s="14"/>
      <c r="N529" s="14"/>
      <c r="S529" s="14"/>
      <c r="W529" s="14"/>
      <c r="X529" s="14"/>
    </row>
    <row r="530" ht="15.75" customHeight="1">
      <c r="D530" s="14"/>
      <c r="E530" s="14"/>
      <c r="N530" s="14"/>
      <c r="S530" s="14"/>
      <c r="W530" s="14"/>
      <c r="X530" s="14"/>
    </row>
    <row r="531" ht="15.75" customHeight="1">
      <c r="D531" s="14"/>
      <c r="E531" s="14"/>
      <c r="N531" s="14"/>
      <c r="S531" s="14"/>
      <c r="W531" s="14"/>
      <c r="X531" s="14"/>
    </row>
    <row r="532" ht="15.75" customHeight="1">
      <c r="D532" s="14"/>
      <c r="E532" s="14"/>
      <c r="N532" s="14"/>
      <c r="S532" s="14"/>
      <c r="W532" s="14"/>
      <c r="X532" s="14"/>
    </row>
    <row r="533" ht="15.75" customHeight="1">
      <c r="D533" s="14"/>
      <c r="E533" s="14"/>
      <c r="N533" s="14"/>
      <c r="S533" s="14"/>
      <c r="W533" s="14"/>
      <c r="X533" s="14"/>
    </row>
    <row r="534" ht="15.75" customHeight="1">
      <c r="D534" s="14"/>
      <c r="E534" s="14"/>
      <c r="N534" s="14"/>
      <c r="S534" s="14"/>
      <c r="W534" s="14"/>
      <c r="X534" s="14"/>
    </row>
    <row r="535" ht="15.75" customHeight="1">
      <c r="D535" s="14"/>
      <c r="E535" s="14"/>
      <c r="N535" s="14"/>
      <c r="S535" s="14"/>
      <c r="W535" s="14"/>
      <c r="X535" s="14"/>
    </row>
    <row r="536" ht="15.75" customHeight="1">
      <c r="D536" s="14"/>
      <c r="E536" s="14"/>
      <c r="N536" s="14"/>
      <c r="S536" s="14"/>
      <c r="W536" s="14"/>
      <c r="X536" s="14"/>
    </row>
    <row r="537" ht="15.75" customHeight="1">
      <c r="D537" s="14"/>
      <c r="E537" s="14"/>
      <c r="N537" s="14"/>
      <c r="S537" s="14"/>
      <c r="W537" s="14"/>
      <c r="X537" s="14"/>
    </row>
    <row r="538" ht="15.75" customHeight="1">
      <c r="D538" s="14"/>
      <c r="E538" s="14"/>
      <c r="N538" s="14"/>
      <c r="S538" s="14"/>
      <c r="W538" s="14"/>
      <c r="X538" s="14"/>
    </row>
    <row r="539" ht="15.75" customHeight="1">
      <c r="D539" s="14"/>
      <c r="E539" s="14"/>
      <c r="N539" s="14"/>
      <c r="S539" s="14"/>
      <c r="W539" s="14"/>
      <c r="X539" s="14"/>
    </row>
    <row r="540" ht="15.75" customHeight="1">
      <c r="D540" s="14"/>
      <c r="E540" s="14"/>
      <c r="N540" s="14"/>
      <c r="S540" s="14"/>
      <c r="W540" s="14"/>
      <c r="X540" s="14"/>
    </row>
    <row r="541" ht="15.75" customHeight="1">
      <c r="D541" s="14"/>
      <c r="E541" s="14"/>
      <c r="N541" s="14"/>
      <c r="S541" s="14"/>
      <c r="W541" s="14"/>
      <c r="X541" s="14"/>
    </row>
    <row r="542" ht="15.75" customHeight="1">
      <c r="D542" s="14"/>
      <c r="E542" s="14"/>
      <c r="N542" s="14"/>
      <c r="S542" s="14"/>
      <c r="W542" s="14"/>
      <c r="X542" s="14"/>
    </row>
    <row r="543" ht="15.75" customHeight="1">
      <c r="D543" s="14"/>
      <c r="E543" s="14"/>
      <c r="N543" s="14"/>
      <c r="S543" s="14"/>
      <c r="W543" s="14"/>
      <c r="X543" s="14"/>
    </row>
    <row r="544" ht="15.75" customHeight="1">
      <c r="D544" s="14"/>
      <c r="E544" s="14"/>
      <c r="N544" s="14"/>
      <c r="S544" s="14"/>
      <c r="W544" s="14"/>
      <c r="X544" s="14"/>
    </row>
    <row r="545" ht="15.75" customHeight="1">
      <c r="D545" s="14"/>
      <c r="E545" s="14"/>
      <c r="N545" s="14"/>
      <c r="S545" s="14"/>
      <c r="W545" s="14"/>
      <c r="X545" s="14"/>
    </row>
    <row r="546" ht="15.75" customHeight="1">
      <c r="D546" s="14"/>
      <c r="E546" s="14"/>
      <c r="N546" s="14"/>
      <c r="S546" s="14"/>
      <c r="W546" s="14"/>
      <c r="X546" s="14"/>
    </row>
    <row r="547" ht="15.75" customHeight="1">
      <c r="D547" s="14"/>
      <c r="E547" s="14"/>
      <c r="N547" s="14"/>
      <c r="S547" s="14"/>
      <c r="W547" s="14"/>
      <c r="X547" s="14"/>
    </row>
    <row r="548" ht="15.75" customHeight="1">
      <c r="D548" s="14"/>
      <c r="E548" s="14"/>
      <c r="N548" s="14"/>
      <c r="S548" s="14"/>
      <c r="W548" s="14"/>
      <c r="X548" s="14"/>
    </row>
    <row r="549" ht="15.75" customHeight="1">
      <c r="D549" s="14"/>
      <c r="E549" s="14"/>
      <c r="N549" s="14"/>
      <c r="S549" s="14"/>
      <c r="W549" s="14"/>
      <c r="X549" s="14"/>
    </row>
    <row r="550" ht="15.75" customHeight="1">
      <c r="D550" s="14"/>
      <c r="E550" s="14"/>
      <c r="N550" s="14"/>
      <c r="S550" s="14"/>
      <c r="W550" s="14"/>
      <c r="X550" s="14"/>
    </row>
    <row r="551" ht="15.75" customHeight="1">
      <c r="D551" s="14"/>
      <c r="E551" s="14"/>
      <c r="N551" s="14"/>
      <c r="S551" s="14"/>
      <c r="W551" s="14"/>
      <c r="X551" s="14"/>
    </row>
    <row r="552" ht="15.75" customHeight="1">
      <c r="D552" s="14"/>
      <c r="E552" s="14"/>
      <c r="N552" s="14"/>
      <c r="S552" s="14"/>
      <c r="W552" s="14"/>
      <c r="X552" s="14"/>
    </row>
    <row r="553" ht="15.75" customHeight="1">
      <c r="D553" s="14"/>
      <c r="E553" s="14"/>
      <c r="N553" s="14"/>
      <c r="S553" s="14"/>
      <c r="W553" s="14"/>
      <c r="X553" s="14"/>
    </row>
    <row r="554" ht="15.75" customHeight="1">
      <c r="D554" s="14"/>
      <c r="E554" s="14"/>
      <c r="N554" s="14"/>
      <c r="S554" s="14"/>
      <c r="W554" s="14"/>
      <c r="X554" s="14"/>
    </row>
    <row r="555" ht="15.75" customHeight="1">
      <c r="D555" s="14"/>
      <c r="E555" s="14"/>
      <c r="N555" s="14"/>
      <c r="S555" s="14"/>
      <c r="W555" s="14"/>
      <c r="X555" s="14"/>
    </row>
    <row r="556" ht="15.75" customHeight="1">
      <c r="D556" s="14"/>
      <c r="E556" s="14"/>
      <c r="N556" s="14"/>
      <c r="S556" s="14"/>
      <c r="W556" s="14"/>
      <c r="X556" s="14"/>
    </row>
    <row r="557" ht="15.75" customHeight="1">
      <c r="D557" s="14"/>
      <c r="E557" s="14"/>
      <c r="N557" s="14"/>
      <c r="S557" s="14"/>
      <c r="W557" s="14"/>
      <c r="X557" s="14"/>
    </row>
    <row r="558" ht="15.75" customHeight="1">
      <c r="D558" s="14"/>
      <c r="E558" s="14"/>
      <c r="N558" s="14"/>
      <c r="S558" s="14"/>
      <c r="W558" s="14"/>
      <c r="X558" s="14"/>
    </row>
    <row r="559" ht="15.75" customHeight="1">
      <c r="D559" s="14"/>
      <c r="E559" s="14"/>
      <c r="N559" s="14"/>
      <c r="S559" s="14"/>
      <c r="W559" s="14"/>
      <c r="X559" s="14"/>
    </row>
    <row r="560" ht="15.75" customHeight="1">
      <c r="D560" s="14"/>
      <c r="E560" s="14"/>
      <c r="N560" s="14"/>
      <c r="S560" s="14"/>
      <c r="W560" s="14"/>
      <c r="X560" s="14"/>
    </row>
    <row r="561" ht="15.75" customHeight="1">
      <c r="D561" s="14"/>
      <c r="E561" s="14"/>
      <c r="N561" s="14"/>
      <c r="S561" s="14"/>
      <c r="W561" s="14"/>
      <c r="X561" s="14"/>
    </row>
    <row r="562" ht="15.75" customHeight="1">
      <c r="D562" s="14"/>
      <c r="E562" s="14"/>
      <c r="N562" s="14"/>
      <c r="S562" s="14"/>
      <c r="W562" s="14"/>
      <c r="X562" s="14"/>
    </row>
    <row r="563" ht="15.75" customHeight="1">
      <c r="D563" s="14"/>
      <c r="E563" s="14"/>
      <c r="N563" s="14"/>
      <c r="S563" s="14"/>
      <c r="W563" s="14"/>
      <c r="X563" s="14"/>
    </row>
    <row r="564" ht="15.75" customHeight="1">
      <c r="D564" s="14"/>
      <c r="E564" s="14"/>
      <c r="N564" s="14"/>
      <c r="S564" s="14"/>
      <c r="W564" s="14"/>
      <c r="X564" s="14"/>
    </row>
    <row r="565" ht="15.75" customHeight="1">
      <c r="D565" s="14"/>
      <c r="E565" s="14"/>
      <c r="N565" s="14"/>
      <c r="S565" s="14"/>
      <c r="W565" s="14"/>
      <c r="X565" s="14"/>
    </row>
    <row r="566" ht="15.75" customHeight="1">
      <c r="D566" s="14"/>
      <c r="E566" s="14"/>
      <c r="N566" s="14"/>
      <c r="S566" s="14"/>
      <c r="W566" s="14"/>
      <c r="X566" s="14"/>
    </row>
    <row r="567" ht="15.75" customHeight="1">
      <c r="D567" s="14"/>
      <c r="E567" s="14"/>
      <c r="N567" s="14"/>
      <c r="S567" s="14"/>
      <c r="W567" s="14"/>
      <c r="X567" s="14"/>
    </row>
    <row r="568" ht="15.75" customHeight="1">
      <c r="D568" s="14"/>
      <c r="E568" s="14"/>
      <c r="N568" s="14"/>
      <c r="S568" s="14"/>
      <c r="W568" s="14"/>
      <c r="X568" s="14"/>
    </row>
    <row r="569" ht="15.75" customHeight="1">
      <c r="D569" s="14"/>
      <c r="E569" s="14"/>
      <c r="N569" s="14"/>
      <c r="S569" s="14"/>
      <c r="W569" s="14"/>
      <c r="X569" s="14"/>
    </row>
    <row r="570" ht="15.75" customHeight="1">
      <c r="D570" s="14"/>
      <c r="E570" s="14"/>
      <c r="N570" s="14"/>
      <c r="S570" s="14"/>
      <c r="W570" s="14"/>
      <c r="X570" s="14"/>
    </row>
    <row r="571" ht="15.75" customHeight="1">
      <c r="D571" s="14"/>
      <c r="E571" s="14"/>
      <c r="N571" s="14"/>
      <c r="S571" s="14"/>
      <c r="W571" s="14"/>
      <c r="X571" s="14"/>
    </row>
    <row r="572" ht="15.75" customHeight="1">
      <c r="D572" s="14"/>
      <c r="E572" s="14"/>
      <c r="N572" s="14"/>
      <c r="S572" s="14"/>
      <c r="W572" s="14"/>
      <c r="X572" s="14"/>
    </row>
    <row r="573" ht="15.75" customHeight="1">
      <c r="D573" s="14"/>
      <c r="E573" s="14"/>
      <c r="N573" s="14"/>
      <c r="S573" s="14"/>
      <c r="W573" s="14"/>
      <c r="X573" s="14"/>
    </row>
    <row r="574" ht="15.75" customHeight="1">
      <c r="D574" s="14"/>
      <c r="E574" s="14"/>
      <c r="N574" s="14"/>
      <c r="S574" s="14"/>
      <c r="W574" s="14"/>
      <c r="X574" s="14"/>
    </row>
    <row r="575" ht="15.75" customHeight="1">
      <c r="D575" s="14"/>
      <c r="E575" s="14"/>
      <c r="N575" s="14"/>
      <c r="S575" s="14"/>
      <c r="W575" s="14"/>
      <c r="X575" s="14"/>
    </row>
    <row r="576" ht="15.75" customHeight="1">
      <c r="D576" s="14"/>
      <c r="E576" s="14"/>
      <c r="N576" s="14"/>
      <c r="S576" s="14"/>
      <c r="W576" s="14"/>
      <c r="X576" s="14"/>
    </row>
    <row r="577" ht="15.75" customHeight="1">
      <c r="D577" s="14"/>
      <c r="E577" s="14"/>
      <c r="N577" s="14"/>
      <c r="S577" s="14"/>
      <c r="W577" s="14"/>
      <c r="X577" s="14"/>
    </row>
    <row r="578" ht="15.75" customHeight="1">
      <c r="D578" s="14"/>
      <c r="E578" s="14"/>
      <c r="N578" s="14"/>
      <c r="S578" s="14"/>
      <c r="W578" s="14"/>
      <c r="X578" s="14"/>
    </row>
    <row r="579" ht="15.75" customHeight="1">
      <c r="D579" s="14"/>
      <c r="E579" s="14"/>
      <c r="N579" s="14"/>
      <c r="S579" s="14"/>
      <c r="W579" s="14"/>
      <c r="X579" s="14"/>
    </row>
    <row r="580" ht="15.75" customHeight="1">
      <c r="D580" s="14"/>
      <c r="E580" s="14"/>
      <c r="N580" s="14"/>
      <c r="S580" s="14"/>
      <c r="W580" s="14"/>
      <c r="X580" s="14"/>
    </row>
    <row r="581" ht="15.75" customHeight="1">
      <c r="D581" s="14"/>
      <c r="E581" s="14"/>
      <c r="N581" s="14"/>
      <c r="S581" s="14"/>
      <c r="W581" s="14"/>
      <c r="X581" s="14"/>
    </row>
    <row r="582" ht="15.75" customHeight="1">
      <c r="D582" s="14"/>
      <c r="E582" s="14"/>
      <c r="N582" s="14"/>
      <c r="S582" s="14"/>
      <c r="W582" s="14"/>
      <c r="X582" s="14"/>
    </row>
    <row r="583" ht="15.75" customHeight="1">
      <c r="D583" s="14"/>
      <c r="E583" s="14"/>
      <c r="N583" s="14"/>
      <c r="S583" s="14"/>
      <c r="W583" s="14"/>
      <c r="X583" s="14"/>
    </row>
    <row r="584" ht="15.75" customHeight="1">
      <c r="D584" s="14"/>
      <c r="E584" s="14"/>
      <c r="N584" s="14"/>
      <c r="S584" s="14"/>
      <c r="W584" s="14"/>
      <c r="X584" s="14"/>
    </row>
    <row r="585" ht="15.75" customHeight="1">
      <c r="D585" s="14"/>
      <c r="E585" s="14"/>
      <c r="N585" s="14"/>
      <c r="S585" s="14"/>
      <c r="W585" s="14"/>
      <c r="X585" s="14"/>
    </row>
    <row r="586" ht="15.75" customHeight="1">
      <c r="D586" s="14"/>
      <c r="E586" s="14"/>
      <c r="N586" s="14"/>
      <c r="S586" s="14"/>
      <c r="W586" s="14"/>
      <c r="X586" s="14"/>
    </row>
    <row r="587" ht="15.75" customHeight="1">
      <c r="D587" s="14"/>
      <c r="E587" s="14"/>
      <c r="N587" s="14"/>
      <c r="S587" s="14"/>
      <c r="W587" s="14"/>
      <c r="X587" s="14"/>
    </row>
    <row r="588" ht="15.75" customHeight="1">
      <c r="D588" s="14"/>
      <c r="E588" s="14"/>
      <c r="N588" s="14"/>
      <c r="S588" s="14"/>
      <c r="W588" s="14"/>
      <c r="X588" s="14"/>
    </row>
    <row r="589" ht="15.75" customHeight="1">
      <c r="D589" s="14"/>
      <c r="E589" s="14"/>
      <c r="N589" s="14"/>
      <c r="S589" s="14"/>
      <c r="W589" s="14"/>
      <c r="X589" s="14"/>
    </row>
    <row r="590" ht="15.75" customHeight="1">
      <c r="D590" s="14"/>
      <c r="E590" s="14"/>
      <c r="N590" s="14"/>
      <c r="S590" s="14"/>
      <c r="W590" s="14"/>
      <c r="X590" s="14"/>
    </row>
    <row r="591" ht="15.75" customHeight="1">
      <c r="D591" s="14"/>
      <c r="E591" s="14"/>
      <c r="N591" s="14"/>
      <c r="S591" s="14"/>
      <c r="W591" s="14"/>
      <c r="X591" s="14"/>
    </row>
    <row r="592" ht="15.75" customHeight="1">
      <c r="D592" s="14"/>
      <c r="E592" s="14"/>
      <c r="N592" s="14"/>
      <c r="S592" s="14"/>
      <c r="W592" s="14"/>
      <c r="X592" s="14"/>
    </row>
    <row r="593" ht="15.75" customHeight="1">
      <c r="D593" s="14"/>
      <c r="E593" s="14"/>
      <c r="N593" s="14"/>
      <c r="S593" s="14"/>
      <c r="W593" s="14"/>
      <c r="X593" s="14"/>
    </row>
    <row r="594" ht="15.75" customHeight="1">
      <c r="D594" s="14"/>
      <c r="E594" s="14"/>
      <c r="N594" s="14"/>
      <c r="S594" s="14"/>
      <c r="W594" s="14"/>
      <c r="X594" s="14"/>
    </row>
    <row r="595" ht="15.75" customHeight="1">
      <c r="D595" s="14"/>
      <c r="E595" s="14"/>
      <c r="N595" s="14"/>
      <c r="S595" s="14"/>
      <c r="W595" s="14"/>
      <c r="X595" s="14"/>
    </row>
    <row r="596" ht="15.75" customHeight="1">
      <c r="D596" s="14"/>
      <c r="E596" s="14"/>
      <c r="N596" s="14"/>
      <c r="S596" s="14"/>
      <c r="W596" s="14"/>
      <c r="X596" s="14"/>
    </row>
    <row r="597" ht="15.75" customHeight="1">
      <c r="D597" s="14"/>
      <c r="E597" s="14"/>
      <c r="N597" s="14"/>
      <c r="S597" s="14"/>
      <c r="W597" s="14"/>
      <c r="X597" s="14"/>
    </row>
    <row r="598" ht="15.75" customHeight="1">
      <c r="D598" s="14"/>
      <c r="E598" s="14"/>
      <c r="N598" s="14"/>
      <c r="S598" s="14"/>
      <c r="W598" s="14"/>
      <c r="X598" s="14"/>
    </row>
    <row r="599" ht="15.75" customHeight="1">
      <c r="D599" s="14"/>
      <c r="E599" s="14"/>
      <c r="N599" s="14"/>
      <c r="S599" s="14"/>
      <c r="W599" s="14"/>
      <c r="X599" s="14"/>
    </row>
    <row r="600" ht="15.75" customHeight="1">
      <c r="D600" s="14"/>
      <c r="E600" s="14"/>
      <c r="N600" s="14"/>
      <c r="S600" s="14"/>
      <c r="W600" s="14"/>
      <c r="X600" s="14"/>
    </row>
    <row r="601" ht="15.75" customHeight="1">
      <c r="D601" s="14"/>
      <c r="E601" s="14"/>
      <c r="N601" s="14"/>
      <c r="S601" s="14"/>
      <c r="W601" s="14"/>
      <c r="X601" s="14"/>
    </row>
    <row r="602" ht="15.75" customHeight="1">
      <c r="D602" s="14"/>
      <c r="E602" s="14"/>
      <c r="N602" s="14"/>
      <c r="S602" s="14"/>
      <c r="W602" s="14"/>
      <c r="X602" s="14"/>
    </row>
    <row r="603" ht="15.75" customHeight="1">
      <c r="D603" s="14"/>
      <c r="E603" s="14"/>
      <c r="N603" s="14"/>
      <c r="S603" s="14"/>
      <c r="W603" s="14"/>
      <c r="X603" s="14"/>
    </row>
    <row r="604" ht="15.75" customHeight="1">
      <c r="D604" s="14"/>
      <c r="E604" s="14"/>
      <c r="N604" s="14"/>
      <c r="S604" s="14"/>
      <c r="W604" s="14"/>
      <c r="X604" s="14"/>
    </row>
    <row r="605" ht="15.75" customHeight="1">
      <c r="D605" s="14"/>
      <c r="E605" s="14"/>
      <c r="N605" s="14"/>
      <c r="S605" s="14"/>
      <c r="W605" s="14"/>
      <c r="X605" s="14"/>
    </row>
    <row r="606" ht="15.75" customHeight="1">
      <c r="D606" s="14"/>
      <c r="E606" s="14"/>
      <c r="N606" s="14"/>
      <c r="S606" s="14"/>
      <c r="W606" s="14"/>
      <c r="X606" s="14"/>
    </row>
    <row r="607" ht="15.75" customHeight="1">
      <c r="D607" s="14"/>
      <c r="E607" s="14"/>
      <c r="N607" s="14"/>
      <c r="S607" s="14"/>
      <c r="W607" s="14"/>
      <c r="X607" s="14"/>
    </row>
    <row r="608" ht="15.75" customHeight="1">
      <c r="D608" s="14"/>
      <c r="E608" s="14"/>
      <c r="N608" s="14"/>
      <c r="S608" s="14"/>
      <c r="W608" s="14"/>
      <c r="X608" s="14"/>
    </row>
    <row r="609" ht="15.75" customHeight="1">
      <c r="D609" s="14"/>
      <c r="E609" s="14"/>
      <c r="N609" s="14"/>
      <c r="S609" s="14"/>
      <c r="W609" s="14"/>
      <c r="X609" s="14"/>
    </row>
    <row r="610" ht="15.75" customHeight="1">
      <c r="D610" s="14"/>
      <c r="E610" s="14"/>
      <c r="N610" s="14"/>
      <c r="S610" s="14"/>
      <c r="W610" s="14"/>
      <c r="X610" s="14"/>
    </row>
    <row r="611" ht="15.75" customHeight="1">
      <c r="D611" s="14"/>
      <c r="E611" s="14"/>
      <c r="N611" s="14"/>
      <c r="S611" s="14"/>
      <c r="W611" s="14"/>
      <c r="X611" s="14"/>
    </row>
    <row r="612" ht="15.75" customHeight="1">
      <c r="D612" s="14"/>
      <c r="E612" s="14"/>
      <c r="N612" s="14"/>
      <c r="S612" s="14"/>
      <c r="W612" s="14"/>
      <c r="X612" s="14"/>
    </row>
    <row r="613" ht="15.75" customHeight="1">
      <c r="D613" s="14"/>
      <c r="E613" s="14"/>
      <c r="N613" s="14"/>
      <c r="S613" s="14"/>
      <c r="W613" s="14"/>
      <c r="X613" s="14"/>
    </row>
    <row r="614" ht="15.75" customHeight="1">
      <c r="D614" s="14"/>
      <c r="E614" s="14"/>
      <c r="N614" s="14"/>
      <c r="S614" s="14"/>
      <c r="W614" s="14"/>
      <c r="X614" s="14"/>
    </row>
    <row r="615" ht="15.75" customHeight="1">
      <c r="D615" s="14"/>
      <c r="E615" s="14"/>
      <c r="N615" s="14"/>
      <c r="S615" s="14"/>
      <c r="W615" s="14"/>
      <c r="X615" s="14"/>
    </row>
    <row r="616" ht="15.75" customHeight="1">
      <c r="D616" s="14"/>
      <c r="E616" s="14"/>
      <c r="N616" s="14"/>
      <c r="S616" s="14"/>
      <c r="W616" s="14"/>
      <c r="X616" s="14"/>
    </row>
    <row r="617" ht="15.75" customHeight="1">
      <c r="D617" s="14"/>
      <c r="E617" s="14"/>
      <c r="N617" s="14"/>
      <c r="S617" s="14"/>
      <c r="W617" s="14"/>
      <c r="X617" s="14"/>
    </row>
    <row r="618" ht="15.75" customHeight="1">
      <c r="D618" s="14"/>
      <c r="E618" s="14"/>
      <c r="N618" s="14"/>
      <c r="S618" s="14"/>
      <c r="W618" s="14"/>
      <c r="X618" s="14"/>
    </row>
    <row r="619" ht="15.75" customHeight="1">
      <c r="D619" s="14"/>
      <c r="E619" s="14"/>
      <c r="N619" s="14"/>
      <c r="S619" s="14"/>
      <c r="W619" s="14"/>
      <c r="X619" s="14"/>
    </row>
    <row r="620" ht="15.75" customHeight="1">
      <c r="D620" s="14"/>
      <c r="E620" s="14"/>
      <c r="N620" s="14"/>
      <c r="S620" s="14"/>
      <c r="W620" s="14"/>
      <c r="X620" s="14"/>
    </row>
    <row r="621" ht="15.75" customHeight="1">
      <c r="D621" s="14"/>
      <c r="E621" s="14"/>
      <c r="N621" s="14"/>
      <c r="S621" s="14"/>
      <c r="W621" s="14"/>
      <c r="X621" s="14"/>
    </row>
    <row r="622" ht="15.75" customHeight="1">
      <c r="D622" s="14"/>
      <c r="E622" s="14"/>
      <c r="N622" s="14"/>
      <c r="S622" s="14"/>
      <c r="W622" s="14"/>
      <c r="X622" s="14"/>
    </row>
    <row r="623" ht="15.75" customHeight="1">
      <c r="D623" s="14"/>
      <c r="E623" s="14"/>
      <c r="N623" s="14"/>
      <c r="S623" s="14"/>
      <c r="W623" s="14"/>
      <c r="X623" s="14"/>
    </row>
    <row r="624" ht="15.75" customHeight="1">
      <c r="D624" s="14"/>
      <c r="E624" s="14"/>
      <c r="N624" s="14"/>
      <c r="S624" s="14"/>
      <c r="W624" s="14"/>
      <c r="X624" s="14"/>
    </row>
    <row r="625" ht="15.75" customHeight="1">
      <c r="D625" s="14"/>
      <c r="E625" s="14"/>
      <c r="N625" s="14"/>
      <c r="S625" s="14"/>
      <c r="W625" s="14"/>
      <c r="X625" s="14"/>
    </row>
    <row r="626" ht="15.75" customHeight="1">
      <c r="D626" s="14"/>
      <c r="E626" s="14"/>
      <c r="N626" s="14"/>
      <c r="S626" s="14"/>
      <c r="W626" s="14"/>
      <c r="X626" s="14"/>
    </row>
    <row r="627" ht="15.75" customHeight="1">
      <c r="D627" s="14"/>
      <c r="E627" s="14"/>
      <c r="N627" s="14"/>
      <c r="S627" s="14"/>
      <c r="W627" s="14"/>
      <c r="X627" s="14"/>
    </row>
    <row r="628" ht="15.75" customHeight="1">
      <c r="D628" s="14"/>
      <c r="E628" s="14"/>
      <c r="N628" s="14"/>
      <c r="S628" s="14"/>
      <c r="W628" s="14"/>
      <c r="X628" s="14"/>
    </row>
    <row r="629" ht="15.75" customHeight="1">
      <c r="D629" s="14"/>
      <c r="E629" s="14"/>
      <c r="N629" s="14"/>
      <c r="S629" s="14"/>
      <c r="W629" s="14"/>
      <c r="X629" s="14"/>
    </row>
    <row r="630" ht="15.75" customHeight="1">
      <c r="D630" s="14"/>
      <c r="E630" s="14"/>
      <c r="N630" s="14"/>
      <c r="S630" s="14"/>
      <c r="W630" s="14"/>
      <c r="X630" s="14"/>
    </row>
    <row r="631" ht="15.75" customHeight="1">
      <c r="D631" s="14"/>
      <c r="E631" s="14"/>
      <c r="N631" s="14"/>
      <c r="S631" s="14"/>
      <c r="W631" s="14"/>
      <c r="X631" s="14"/>
    </row>
    <row r="632" ht="15.75" customHeight="1">
      <c r="D632" s="14"/>
      <c r="E632" s="14"/>
      <c r="N632" s="14"/>
      <c r="S632" s="14"/>
      <c r="W632" s="14"/>
      <c r="X632" s="14"/>
    </row>
    <row r="633" ht="15.75" customHeight="1">
      <c r="D633" s="14"/>
      <c r="E633" s="14"/>
      <c r="N633" s="14"/>
      <c r="S633" s="14"/>
      <c r="W633" s="14"/>
      <c r="X633" s="14"/>
    </row>
    <row r="634" ht="15.75" customHeight="1">
      <c r="D634" s="14"/>
      <c r="E634" s="14"/>
      <c r="N634" s="14"/>
      <c r="S634" s="14"/>
      <c r="W634" s="14"/>
      <c r="X634" s="14"/>
    </row>
    <row r="635" ht="15.75" customHeight="1">
      <c r="D635" s="14"/>
      <c r="E635" s="14"/>
      <c r="N635" s="14"/>
      <c r="S635" s="14"/>
      <c r="W635" s="14"/>
      <c r="X635" s="14"/>
    </row>
    <row r="636" ht="15.75" customHeight="1">
      <c r="D636" s="14"/>
      <c r="E636" s="14"/>
      <c r="N636" s="14"/>
      <c r="S636" s="14"/>
      <c r="W636" s="14"/>
      <c r="X636" s="14"/>
    </row>
    <row r="637" ht="15.75" customHeight="1">
      <c r="D637" s="14"/>
      <c r="E637" s="14"/>
      <c r="N637" s="14"/>
      <c r="S637" s="14"/>
      <c r="W637" s="14"/>
      <c r="X637" s="14"/>
    </row>
    <row r="638" ht="15.75" customHeight="1">
      <c r="D638" s="14"/>
      <c r="E638" s="14"/>
      <c r="N638" s="14"/>
      <c r="S638" s="14"/>
      <c r="W638" s="14"/>
      <c r="X638" s="14"/>
    </row>
    <row r="639" ht="15.75" customHeight="1">
      <c r="D639" s="14"/>
      <c r="E639" s="14"/>
      <c r="N639" s="14"/>
      <c r="S639" s="14"/>
      <c r="W639" s="14"/>
      <c r="X639" s="14"/>
    </row>
    <row r="640" ht="15.75" customHeight="1">
      <c r="D640" s="14"/>
      <c r="E640" s="14"/>
      <c r="N640" s="14"/>
      <c r="S640" s="14"/>
      <c r="W640" s="14"/>
      <c r="X640" s="14"/>
    </row>
    <row r="641" ht="15.75" customHeight="1">
      <c r="D641" s="14"/>
      <c r="E641" s="14"/>
      <c r="N641" s="14"/>
      <c r="S641" s="14"/>
      <c r="W641" s="14"/>
      <c r="X641" s="14"/>
    </row>
    <row r="642" ht="15.75" customHeight="1">
      <c r="D642" s="14"/>
      <c r="E642" s="14"/>
      <c r="N642" s="14"/>
      <c r="S642" s="14"/>
      <c r="W642" s="14"/>
      <c r="X642" s="14"/>
    </row>
    <row r="643" ht="15.75" customHeight="1">
      <c r="D643" s="14"/>
      <c r="E643" s="14"/>
      <c r="N643" s="14"/>
      <c r="S643" s="14"/>
      <c r="W643" s="14"/>
      <c r="X643" s="14"/>
    </row>
    <row r="644" ht="15.75" customHeight="1">
      <c r="D644" s="14"/>
      <c r="E644" s="14"/>
      <c r="N644" s="14"/>
      <c r="S644" s="14"/>
      <c r="W644" s="14"/>
      <c r="X644" s="14"/>
    </row>
    <row r="645" ht="15.75" customHeight="1">
      <c r="D645" s="14"/>
      <c r="E645" s="14"/>
      <c r="N645" s="14"/>
      <c r="S645" s="14"/>
      <c r="W645" s="14"/>
      <c r="X645" s="14"/>
    </row>
    <row r="646" ht="15.75" customHeight="1">
      <c r="D646" s="14"/>
      <c r="E646" s="14"/>
      <c r="N646" s="14"/>
      <c r="S646" s="14"/>
      <c r="W646" s="14"/>
      <c r="X646" s="14"/>
    </row>
    <row r="647" ht="15.75" customHeight="1">
      <c r="D647" s="14"/>
      <c r="E647" s="14"/>
      <c r="N647" s="14"/>
      <c r="S647" s="14"/>
      <c r="W647" s="14"/>
      <c r="X647" s="14"/>
    </row>
    <row r="648" ht="15.75" customHeight="1">
      <c r="D648" s="14"/>
      <c r="E648" s="14"/>
      <c r="N648" s="14"/>
      <c r="S648" s="14"/>
      <c r="W648" s="14"/>
      <c r="X648" s="14"/>
    </row>
    <row r="649" ht="15.75" customHeight="1">
      <c r="D649" s="14"/>
      <c r="E649" s="14"/>
      <c r="N649" s="14"/>
      <c r="S649" s="14"/>
      <c r="W649" s="14"/>
      <c r="X649" s="14"/>
    </row>
    <row r="650" ht="15.75" customHeight="1">
      <c r="D650" s="14"/>
      <c r="E650" s="14"/>
      <c r="N650" s="14"/>
      <c r="S650" s="14"/>
      <c r="W650" s="14"/>
      <c r="X650" s="14"/>
    </row>
    <row r="651" ht="15.75" customHeight="1">
      <c r="D651" s="14"/>
      <c r="E651" s="14"/>
      <c r="N651" s="14"/>
      <c r="S651" s="14"/>
      <c r="W651" s="14"/>
      <c r="X651" s="14"/>
    </row>
    <row r="652" ht="15.75" customHeight="1">
      <c r="D652" s="14"/>
      <c r="E652" s="14"/>
      <c r="N652" s="14"/>
      <c r="S652" s="14"/>
      <c r="W652" s="14"/>
      <c r="X652" s="14"/>
    </row>
    <row r="653" ht="15.75" customHeight="1">
      <c r="D653" s="14"/>
      <c r="E653" s="14"/>
      <c r="N653" s="14"/>
      <c r="S653" s="14"/>
      <c r="W653" s="14"/>
      <c r="X653" s="14"/>
    </row>
    <row r="654" ht="15.75" customHeight="1">
      <c r="D654" s="14"/>
      <c r="E654" s="14"/>
      <c r="N654" s="14"/>
      <c r="S654" s="14"/>
      <c r="W654" s="14"/>
      <c r="X654" s="14"/>
    </row>
    <row r="655" ht="15.75" customHeight="1">
      <c r="D655" s="14"/>
      <c r="E655" s="14"/>
      <c r="N655" s="14"/>
      <c r="S655" s="14"/>
      <c r="W655" s="14"/>
      <c r="X655" s="14"/>
    </row>
    <row r="656" ht="15.75" customHeight="1">
      <c r="D656" s="14"/>
      <c r="E656" s="14"/>
      <c r="N656" s="14"/>
      <c r="S656" s="14"/>
      <c r="W656" s="14"/>
      <c r="X656" s="14"/>
    </row>
    <row r="657" ht="15.75" customHeight="1">
      <c r="D657" s="14"/>
      <c r="E657" s="14"/>
      <c r="N657" s="14"/>
      <c r="S657" s="14"/>
      <c r="W657" s="14"/>
      <c r="X657" s="14"/>
    </row>
    <row r="658" ht="15.75" customHeight="1">
      <c r="D658" s="14"/>
      <c r="E658" s="14"/>
      <c r="N658" s="14"/>
      <c r="S658" s="14"/>
      <c r="W658" s="14"/>
      <c r="X658" s="14"/>
    </row>
    <row r="659" ht="15.75" customHeight="1">
      <c r="D659" s="14"/>
      <c r="E659" s="14"/>
      <c r="N659" s="14"/>
      <c r="S659" s="14"/>
      <c r="W659" s="14"/>
      <c r="X659" s="14"/>
    </row>
    <row r="660" ht="15.75" customHeight="1">
      <c r="D660" s="14"/>
      <c r="E660" s="14"/>
      <c r="N660" s="14"/>
      <c r="S660" s="14"/>
      <c r="W660" s="14"/>
      <c r="X660" s="14"/>
    </row>
    <row r="661" ht="15.75" customHeight="1">
      <c r="D661" s="14"/>
      <c r="E661" s="14"/>
      <c r="N661" s="14"/>
      <c r="S661" s="14"/>
      <c r="W661" s="14"/>
      <c r="X661" s="14"/>
    </row>
    <row r="662" ht="15.75" customHeight="1">
      <c r="D662" s="14"/>
      <c r="E662" s="14"/>
      <c r="N662" s="14"/>
      <c r="S662" s="14"/>
      <c r="W662" s="14"/>
      <c r="X662" s="14"/>
    </row>
    <row r="663" ht="15.75" customHeight="1">
      <c r="D663" s="14"/>
      <c r="E663" s="14"/>
      <c r="N663" s="14"/>
      <c r="S663" s="14"/>
      <c r="W663" s="14"/>
      <c r="X663" s="14"/>
    </row>
    <row r="664" ht="15.75" customHeight="1">
      <c r="D664" s="14"/>
      <c r="E664" s="14"/>
      <c r="N664" s="14"/>
      <c r="S664" s="14"/>
      <c r="W664" s="14"/>
      <c r="X664" s="14"/>
    </row>
    <row r="665" ht="15.75" customHeight="1">
      <c r="D665" s="14"/>
      <c r="E665" s="14"/>
      <c r="N665" s="14"/>
      <c r="S665" s="14"/>
      <c r="W665" s="14"/>
      <c r="X665" s="14"/>
    </row>
    <row r="666" ht="15.75" customHeight="1">
      <c r="D666" s="14"/>
      <c r="E666" s="14"/>
      <c r="N666" s="14"/>
      <c r="S666" s="14"/>
      <c r="W666" s="14"/>
      <c r="X666" s="14"/>
    </row>
    <row r="667" ht="15.75" customHeight="1">
      <c r="D667" s="14"/>
      <c r="E667" s="14"/>
      <c r="N667" s="14"/>
      <c r="S667" s="14"/>
      <c r="W667" s="14"/>
      <c r="X667" s="14"/>
    </row>
    <row r="668" ht="15.75" customHeight="1">
      <c r="D668" s="14"/>
      <c r="E668" s="14"/>
      <c r="N668" s="14"/>
      <c r="S668" s="14"/>
      <c r="W668" s="14"/>
      <c r="X668" s="14"/>
    </row>
    <row r="669" ht="15.75" customHeight="1">
      <c r="D669" s="14"/>
      <c r="E669" s="14"/>
      <c r="N669" s="14"/>
      <c r="S669" s="14"/>
      <c r="W669" s="14"/>
      <c r="X669" s="14"/>
    </row>
    <row r="670" ht="15.75" customHeight="1">
      <c r="D670" s="14"/>
      <c r="E670" s="14"/>
      <c r="N670" s="14"/>
      <c r="S670" s="14"/>
      <c r="W670" s="14"/>
      <c r="X670" s="14"/>
    </row>
    <row r="671" ht="15.75" customHeight="1">
      <c r="D671" s="14"/>
      <c r="E671" s="14"/>
      <c r="N671" s="14"/>
      <c r="S671" s="14"/>
      <c r="W671" s="14"/>
      <c r="X671" s="14"/>
    </row>
    <row r="672" ht="15.75" customHeight="1">
      <c r="D672" s="14"/>
      <c r="E672" s="14"/>
      <c r="N672" s="14"/>
      <c r="S672" s="14"/>
      <c r="W672" s="14"/>
      <c r="X672" s="14"/>
    </row>
    <row r="673" ht="15.75" customHeight="1">
      <c r="D673" s="14"/>
      <c r="E673" s="14"/>
      <c r="N673" s="14"/>
      <c r="S673" s="14"/>
      <c r="W673" s="14"/>
      <c r="X673" s="14"/>
    </row>
    <row r="674" ht="15.75" customHeight="1">
      <c r="D674" s="14"/>
      <c r="E674" s="14"/>
      <c r="N674" s="14"/>
      <c r="S674" s="14"/>
      <c r="W674" s="14"/>
      <c r="X674" s="14"/>
    </row>
    <row r="675" ht="15.75" customHeight="1">
      <c r="D675" s="14"/>
      <c r="E675" s="14"/>
      <c r="N675" s="14"/>
      <c r="S675" s="14"/>
      <c r="W675" s="14"/>
      <c r="X675" s="14"/>
    </row>
    <row r="676" ht="15.75" customHeight="1">
      <c r="D676" s="14"/>
      <c r="E676" s="14"/>
      <c r="N676" s="14"/>
      <c r="S676" s="14"/>
      <c r="W676" s="14"/>
      <c r="X676" s="14"/>
    </row>
    <row r="677" ht="15.75" customHeight="1">
      <c r="D677" s="14"/>
      <c r="E677" s="14"/>
      <c r="N677" s="14"/>
      <c r="S677" s="14"/>
      <c r="W677" s="14"/>
      <c r="X677" s="14"/>
    </row>
    <row r="678" ht="15.75" customHeight="1">
      <c r="D678" s="14"/>
      <c r="E678" s="14"/>
      <c r="N678" s="14"/>
      <c r="S678" s="14"/>
      <c r="W678" s="14"/>
      <c r="X678" s="14"/>
    </row>
    <row r="679" ht="15.75" customHeight="1">
      <c r="D679" s="14"/>
      <c r="E679" s="14"/>
      <c r="N679" s="14"/>
      <c r="S679" s="14"/>
      <c r="W679" s="14"/>
      <c r="X679" s="14"/>
    </row>
    <row r="680" ht="15.75" customHeight="1">
      <c r="D680" s="14"/>
      <c r="E680" s="14"/>
      <c r="N680" s="14"/>
      <c r="S680" s="14"/>
      <c r="W680" s="14"/>
      <c r="X680" s="14"/>
    </row>
    <row r="681" ht="15.75" customHeight="1">
      <c r="D681" s="14"/>
      <c r="E681" s="14"/>
      <c r="N681" s="14"/>
      <c r="S681" s="14"/>
      <c r="W681" s="14"/>
      <c r="X681" s="14"/>
    </row>
    <row r="682" ht="15.75" customHeight="1">
      <c r="D682" s="14"/>
      <c r="E682" s="14"/>
      <c r="N682" s="14"/>
      <c r="S682" s="14"/>
      <c r="W682" s="14"/>
      <c r="X682" s="14"/>
    </row>
    <row r="683" ht="15.75" customHeight="1">
      <c r="D683" s="14"/>
      <c r="E683" s="14"/>
      <c r="N683" s="14"/>
      <c r="S683" s="14"/>
      <c r="W683" s="14"/>
      <c r="X683" s="14"/>
    </row>
    <row r="684" ht="15.75" customHeight="1">
      <c r="D684" s="14"/>
      <c r="E684" s="14"/>
      <c r="N684" s="14"/>
      <c r="S684" s="14"/>
      <c r="W684" s="14"/>
      <c r="X684" s="14"/>
    </row>
    <row r="685" ht="15.75" customHeight="1">
      <c r="D685" s="14"/>
      <c r="E685" s="14"/>
      <c r="N685" s="14"/>
      <c r="S685" s="14"/>
      <c r="W685" s="14"/>
      <c r="X685" s="14"/>
    </row>
    <row r="686" ht="15.75" customHeight="1">
      <c r="D686" s="14"/>
      <c r="E686" s="14"/>
      <c r="N686" s="14"/>
      <c r="S686" s="14"/>
      <c r="W686" s="14"/>
      <c r="X686" s="14"/>
    </row>
    <row r="687" ht="15.75" customHeight="1">
      <c r="D687" s="14"/>
      <c r="E687" s="14"/>
      <c r="N687" s="14"/>
      <c r="S687" s="14"/>
      <c r="W687" s="14"/>
      <c r="X687" s="14"/>
    </row>
    <row r="688" ht="15.75" customHeight="1">
      <c r="D688" s="14"/>
      <c r="E688" s="14"/>
      <c r="N688" s="14"/>
      <c r="S688" s="14"/>
      <c r="W688" s="14"/>
      <c r="X688" s="14"/>
    </row>
    <row r="689" ht="15.75" customHeight="1">
      <c r="D689" s="14"/>
      <c r="E689" s="14"/>
      <c r="N689" s="14"/>
      <c r="S689" s="14"/>
      <c r="W689" s="14"/>
      <c r="X689" s="14"/>
    </row>
    <row r="690" ht="15.75" customHeight="1">
      <c r="D690" s="14"/>
      <c r="E690" s="14"/>
      <c r="N690" s="14"/>
      <c r="S690" s="14"/>
      <c r="W690" s="14"/>
      <c r="X690" s="14"/>
    </row>
    <row r="691" ht="15.75" customHeight="1">
      <c r="D691" s="14"/>
      <c r="E691" s="14"/>
      <c r="N691" s="14"/>
      <c r="S691" s="14"/>
      <c r="W691" s="14"/>
      <c r="X691" s="14"/>
    </row>
    <row r="692" ht="15.75" customHeight="1">
      <c r="D692" s="14"/>
      <c r="E692" s="14"/>
      <c r="N692" s="14"/>
      <c r="S692" s="14"/>
      <c r="W692" s="14"/>
      <c r="X692" s="14"/>
    </row>
    <row r="693" ht="15.75" customHeight="1">
      <c r="D693" s="14"/>
      <c r="E693" s="14"/>
      <c r="N693" s="14"/>
      <c r="S693" s="14"/>
      <c r="W693" s="14"/>
      <c r="X693" s="14"/>
    </row>
    <row r="694" ht="15.75" customHeight="1">
      <c r="D694" s="14"/>
      <c r="E694" s="14"/>
      <c r="N694" s="14"/>
      <c r="S694" s="14"/>
      <c r="W694" s="14"/>
      <c r="X694" s="14"/>
    </row>
    <row r="695" ht="15.75" customHeight="1">
      <c r="D695" s="14"/>
      <c r="E695" s="14"/>
      <c r="N695" s="14"/>
      <c r="S695" s="14"/>
      <c r="W695" s="14"/>
      <c r="X695" s="14"/>
    </row>
    <row r="696" ht="15.75" customHeight="1">
      <c r="D696" s="14"/>
      <c r="E696" s="14"/>
      <c r="N696" s="14"/>
      <c r="S696" s="14"/>
      <c r="W696" s="14"/>
      <c r="X696" s="14"/>
    </row>
    <row r="697" ht="15.75" customHeight="1">
      <c r="D697" s="14"/>
      <c r="E697" s="14"/>
      <c r="N697" s="14"/>
      <c r="S697" s="14"/>
      <c r="W697" s="14"/>
      <c r="X697" s="14"/>
    </row>
    <row r="698" ht="15.75" customHeight="1">
      <c r="D698" s="14"/>
      <c r="E698" s="14"/>
      <c r="N698" s="14"/>
      <c r="S698" s="14"/>
      <c r="W698" s="14"/>
      <c r="X698" s="14"/>
    </row>
    <row r="699" ht="15.75" customHeight="1">
      <c r="D699" s="14"/>
      <c r="E699" s="14"/>
      <c r="N699" s="14"/>
      <c r="S699" s="14"/>
      <c r="W699" s="14"/>
      <c r="X699" s="14"/>
    </row>
    <row r="700" ht="15.75" customHeight="1">
      <c r="D700" s="14"/>
      <c r="E700" s="14"/>
      <c r="N700" s="14"/>
      <c r="S700" s="14"/>
      <c r="W700" s="14"/>
      <c r="X700" s="14"/>
    </row>
    <row r="701" ht="15.75" customHeight="1">
      <c r="D701" s="14"/>
      <c r="E701" s="14"/>
      <c r="N701" s="14"/>
      <c r="S701" s="14"/>
      <c r="W701" s="14"/>
      <c r="X701" s="14"/>
    </row>
    <row r="702" ht="15.75" customHeight="1">
      <c r="D702" s="14"/>
      <c r="E702" s="14"/>
      <c r="N702" s="14"/>
      <c r="S702" s="14"/>
      <c r="W702" s="14"/>
      <c r="X702" s="14"/>
    </row>
    <row r="703" ht="15.75" customHeight="1">
      <c r="D703" s="14"/>
      <c r="E703" s="14"/>
      <c r="N703" s="14"/>
      <c r="S703" s="14"/>
      <c r="W703" s="14"/>
      <c r="X703" s="14"/>
    </row>
    <row r="704" ht="15.75" customHeight="1">
      <c r="D704" s="14"/>
      <c r="E704" s="14"/>
      <c r="N704" s="14"/>
      <c r="S704" s="14"/>
      <c r="W704" s="14"/>
      <c r="X704" s="14"/>
    </row>
    <row r="705" ht="15.75" customHeight="1">
      <c r="D705" s="14"/>
      <c r="E705" s="14"/>
      <c r="N705" s="14"/>
      <c r="S705" s="14"/>
      <c r="W705" s="14"/>
      <c r="X705" s="14"/>
    </row>
    <row r="706" ht="15.75" customHeight="1">
      <c r="D706" s="14"/>
      <c r="E706" s="14"/>
      <c r="N706" s="14"/>
      <c r="S706" s="14"/>
      <c r="W706" s="14"/>
      <c r="X706" s="14"/>
    </row>
    <row r="707" ht="15.75" customHeight="1">
      <c r="D707" s="14"/>
      <c r="E707" s="14"/>
      <c r="N707" s="14"/>
      <c r="S707" s="14"/>
      <c r="W707" s="14"/>
      <c r="X707" s="14"/>
    </row>
    <row r="708" ht="15.75" customHeight="1">
      <c r="D708" s="14"/>
      <c r="E708" s="14"/>
      <c r="N708" s="14"/>
      <c r="S708" s="14"/>
      <c r="W708" s="14"/>
      <c r="X708" s="14"/>
    </row>
    <row r="709" ht="15.75" customHeight="1">
      <c r="D709" s="14"/>
      <c r="E709" s="14"/>
      <c r="N709" s="14"/>
      <c r="S709" s="14"/>
      <c r="W709" s="14"/>
      <c r="X709" s="14"/>
    </row>
    <row r="710" ht="15.75" customHeight="1">
      <c r="D710" s="14"/>
      <c r="E710" s="14"/>
      <c r="N710" s="14"/>
      <c r="S710" s="14"/>
      <c r="W710" s="14"/>
      <c r="X710" s="14"/>
    </row>
    <row r="711" ht="15.75" customHeight="1">
      <c r="D711" s="14"/>
      <c r="E711" s="14"/>
      <c r="N711" s="14"/>
      <c r="S711" s="14"/>
      <c r="W711" s="14"/>
      <c r="X711" s="14"/>
    </row>
    <row r="712" ht="15.75" customHeight="1">
      <c r="D712" s="14"/>
      <c r="E712" s="14"/>
      <c r="N712" s="14"/>
      <c r="S712" s="14"/>
      <c r="W712" s="14"/>
      <c r="X712" s="14"/>
    </row>
    <row r="713" ht="15.75" customHeight="1">
      <c r="D713" s="14"/>
      <c r="E713" s="14"/>
      <c r="N713" s="14"/>
      <c r="S713" s="14"/>
      <c r="W713" s="14"/>
      <c r="X713" s="14"/>
    </row>
    <row r="714" ht="15.75" customHeight="1">
      <c r="D714" s="14"/>
      <c r="E714" s="14"/>
      <c r="N714" s="14"/>
      <c r="S714" s="14"/>
      <c r="W714" s="14"/>
      <c r="X714" s="14"/>
    </row>
    <row r="715" ht="15.75" customHeight="1">
      <c r="D715" s="14"/>
      <c r="E715" s="14"/>
      <c r="N715" s="14"/>
      <c r="S715" s="14"/>
      <c r="W715" s="14"/>
      <c r="X715" s="14"/>
    </row>
    <row r="716" ht="15.75" customHeight="1">
      <c r="D716" s="14"/>
      <c r="E716" s="14"/>
      <c r="N716" s="14"/>
      <c r="S716" s="14"/>
      <c r="W716" s="14"/>
      <c r="X716" s="14"/>
    </row>
    <row r="717" ht="15.75" customHeight="1">
      <c r="D717" s="14"/>
      <c r="E717" s="14"/>
      <c r="N717" s="14"/>
      <c r="S717" s="14"/>
      <c r="W717" s="14"/>
      <c r="X717" s="14"/>
    </row>
    <row r="718" ht="15.75" customHeight="1">
      <c r="D718" s="14"/>
      <c r="E718" s="14"/>
      <c r="N718" s="14"/>
      <c r="S718" s="14"/>
      <c r="W718" s="14"/>
      <c r="X718" s="14"/>
    </row>
    <row r="719" ht="15.75" customHeight="1">
      <c r="D719" s="14"/>
      <c r="E719" s="14"/>
      <c r="N719" s="14"/>
      <c r="S719" s="14"/>
      <c r="W719" s="14"/>
      <c r="X719" s="14"/>
    </row>
    <row r="720" ht="15.75" customHeight="1">
      <c r="D720" s="14"/>
      <c r="E720" s="14"/>
      <c r="N720" s="14"/>
      <c r="S720" s="14"/>
      <c r="W720" s="14"/>
      <c r="X720" s="14"/>
    </row>
    <row r="721" ht="15.75" customHeight="1">
      <c r="D721" s="14"/>
      <c r="E721" s="14"/>
      <c r="N721" s="14"/>
      <c r="S721" s="14"/>
      <c r="W721" s="14"/>
      <c r="X721" s="14"/>
    </row>
    <row r="722" ht="15.75" customHeight="1">
      <c r="D722" s="14"/>
      <c r="E722" s="14"/>
      <c r="N722" s="14"/>
      <c r="S722" s="14"/>
      <c r="W722" s="14"/>
      <c r="X722" s="14"/>
    </row>
    <row r="723" ht="15.75" customHeight="1">
      <c r="D723" s="14"/>
      <c r="E723" s="14"/>
      <c r="N723" s="14"/>
      <c r="S723" s="14"/>
      <c r="W723" s="14"/>
      <c r="X723" s="14"/>
    </row>
    <row r="724" ht="15.75" customHeight="1">
      <c r="D724" s="14"/>
      <c r="E724" s="14"/>
      <c r="N724" s="14"/>
      <c r="S724" s="14"/>
      <c r="W724" s="14"/>
      <c r="X724" s="14"/>
    </row>
    <row r="725" ht="15.75" customHeight="1">
      <c r="D725" s="14"/>
      <c r="E725" s="14"/>
      <c r="N725" s="14"/>
      <c r="S725" s="14"/>
      <c r="W725" s="14"/>
      <c r="X725" s="14"/>
    </row>
    <row r="726" ht="15.75" customHeight="1">
      <c r="D726" s="14"/>
      <c r="E726" s="14"/>
      <c r="N726" s="14"/>
      <c r="S726" s="14"/>
      <c r="W726" s="14"/>
      <c r="X726" s="14"/>
    </row>
    <row r="727" ht="15.75" customHeight="1">
      <c r="D727" s="14"/>
      <c r="E727" s="14"/>
      <c r="N727" s="14"/>
      <c r="S727" s="14"/>
      <c r="W727" s="14"/>
      <c r="X727" s="14"/>
    </row>
    <row r="728" ht="15.75" customHeight="1">
      <c r="D728" s="14"/>
      <c r="E728" s="14"/>
      <c r="N728" s="14"/>
      <c r="S728" s="14"/>
      <c r="W728" s="14"/>
      <c r="X728" s="14"/>
    </row>
    <row r="729" ht="15.75" customHeight="1">
      <c r="D729" s="14"/>
      <c r="E729" s="14"/>
      <c r="N729" s="14"/>
      <c r="S729" s="14"/>
      <c r="W729" s="14"/>
      <c r="X729" s="14"/>
    </row>
    <row r="730" ht="15.75" customHeight="1">
      <c r="D730" s="14"/>
      <c r="E730" s="14"/>
      <c r="N730" s="14"/>
      <c r="S730" s="14"/>
      <c r="W730" s="14"/>
      <c r="X730" s="14"/>
    </row>
    <row r="731" ht="15.75" customHeight="1">
      <c r="D731" s="14"/>
      <c r="E731" s="14"/>
      <c r="N731" s="14"/>
      <c r="S731" s="14"/>
      <c r="W731" s="14"/>
      <c r="X731" s="14"/>
    </row>
    <row r="732" ht="15.75" customHeight="1">
      <c r="D732" s="14"/>
      <c r="E732" s="14"/>
      <c r="N732" s="14"/>
      <c r="S732" s="14"/>
      <c r="W732" s="14"/>
      <c r="X732" s="14"/>
    </row>
    <row r="733" ht="15.75" customHeight="1">
      <c r="D733" s="14"/>
      <c r="E733" s="14"/>
      <c r="N733" s="14"/>
      <c r="S733" s="14"/>
      <c r="W733" s="14"/>
      <c r="X733" s="14"/>
    </row>
    <row r="734" ht="15.75" customHeight="1">
      <c r="D734" s="14"/>
      <c r="E734" s="14"/>
      <c r="N734" s="14"/>
      <c r="S734" s="14"/>
      <c r="W734" s="14"/>
      <c r="X734" s="14"/>
    </row>
    <row r="735" ht="15.75" customHeight="1">
      <c r="D735" s="14"/>
      <c r="E735" s="14"/>
      <c r="N735" s="14"/>
      <c r="S735" s="14"/>
      <c r="W735" s="14"/>
      <c r="X735" s="14"/>
    </row>
    <row r="736" ht="15.75" customHeight="1">
      <c r="D736" s="14"/>
      <c r="E736" s="14"/>
      <c r="N736" s="14"/>
      <c r="S736" s="14"/>
      <c r="W736" s="14"/>
      <c r="X736" s="14"/>
    </row>
    <row r="737" ht="15.75" customHeight="1">
      <c r="D737" s="14"/>
      <c r="E737" s="14"/>
      <c r="N737" s="14"/>
      <c r="S737" s="14"/>
      <c r="W737" s="14"/>
      <c r="X737" s="14"/>
    </row>
    <row r="738" ht="15.75" customHeight="1">
      <c r="D738" s="14"/>
      <c r="E738" s="14"/>
      <c r="N738" s="14"/>
      <c r="S738" s="14"/>
      <c r="W738" s="14"/>
      <c r="X738" s="14"/>
    </row>
    <row r="739" ht="15.75" customHeight="1">
      <c r="D739" s="14"/>
      <c r="E739" s="14"/>
      <c r="N739" s="14"/>
      <c r="S739" s="14"/>
      <c r="W739" s="14"/>
      <c r="X739" s="14"/>
    </row>
    <row r="740" ht="15.75" customHeight="1">
      <c r="D740" s="14"/>
      <c r="E740" s="14"/>
      <c r="N740" s="14"/>
      <c r="S740" s="14"/>
      <c r="W740" s="14"/>
      <c r="X740" s="14"/>
    </row>
    <row r="741" ht="15.75" customHeight="1">
      <c r="D741" s="14"/>
      <c r="E741" s="14"/>
      <c r="N741" s="14"/>
      <c r="S741" s="14"/>
      <c r="W741" s="14"/>
      <c r="X741" s="14"/>
    </row>
    <row r="742" ht="15.75" customHeight="1">
      <c r="D742" s="14"/>
      <c r="E742" s="14"/>
      <c r="N742" s="14"/>
      <c r="S742" s="14"/>
      <c r="W742" s="14"/>
      <c r="X742" s="14"/>
    </row>
    <row r="743" ht="15.75" customHeight="1">
      <c r="D743" s="14"/>
      <c r="E743" s="14"/>
      <c r="N743" s="14"/>
      <c r="S743" s="14"/>
      <c r="W743" s="14"/>
      <c r="X743" s="14"/>
    </row>
    <row r="744" ht="15.75" customHeight="1">
      <c r="D744" s="14"/>
      <c r="E744" s="14"/>
      <c r="N744" s="14"/>
      <c r="S744" s="14"/>
      <c r="W744" s="14"/>
      <c r="X744" s="14"/>
    </row>
    <row r="745" ht="15.75" customHeight="1">
      <c r="D745" s="14"/>
      <c r="E745" s="14"/>
      <c r="N745" s="14"/>
      <c r="S745" s="14"/>
      <c r="W745" s="14"/>
      <c r="X745" s="14"/>
    </row>
    <row r="746" ht="15.75" customHeight="1">
      <c r="D746" s="14"/>
      <c r="E746" s="14"/>
      <c r="N746" s="14"/>
      <c r="S746" s="14"/>
      <c r="W746" s="14"/>
      <c r="X746" s="14"/>
    </row>
    <row r="747" ht="15.75" customHeight="1">
      <c r="D747" s="14"/>
      <c r="E747" s="14"/>
      <c r="N747" s="14"/>
      <c r="S747" s="14"/>
      <c r="W747" s="14"/>
      <c r="X747" s="14"/>
    </row>
    <row r="748" ht="15.75" customHeight="1">
      <c r="D748" s="14"/>
      <c r="E748" s="14"/>
      <c r="N748" s="14"/>
      <c r="S748" s="14"/>
      <c r="W748" s="14"/>
      <c r="X748" s="14"/>
    </row>
    <row r="749" ht="15.75" customHeight="1">
      <c r="D749" s="14"/>
      <c r="E749" s="14"/>
      <c r="N749" s="14"/>
      <c r="S749" s="14"/>
      <c r="W749" s="14"/>
      <c r="X749" s="14"/>
    </row>
    <row r="750" ht="15.75" customHeight="1">
      <c r="D750" s="14"/>
      <c r="E750" s="14"/>
      <c r="N750" s="14"/>
      <c r="S750" s="14"/>
      <c r="W750" s="14"/>
      <c r="X750" s="14"/>
    </row>
    <row r="751" ht="15.75" customHeight="1">
      <c r="D751" s="14"/>
      <c r="E751" s="14"/>
      <c r="N751" s="14"/>
      <c r="S751" s="14"/>
      <c r="W751" s="14"/>
      <c r="X751" s="14"/>
    </row>
    <row r="752" ht="15.75" customHeight="1">
      <c r="D752" s="14"/>
      <c r="E752" s="14"/>
      <c r="N752" s="14"/>
      <c r="S752" s="14"/>
      <c r="W752" s="14"/>
      <c r="X752" s="14"/>
    </row>
    <row r="753" ht="15.75" customHeight="1">
      <c r="D753" s="14"/>
      <c r="E753" s="14"/>
      <c r="N753" s="14"/>
      <c r="S753" s="14"/>
      <c r="W753" s="14"/>
      <c r="X753" s="14"/>
    </row>
    <row r="754" ht="15.75" customHeight="1">
      <c r="D754" s="14"/>
      <c r="E754" s="14"/>
      <c r="N754" s="14"/>
      <c r="S754" s="14"/>
      <c r="W754" s="14"/>
      <c r="X754" s="14"/>
    </row>
    <row r="755" ht="15.75" customHeight="1">
      <c r="D755" s="14"/>
      <c r="E755" s="14"/>
      <c r="N755" s="14"/>
      <c r="S755" s="14"/>
      <c r="W755" s="14"/>
      <c r="X755" s="14"/>
    </row>
    <row r="756" ht="15.75" customHeight="1">
      <c r="D756" s="14"/>
      <c r="E756" s="14"/>
      <c r="N756" s="14"/>
      <c r="S756" s="14"/>
      <c r="W756" s="14"/>
      <c r="X756" s="14"/>
    </row>
    <row r="757" ht="15.75" customHeight="1">
      <c r="D757" s="14"/>
      <c r="E757" s="14"/>
      <c r="N757" s="14"/>
      <c r="S757" s="14"/>
      <c r="W757" s="14"/>
      <c r="X757" s="14"/>
    </row>
    <row r="758" ht="15.75" customHeight="1">
      <c r="D758" s="14"/>
      <c r="E758" s="14"/>
      <c r="N758" s="14"/>
      <c r="S758" s="14"/>
      <c r="W758" s="14"/>
      <c r="X758" s="14"/>
    </row>
    <row r="759" ht="15.75" customHeight="1">
      <c r="D759" s="14"/>
      <c r="E759" s="14"/>
      <c r="N759" s="14"/>
      <c r="S759" s="14"/>
      <c r="W759" s="14"/>
      <c r="X759" s="14"/>
    </row>
    <row r="760" ht="15.75" customHeight="1">
      <c r="D760" s="14"/>
      <c r="E760" s="14"/>
      <c r="N760" s="14"/>
      <c r="S760" s="14"/>
      <c r="W760" s="14"/>
      <c r="X760" s="14"/>
    </row>
    <row r="761" ht="15.75" customHeight="1">
      <c r="D761" s="14"/>
      <c r="E761" s="14"/>
      <c r="N761" s="14"/>
      <c r="S761" s="14"/>
      <c r="W761" s="14"/>
      <c r="X761" s="14"/>
    </row>
    <row r="762" ht="15.75" customHeight="1">
      <c r="D762" s="14"/>
      <c r="E762" s="14"/>
      <c r="N762" s="14"/>
      <c r="S762" s="14"/>
      <c r="W762" s="14"/>
      <c r="X762" s="14"/>
    </row>
    <row r="763" ht="15.75" customHeight="1">
      <c r="D763" s="14"/>
      <c r="E763" s="14"/>
      <c r="N763" s="14"/>
      <c r="S763" s="14"/>
      <c r="W763" s="14"/>
      <c r="X763" s="14"/>
    </row>
    <row r="764" ht="15.75" customHeight="1">
      <c r="D764" s="14"/>
      <c r="E764" s="14"/>
      <c r="N764" s="14"/>
      <c r="S764" s="14"/>
      <c r="W764" s="14"/>
      <c r="X764" s="14"/>
    </row>
    <row r="765" ht="15.75" customHeight="1">
      <c r="D765" s="14"/>
      <c r="E765" s="14"/>
      <c r="N765" s="14"/>
      <c r="S765" s="14"/>
      <c r="W765" s="14"/>
      <c r="X765" s="14"/>
    </row>
    <row r="766" ht="15.75" customHeight="1">
      <c r="D766" s="14"/>
      <c r="E766" s="14"/>
      <c r="N766" s="14"/>
      <c r="S766" s="14"/>
      <c r="W766" s="14"/>
      <c r="X766" s="14"/>
    </row>
    <row r="767" ht="15.75" customHeight="1">
      <c r="D767" s="14"/>
      <c r="E767" s="14"/>
      <c r="N767" s="14"/>
      <c r="S767" s="14"/>
      <c r="W767" s="14"/>
      <c r="X767" s="14"/>
    </row>
    <row r="768" ht="15.75" customHeight="1">
      <c r="D768" s="14"/>
      <c r="E768" s="14"/>
      <c r="N768" s="14"/>
      <c r="S768" s="14"/>
      <c r="W768" s="14"/>
      <c r="X768" s="14"/>
    </row>
    <row r="769" ht="15.75" customHeight="1">
      <c r="D769" s="14"/>
      <c r="E769" s="14"/>
      <c r="N769" s="14"/>
      <c r="S769" s="14"/>
      <c r="W769" s="14"/>
      <c r="X769" s="14"/>
    </row>
    <row r="770" ht="15.75" customHeight="1">
      <c r="D770" s="14"/>
      <c r="E770" s="14"/>
      <c r="N770" s="14"/>
      <c r="S770" s="14"/>
      <c r="W770" s="14"/>
      <c r="X770" s="14"/>
    </row>
    <row r="771" ht="15.75" customHeight="1">
      <c r="D771" s="14"/>
      <c r="E771" s="14"/>
      <c r="N771" s="14"/>
      <c r="S771" s="14"/>
      <c r="W771" s="14"/>
      <c r="X771" s="14"/>
    </row>
    <row r="772" ht="15.75" customHeight="1">
      <c r="D772" s="14"/>
      <c r="E772" s="14"/>
      <c r="N772" s="14"/>
      <c r="S772" s="14"/>
      <c r="W772" s="14"/>
      <c r="X772" s="14"/>
    </row>
    <row r="773" ht="15.75" customHeight="1">
      <c r="D773" s="14"/>
      <c r="E773" s="14"/>
      <c r="N773" s="14"/>
      <c r="S773" s="14"/>
      <c r="W773" s="14"/>
      <c r="X773" s="14"/>
    </row>
    <row r="774" ht="15.75" customHeight="1">
      <c r="D774" s="14"/>
      <c r="E774" s="14"/>
      <c r="N774" s="14"/>
      <c r="S774" s="14"/>
      <c r="W774" s="14"/>
      <c r="X774" s="14"/>
    </row>
    <row r="775" ht="15.75" customHeight="1">
      <c r="D775" s="14"/>
      <c r="E775" s="14"/>
      <c r="N775" s="14"/>
      <c r="S775" s="14"/>
      <c r="W775" s="14"/>
      <c r="X775" s="14"/>
    </row>
    <row r="776" ht="15.75" customHeight="1">
      <c r="D776" s="14"/>
      <c r="E776" s="14"/>
      <c r="N776" s="14"/>
      <c r="S776" s="14"/>
      <c r="W776" s="14"/>
      <c r="X776" s="14"/>
    </row>
    <row r="777" ht="15.75" customHeight="1">
      <c r="D777" s="14"/>
      <c r="E777" s="14"/>
      <c r="N777" s="14"/>
      <c r="S777" s="14"/>
      <c r="W777" s="14"/>
      <c r="X777" s="14"/>
    </row>
    <row r="778" ht="15.75" customHeight="1">
      <c r="D778" s="14"/>
      <c r="E778" s="14"/>
      <c r="N778" s="14"/>
      <c r="S778" s="14"/>
      <c r="W778" s="14"/>
      <c r="X778" s="14"/>
    </row>
    <row r="779" ht="15.75" customHeight="1">
      <c r="D779" s="14"/>
      <c r="E779" s="14"/>
      <c r="N779" s="14"/>
      <c r="S779" s="14"/>
      <c r="W779" s="14"/>
      <c r="X779" s="14"/>
    </row>
    <row r="780" ht="15.75" customHeight="1">
      <c r="D780" s="14"/>
      <c r="E780" s="14"/>
      <c r="N780" s="14"/>
      <c r="S780" s="14"/>
      <c r="W780" s="14"/>
      <c r="X780" s="14"/>
    </row>
    <row r="781" ht="15.75" customHeight="1">
      <c r="D781" s="14"/>
      <c r="E781" s="14"/>
      <c r="N781" s="14"/>
      <c r="S781" s="14"/>
      <c r="W781" s="14"/>
      <c r="X781" s="14"/>
    </row>
    <row r="782" ht="15.75" customHeight="1">
      <c r="D782" s="14"/>
      <c r="E782" s="14"/>
      <c r="N782" s="14"/>
      <c r="S782" s="14"/>
      <c r="W782" s="14"/>
      <c r="X782" s="14"/>
    </row>
    <row r="783" ht="15.75" customHeight="1">
      <c r="D783" s="14"/>
      <c r="E783" s="14"/>
      <c r="N783" s="14"/>
      <c r="S783" s="14"/>
      <c r="W783" s="14"/>
      <c r="X783" s="14"/>
    </row>
    <row r="784" ht="15.75" customHeight="1">
      <c r="D784" s="14"/>
      <c r="E784" s="14"/>
      <c r="N784" s="14"/>
      <c r="S784" s="14"/>
      <c r="W784" s="14"/>
      <c r="X784" s="14"/>
    </row>
    <row r="785" ht="15.75" customHeight="1">
      <c r="D785" s="14"/>
      <c r="E785" s="14"/>
      <c r="N785" s="14"/>
      <c r="S785" s="14"/>
      <c r="W785" s="14"/>
      <c r="X785" s="14"/>
    </row>
    <row r="786" ht="15.75" customHeight="1">
      <c r="D786" s="14"/>
      <c r="E786" s="14"/>
      <c r="N786" s="14"/>
      <c r="S786" s="14"/>
      <c r="W786" s="14"/>
      <c r="X786" s="14"/>
    </row>
    <row r="787" ht="15.75" customHeight="1">
      <c r="D787" s="14"/>
      <c r="E787" s="14"/>
      <c r="N787" s="14"/>
      <c r="S787" s="14"/>
      <c r="W787" s="14"/>
      <c r="X787" s="14"/>
    </row>
    <row r="788" ht="15.75" customHeight="1">
      <c r="D788" s="14"/>
      <c r="E788" s="14"/>
      <c r="N788" s="14"/>
      <c r="S788" s="14"/>
      <c r="W788" s="14"/>
      <c r="X788" s="14"/>
    </row>
    <row r="789" ht="15.75" customHeight="1">
      <c r="D789" s="14"/>
      <c r="E789" s="14"/>
      <c r="N789" s="14"/>
      <c r="S789" s="14"/>
      <c r="W789" s="14"/>
      <c r="X789" s="14"/>
    </row>
    <row r="790" ht="15.75" customHeight="1">
      <c r="D790" s="14"/>
      <c r="E790" s="14"/>
      <c r="N790" s="14"/>
      <c r="S790" s="14"/>
      <c r="W790" s="14"/>
      <c r="X790" s="14"/>
    </row>
    <row r="791" ht="15.75" customHeight="1">
      <c r="D791" s="14"/>
      <c r="E791" s="14"/>
      <c r="N791" s="14"/>
      <c r="S791" s="14"/>
      <c r="W791" s="14"/>
      <c r="X791" s="14"/>
    </row>
    <row r="792" ht="15.75" customHeight="1">
      <c r="D792" s="14"/>
      <c r="E792" s="14"/>
      <c r="N792" s="14"/>
      <c r="S792" s="14"/>
      <c r="W792" s="14"/>
      <c r="X792" s="14"/>
    </row>
    <row r="793" ht="15.75" customHeight="1">
      <c r="D793" s="14"/>
      <c r="E793" s="14"/>
      <c r="N793" s="14"/>
      <c r="S793" s="14"/>
      <c r="W793" s="14"/>
      <c r="X793" s="14"/>
    </row>
    <row r="794" ht="15.75" customHeight="1">
      <c r="D794" s="14"/>
      <c r="E794" s="14"/>
      <c r="N794" s="14"/>
      <c r="S794" s="14"/>
      <c r="W794" s="14"/>
      <c r="X794" s="14"/>
    </row>
    <row r="795" ht="15.75" customHeight="1">
      <c r="D795" s="14"/>
      <c r="E795" s="14"/>
      <c r="N795" s="14"/>
      <c r="S795" s="14"/>
      <c r="W795" s="14"/>
      <c r="X795" s="14"/>
    </row>
    <row r="796" ht="15.75" customHeight="1">
      <c r="D796" s="14"/>
      <c r="E796" s="14"/>
      <c r="N796" s="14"/>
      <c r="S796" s="14"/>
      <c r="W796" s="14"/>
      <c r="X796" s="14"/>
    </row>
    <row r="797" ht="15.75" customHeight="1">
      <c r="D797" s="14"/>
      <c r="E797" s="14"/>
      <c r="N797" s="14"/>
      <c r="S797" s="14"/>
      <c r="W797" s="14"/>
      <c r="X797" s="14"/>
    </row>
    <row r="798" ht="15.75" customHeight="1">
      <c r="D798" s="14"/>
      <c r="E798" s="14"/>
      <c r="N798" s="14"/>
      <c r="S798" s="14"/>
      <c r="W798" s="14"/>
      <c r="X798" s="14"/>
    </row>
    <row r="799" ht="15.75" customHeight="1">
      <c r="D799" s="14"/>
      <c r="E799" s="14"/>
      <c r="N799" s="14"/>
      <c r="S799" s="14"/>
      <c r="W799" s="14"/>
      <c r="X799" s="14"/>
    </row>
    <row r="800" ht="15.75" customHeight="1">
      <c r="D800" s="14"/>
      <c r="E800" s="14"/>
      <c r="N800" s="14"/>
      <c r="S800" s="14"/>
      <c r="W800" s="14"/>
      <c r="X800" s="14"/>
    </row>
    <row r="801" ht="15.75" customHeight="1">
      <c r="D801" s="14"/>
      <c r="E801" s="14"/>
      <c r="N801" s="14"/>
      <c r="S801" s="14"/>
      <c r="W801" s="14"/>
      <c r="X801" s="14"/>
    </row>
    <row r="802" ht="15.75" customHeight="1">
      <c r="D802" s="14"/>
      <c r="E802" s="14"/>
      <c r="N802" s="14"/>
      <c r="S802" s="14"/>
      <c r="W802" s="14"/>
      <c r="X802" s="14"/>
    </row>
    <row r="803" ht="15.75" customHeight="1">
      <c r="D803" s="14"/>
      <c r="E803" s="14"/>
      <c r="N803" s="14"/>
      <c r="S803" s="14"/>
      <c r="W803" s="14"/>
      <c r="X803" s="14"/>
    </row>
    <row r="804" ht="15.75" customHeight="1">
      <c r="D804" s="14"/>
      <c r="E804" s="14"/>
      <c r="N804" s="14"/>
      <c r="S804" s="14"/>
      <c r="W804" s="14"/>
      <c r="X804" s="14"/>
    </row>
    <row r="805" ht="15.75" customHeight="1">
      <c r="D805" s="14"/>
      <c r="E805" s="14"/>
      <c r="N805" s="14"/>
      <c r="S805" s="14"/>
      <c r="W805" s="14"/>
      <c r="X805" s="14"/>
    </row>
    <row r="806" ht="15.75" customHeight="1">
      <c r="D806" s="14"/>
      <c r="E806" s="14"/>
      <c r="N806" s="14"/>
      <c r="S806" s="14"/>
      <c r="W806" s="14"/>
      <c r="X806" s="14"/>
    </row>
    <row r="807" ht="15.75" customHeight="1">
      <c r="D807" s="14"/>
      <c r="E807" s="14"/>
      <c r="N807" s="14"/>
      <c r="S807" s="14"/>
      <c r="W807" s="14"/>
      <c r="X807" s="14"/>
    </row>
    <row r="808" ht="15.75" customHeight="1">
      <c r="D808" s="14"/>
      <c r="E808" s="14"/>
      <c r="N808" s="14"/>
      <c r="S808" s="14"/>
      <c r="W808" s="14"/>
      <c r="X808" s="14"/>
    </row>
    <row r="809" ht="15.75" customHeight="1">
      <c r="D809" s="14"/>
      <c r="E809" s="14"/>
      <c r="N809" s="14"/>
      <c r="S809" s="14"/>
      <c r="W809" s="14"/>
      <c r="X809" s="14"/>
    </row>
    <row r="810" ht="15.75" customHeight="1">
      <c r="D810" s="14"/>
      <c r="E810" s="14"/>
      <c r="N810" s="14"/>
      <c r="S810" s="14"/>
      <c r="W810" s="14"/>
      <c r="X810" s="14"/>
    </row>
    <row r="811" ht="15.75" customHeight="1">
      <c r="D811" s="14"/>
      <c r="E811" s="14"/>
      <c r="N811" s="14"/>
      <c r="S811" s="14"/>
      <c r="W811" s="14"/>
      <c r="X811" s="14"/>
    </row>
    <row r="812" ht="15.75" customHeight="1">
      <c r="D812" s="14"/>
      <c r="E812" s="14"/>
      <c r="N812" s="14"/>
      <c r="S812" s="14"/>
      <c r="W812" s="14"/>
      <c r="X812" s="14"/>
    </row>
    <row r="813" ht="15.75" customHeight="1">
      <c r="D813" s="14"/>
      <c r="E813" s="14"/>
      <c r="N813" s="14"/>
      <c r="S813" s="14"/>
      <c r="W813" s="14"/>
      <c r="X813" s="14"/>
    </row>
    <row r="814" ht="15.75" customHeight="1">
      <c r="D814" s="14"/>
      <c r="E814" s="14"/>
      <c r="N814" s="14"/>
      <c r="S814" s="14"/>
      <c r="W814" s="14"/>
      <c r="X814" s="14"/>
    </row>
    <row r="815" ht="15.75" customHeight="1">
      <c r="D815" s="14"/>
      <c r="E815" s="14"/>
      <c r="N815" s="14"/>
      <c r="S815" s="14"/>
      <c r="W815" s="14"/>
      <c r="X815" s="14"/>
    </row>
    <row r="816" ht="15.75" customHeight="1">
      <c r="D816" s="14"/>
      <c r="E816" s="14"/>
      <c r="N816" s="14"/>
      <c r="S816" s="14"/>
      <c r="W816" s="14"/>
      <c r="X816" s="14"/>
    </row>
    <row r="817" ht="15.75" customHeight="1">
      <c r="D817" s="14"/>
      <c r="E817" s="14"/>
      <c r="N817" s="14"/>
      <c r="S817" s="14"/>
      <c r="W817" s="14"/>
      <c r="X817" s="14"/>
    </row>
    <row r="818" ht="15.75" customHeight="1">
      <c r="D818" s="14"/>
      <c r="E818" s="14"/>
      <c r="N818" s="14"/>
      <c r="S818" s="14"/>
      <c r="W818" s="14"/>
      <c r="X818" s="14"/>
    </row>
    <row r="819" ht="15.75" customHeight="1">
      <c r="D819" s="14"/>
      <c r="E819" s="14"/>
      <c r="N819" s="14"/>
      <c r="S819" s="14"/>
      <c r="W819" s="14"/>
      <c r="X819" s="14"/>
    </row>
    <row r="820" ht="15.75" customHeight="1">
      <c r="D820" s="14"/>
      <c r="E820" s="14"/>
      <c r="N820" s="14"/>
      <c r="S820" s="14"/>
      <c r="W820" s="14"/>
      <c r="X820" s="14"/>
    </row>
    <row r="821" ht="15.75" customHeight="1">
      <c r="D821" s="14"/>
      <c r="E821" s="14"/>
      <c r="N821" s="14"/>
      <c r="S821" s="14"/>
      <c r="W821" s="14"/>
      <c r="X821" s="14"/>
    </row>
    <row r="822" ht="15.75" customHeight="1">
      <c r="D822" s="14"/>
      <c r="E822" s="14"/>
      <c r="N822" s="14"/>
      <c r="S822" s="14"/>
      <c r="W822" s="14"/>
      <c r="X822" s="14"/>
    </row>
    <row r="823" ht="15.75" customHeight="1">
      <c r="D823" s="14"/>
      <c r="E823" s="14"/>
      <c r="N823" s="14"/>
      <c r="S823" s="14"/>
      <c r="W823" s="14"/>
      <c r="X823" s="14"/>
    </row>
    <row r="824" ht="15.75" customHeight="1">
      <c r="D824" s="14"/>
      <c r="E824" s="14"/>
      <c r="N824" s="14"/>
      <c r="S824" s="14"/>
      <c r="W824" s="14"/>
      <c r="X824" s="14"/>
    </row>
    <row r="825" ht="15.75" customHeight="1">
      <c r="D825" s="14"/>
      <c r="E825" s="14"/>
      <c r="N825" s="14"/>
      <c r="S825" s="14"/>
      <c r="W825" s="14"/>
      <c r="X825" s="14"/>
    </row>
    <row r="826" ht="15.75" customHeight="1">
      <c r="D826" s="14"/>
      <c r="E826" s="14"/>
      <c r="N826" s="14"/>
      <c r="S826" s="14"/>
      <c r="W826" s="14"/>
      <c r="X826" s="14"/>
    </row>
    <row r="827" ht="15.75" customHeight="1">
      <c r="D827" s="14"/>
      <c r="E827" s="14"/>
      <c r="N827" s="14"/>
      <c r="S827" s="14"/>
      <c r="W827" s="14"/>
      <c r="X827" s="14"/>
    </row>
    <row r="828" ht="15.75" customHeight="1">
      <c r="D828" s="14"/>
      <c r="E828" s="14"/>
      <c r="N828" s="14"/>
      <c r="S828" s="14"/>
      <c r="W828" s="14"/>
      <c r="X828" s="14"/>
    </row>
    <row r="829" ht="15.75" customHeight="1">
      <c r="D829" s="14"/>
      <c r="E829" s="14"/>
      <c r="N829" s="14"/>
      <c r="S829" s="14"/>
      <c r="W829" s="14"/>
      <c r="X829" s="14"/>
    </row>
    <row r="830" ht="15.75" customHeight="1">
      <c r="D830" s="14"/>
      <c r="E830" s="14"/>
      <c r="N830" s="14"/>
      <c r="S830" s="14"/>
      <c r="W830" s="14"/>
      <c r="X830" s="14"/>
    </row>
    <row r="831" ht="15.75" customHeight="1">
      <c r="D831" s="14"/>
      <c r="E831" s="14"/>
      <c r="N831" s="14"/>
      <c r="S831" s="14"/>
      <c r="W831" s="14"/>
      <c r="X831" s="14"/>
    </row>
    <row r="832" ht="15.75" customHeight="1">
      <c r="D832" s="14"/>
      <c r="E832" s="14"/>
      <c r="N832" s="14"/>
      <c r="S832" s="14"/>
      <c r="W832" s="14"/>
      <c r="X832" s="14"/>
    </row>
    <row r="833" ht="15.75" customHeight="1">
      <c r="D833" s="14"/>
      <c r="E833" s="14"/>
      <c r="N833" s="14"/>
      <c r="S833" s="14"/>
      <c r="W833" s="14"/>
      <c r="X833" s="14"/>
    </row>
    <row r="834" ht="15.75" customHeight="1">
      <c r="D834" s="14"/>
      <c r="E834" s="14"/>
      <c r="N834" s="14"/>
      <c r="S834" s="14"/>
      <c r="W834" s="14"/>
      <c r="X834" s="14"/>
    </row>
    <row r="835" ht="15.75" customHeight="1">
      <c r="D835" s="14"/>
      <c r="E835" s="14"/>
      <c r="N835" s="14"/>
      <c r="S835" s="14"/>
      <c r="W835" s="14"/>
      <c r="X835" s="14"/>
    </row>
    <row r="836" ht="15.75" customHeight="1">
      <c r="D836" s="14"/>
      <c r="E836" s="14"/>
      <c r="N836" s="14"/>
      <c r="S836" s="14"/>
      <c r="W836" s="14"/>
      <c r="X836" s="14"/>
    </row>
    <row r="837" ht="15.75" customHeight="1">
      <c r="D837" s="14"/>
      <c r="E837" s="14"/>
      <c r="N837" s="14"/>
      <c r="S837" s="14"/>
      <c r="W837" s="14"/>
      <c r="X837" s="14"/>
    </row>
    <row r="838" ht="15.75" customHeight="1">
      <c r="D838" s="14"/>
      <c r="E838" s="14"/>
      <c r="N838" s="14"/>
      <c r="S838" s="14"/>
      <c r="W838" s="14"/>
      <c r="X838" s="14"/>
    </row>
    <row r="839" ht="15.75" customHeight="1">
      <c r="D839" s="14"/>
      <c r="E839" s="14"/>
      <c r="N839" s="14"/>
      <c r="S839" s="14"/>
      <c r="W839" s="14"/>
      <c r="X839" s="14"/>
    </row>
    <row r="840" ht="15.75" customHeight="1">
      <c r="D840" s="14"/>
      <c r="E840" s="14"/>
      <c r="N840" s="14"/>
      <c r="S840" s="14"/>
      <c r="W840" s="14"/>
      <c r="X840" s="14"/>
    </row>
    <row r="841" ht="15.75" customHeight="1">
      <c r="D841" s="14"/>
      <c r="E841" s="14"/>
      <c r="N841" s="14"/>
      <c r="S841" s="14"/>
      <c r="W841" s="14"/>
      <c r="X841" s="14"/>
    </row>
    <row r="842" ht="15.75" customHeight="1">
      <c r="D842" s="14"/>
      <c r="E842" s="14"/>
      <c r="N842" s="14"/>
      <c r="S842" s="14"/>
      <c r="W842" s="14"/>
      <c r="X842" s="14"/>
    </row>
    <row r="843" ht="15.75" customHeight="1">
      <c r="D843" s="14"/>
      <c r="E843" s="14"/>
      <c r="N843" s="14"/>
      <c r="S843" s="14"/>
      <c r="W843" s="14"/>
      <c r="X843" s="14"/>
    </row>
    <row r="844" ht="15.75" customHeight="1">
      <c r="D844" s="14"/>
      <c r="E844" s="14"/>
      <c r="N844" s="14"/>
      <c r="S844" s="14"/>
      <c r="W844" s="14"/>
      <c r="X844" s="14"/>
    </row>
    <row r="845" ht="15.75" customHeight="1">
      <c r="D845" s="14"/>
      <c r="E845" s="14"/>
      <c r="N845" s="14"/>
      <c r="S845" s="14"/>
      <c r="W845" s="14"/>
      <c r="X845" s="14"/>
    </row>
    <row r="846" ht="15.75" customHeight="1">
      <c r="D846" s="14"/>
      <c r="E846" s="14"/>
      <c r="N846" s="14"/>
      <c r="S846" s="14"/>
      <c r="W846" s="14"/>
      <c r="X846" s="14"/>
    </row>
    <row r="847" ht="15.75" customHeight="1">
      <c r="D847" s="14"/>
      <c r="E847" s="14"/>
      <c r="N847" s="14"/>
      <c r="S847" s="14"/>
      <c r="W847" s="14"/>
      <c r="X847" s="14"/>
    </row>
    <row r="848" ht="15.75" customHeight="1">
      <c r="D848" s="14"/>
      <c r="E848" s="14"/>
      <c r="N848" s="14"/>
      <c r="S848" s="14"/>
      <c r="W848" s="14"/>
      <c r="X848" s="14"/>
    </row>
    <row r="849" ht="15.75" customHeight="1">
      <c r="D849" s="14"/>
      <c r="E849" s="14"/>
      <c r="N849" s="14"/>
      <c r="S849" s="14"/>
      <c r="W849" s="14"/>
      <c r="X849" s="14"/>
    </row>
    <row r="850" ht="15.75" customHeight="1">
      <c r="D850" s="14"/>
      <c r="E850" s="14"/>
      <c r="N850" s="14"/>
      <c r="S850" s="14"/>
      <c r="W850" s="14"/>
      <c r="X850" s="14"/>
    </row>
    <row r="851" ht="15.75" customHeight="1">
      <c r="D851" s="14"/>
      <c r="E851" s="14"/>
      <c r="N851" s="14"/>
      <c r="S851" s="14"/>
      <c r="W851" s="14"/>
      <c r="X851" s="14"/>
    </row>
    <row r="852" ht="15.75" customHeight="1">
      <c r="D852" s="14"/>
      <c r="E852" s="14"/>
      <c r="N852" s="14"/>
      <c r="S852" s="14"/>
      <c r="W852" s="14"/>
      <c r="X852" s="14"/>
    </row>
    <row r="853" ht="15.75" customHeight="1">
      <c r="D853" s="14"/>
      <c r="E853" s="14"/>
      <c r="N853" s="14"/>
      <c r="S853" s="14"/>
      <c r="W853" s="14"/>
      <c r="X853" s="14"/>
    </row>
    <row r="854" ht="15.75" customHeight="1">
      <c r="D854" s="14"/>
      <c r="E854" s="14"/>
      <c r="N854" s="14"/>
      <c r="S854" s="14"/>
      <c r="W854" s="14"/>
      <c r="X854" s="14"/>
    </row>
    <row r="855" ht="15.75" customHeight="1">
      <c r="D855" s="14"/>
      <c r="E855" s="14"/>
      <c r="N855" s="14"/>
      <c r="S855" s="14"/>
      <c r="W855" s="14"/>
      <c r="X855" s="14"/>
    </row>
    <row r="856" ht="15.75" customHeight="1">
      <c r="D856" s="14"/>
      <c r="E856" s="14"/>
      <c r="N856" s="14"/>
      <c r="S856" s="14"/>
      <c r="W856" s="14"/>
      <c r="X856" s="14"/>
    </row>
    <row r="857" ht="15.75" customHeight="1">
      <c r="D857" s="14"/>
      <c r="E857" s="14"/>
      <c r="N857" s="14"/>
      <c r="S857" s="14"/>
      <c r="W857" s="14"/>
      <c r="X857" s="14"/>
    </row>
    <row r="858" ht="15.75" customHeight="1">
      <c r="D858" s="14"/>
      <c r="E858" s="14"/>
      <c r="N858" s="14"/>
      <c r="S858" s="14"/>
      <c r="W858" s="14"/>
      <c r="X858" s="14"/>
    </row>
    <row r="859" ht="15.75" customHeight="1">
      <c r="D859" s="14"/>
      <c r="E859" s="14"/>
      <c r="N859" s="14"/>
      <c r="S859" s="14"/>
      <c r="W859" s="14"/>
      <c r="X859" s="14"/>
    </row>
    <row r="860" ht="15.75" customHeight="1">
      <c r="D860" s="14"/>
      <c r="E860" s="14"/>
      <c r="N860" s="14"/>
      <c r="S860" s="14"/>
      <c r="W860" s="14"/>
      <c r="X860" s="14"/>
    </row>
    <row r="861" ht="15.75" customHeight="1">
      <c r="D861" s="14"/>
      <c r="E861" s="14"/>
      <c r="N861" s="14"/>
      <c r="S861" s="14"/>
      <c r="W861" s="14"/>
      <c r="X861" s="14"/>
    </row>
    <row r="862" ht="15.75" customHeight="1">
      <c r="D862" s="14"/>
      <c r="E862" s="14"/>
      <c r="N862" s="14"/>
      <c r="S862" s="14"/>
      <c r="W862" s="14"/>
      <c r="X862" s="14"/>
    </row>
    <row r="863" ht="15.75" customHeight="1">
      <c r="D863" s="14"/>
      <c r="E863" s="14"/>
      <c r="N863" s="14"/>
      <c r="S863" s="14"/>
      <c r="W863" s="14"/>
      <c r="X863" s="14"/>
    </row>
    <row r="864" ht="15.75" customHeight="1">
      <c r="D864" s="14"/>
      <c r="E864" s="14"/>
      <c r="N864" s="14"/>
      <c r="S864" s="14"/>
      <c r="W864" s="14"/>
      <c r="X864" s="14"/>
    </row>
    <row r="865" ht="15.75" customHeight="1">
      <c r="D865" s="14"/>
      <c r="E865" s="14"/>
      <c r="N865" s="14"/>
      <c r="S865" s="14"/>
      <c r="W865" s="14"/>
      <c r="X865" s="14"/>
    </row>
    <row r="866" ht="15.75" customHeight="1">
      <c r="D866" s="14"/>
      <c r="E866" s="14"/>
      <c r="N866" s="14"/>
      <c r="S866" s="14"/>
      <c r="W866" s="14"/>
      <c r="X866" s="14"/>
    </row>
    <row r="867" ht="15.75" customHeight="1">
      <c r="D867" s="14"/>
      <c r="E867" s="14"/>
      <c r="N867" s="14"/>
      <c r="S867" s="14"/>
      <c r="W867" s="14"/>
      <c r="X867" s="14"/>
    </row>
    <row r="868" ht="15.75" customHeight="1">
      <c r="D868" s="14"/>
      <c r="E868" s="14"/>
      <c r="N868" s="14"/>
      <c r="S868" s="14"/>
      <c r="W868" s="14"/>
      <c r="X868" s="14"/>
    </row>
    <row r="869" ht="15.75" customHeight="1">
      <c r="D869" s="14"/>
      <c r="E869" s="14"/>
      <c r="N869" s="14"/>
      <c r="S869" s="14"/>
      <c r="W869" s="14"/>
      <c r="X869" s="14"/>
    </row>
    <row r="870" ht="15.75" customHeight="1">
      <c r="D870" s="14"/>
      <c r="E870" s="14"/>
      <c r="N870" s="14"/>
      <c r="S870" s="14"/>
      <c r="W870" s="14"/>
      <c r="X870" s="14"/>
    </row>
    <row r="871" ht="15.75" customHeight="1">
      <c r="D871" s="14"/>
      <c r="E871" s="14"/>
      <c r="N871" s="14"/>
      <c r="S871" s="14"/>
      <c r="W871" s="14"/>
      <c r="X871" s="14"/>
    </row>
    <row r="872" ht="15.75" customHeight="1">
      <c r="D872" s="14"/>
      <c r="E872" s="14"/>
      <c r="N872" s="14"/>
      <c r="S872" s="14"/>
      <c r="W872" s="14"/>
      <c r="X872" s="14"/>
    </row>
    <row r="873" ht="15.75" customHeight="1">
      <c r="D873" s="14"/>
      <c r="E873" s="14"/>
      <c r="N873" s="14"/>
      <c r="S873" s="14"/>
      <c r="W873" s="14"/>
      <c r="X873" s="14"/>
    </row>
    <row r="874" ht="15.75" customHeight="1">
      <c r="D874" s="14"/>
      <c r="E874" s="14"/>
      <c r="N874" s="14"/>
      <c r="S874" s="14"/>
      <c r="W874" s="14"/>
      <c r="X874" s="14"/>
    </row>
    <row r="875" ht="15.75" customHeight="1">
      <c r="D875" s="14"/>
      <c r="E875" s="14"/>
      <c r="N875" s="14"/>
      <c r="S875" s="14"/>
      <c r="W875" s="14"/>
      <c r="X875" s="14"/>
    </row>
    <row r="876" ht="15.75" customHeight="1">
      <c r="D876" s="14"/>
      <c r="E876" s="14"/>
      <c r="N876" s="14"/>
      <c r="S876" s="14"/>
      <c r="W876" s="14"/>
      <c r="X876" s="14"/>
    </row>
    <row r="877" ht="15.75" customHeight="1">
      <c r="D877" s="14"/>
      <c r="E877" s="14"/>
      <c r="N877" s="14"/>
      <c r="S877" s="14"/>
      <c r="W877" s="14"/>
      <c r="X877" s="14"/>
    </row>
    <row r="878" ht="15.75" customHeight="1">
      <c r="D878" s="14"/>
      <c r="E878" s="14"/>
      <c r="N878" s="14"/>
      <c r="S878" s="14"/>
      <c r="W878" s="14"/>
      <c r="X878" s="14"/>
    </row>
    <row r="879" ht="15.75" customHeight="1">
      <c r="D879" s="14"/>
      <c r="E879" s="14"/>
      <c r="N879" s="14"/>
      <c r="S879" s="14"/>
      <c r="W879" s="14"/>
      <c r="X879" s="14"/>
    </row>
    <row r="880" ht="15.75" customHeight="1">
      <c r="D880" s="14"/>
      <c r="E880" s="14"/>
      <c r="N880" s="14"/>
      <c r="S880" s="14"/>
      <c r="W880" s="14"/>
      <c r="X880" s="14"/>
    </row>
    <row r="881" ht="15.75" customHeight="1">
      <c r="D881" s="14"/>
      <c r="E881" s="14"/>
      <c r="N881" s="14"/>
      <c r="S881" s="14"/>
      <c r="W881" s="14"/>
      <c r="X881" s="14"/>
    </row>
    <row r="882" ht="15.75" customHeight="1">
      <c r="D882" s="14"/>
      <c r="E882" s="14"/>
      <c r="N882" s="14"/>
      <c r="S882" s="14"/>
      <c r="W882" s="14"/>
      <c r="X882" s="14"/>
    </row>
    <row r="883" ht="15.75" customHeight="1">
      <c r="D883" s="14"/>
      <c r="E883" s="14"/>
      <c r="N883" s="14"/>
      <c r="S883" s="14"/>
      <c r="W883" s="14"/>
      <c r="X883" s="14"/>
    </row>
    <row r="884" ht="15.75" customHeight="1">
      <c r="D884" s="14"/>
      <c r="E884" s="14"/>
      <c r="N884" s="14"/>
      <c r="S884" s="14"/>
      <c r="W884" s="14"/>
      <c r="X884" s="14"/>
    </row>
    <row r="885" ht="15.75" customHeight="1">
      <c r="D885" s="14"/>
      <c r="E885" s="14"/>
      <c r="N885" s="14"/>
      <c r="S885" s="14"/>
      <c r="W885" s="14"/>
      <c r="X885" s="14"/>
    </row>
    <row r="886" ht="15.75" customHeight="1">
      <c r="D886" s="14"/>
      <c r="E886" s="14"/>
      <c r="N886" s="14"/>
      <c r="S886" s="14"/>
      <c r="W886" s="14"/>
      <c r="X886" s="14"/>
    </row>
    <row r="887" ht="15.75" customHeight="1">
      <c r="D887" s="14"/>
      <c r="E887" s="14"/>
      <c r="N887" s="14"/>
      <c r="S887" s="14"/>
      <c r="W887" s="14"/>
      <c r="X887" s="14"/>
    </row>
    <row r="888" ht="15.75" customHeight="1">
      <c r="D888" s="14"/>
      <c r="E888" s="14"/>
      <c r="N888" s="14"/>
      <c r="S888" s="14"/>
      <c r="W888" s="14"/>
      <c r="X888" s="14"/>
    </row>
    <row r="889" ht="15.75" customHeight="1">
      <c r="D889" s="14"/>
      <c r="E889" s="14"/>
      <c r="N889" s="14"/>
      <c r="S889" s="14"/>
      <c r="W889" s="14"/>
      <c r="X889" s="14"/>
    </row>
    <row r="890" ht="15.75" customHeight="1">
      <c r="D890" s="14"/>
      <c r="E890" s="14"/>
      <c r="N890" s="14"/>
      <c r="S890" s="14"/>
      <c r="W890" s="14"/>
      <c r="X890" s="14"/>
    </row>
    <row r="891" ht="15.75" customHeight="1">
      <c r="D891" s="14"/>
      <c r="E891" s="14"/>
      <c r="N891" s="14"/>
      <c r="S891" s="14"/>
      <c r="W891" s="14"/>
      <c r="X891" s="14"/>
    </row>
    <row r="892" ht="15.75" customHeight="1">
      <c r="D892" s="14"/>
      <c r="E892" s="14"/>
      <c r="N892" s="14"/>
      <c r="S892" s="14"/>
      <c r="W892" s="14"/>
      <c r="X892" s="14"/>
    </row>
    <row r="893" ht="15.75" customHeight="1">
      <c r="D893" s="14"/>
      <c r="E893" s="14"/>
      <c r="N893" s="14"/>
      <c r="S893" s="14"/>
      <c r="W893" s="14"/>
      <c r="X893" s="14"/>
    </row>
    <row r="894" ht="15.75" customHeight="1">
      <c r="D894" s="14"/>
      <c r="E894" s="14"/>
      <c r="N894" s="14"/>
      <c r="S894" s="14"/>
      <c r="W894" s="14"/>
      <c r="X894" s="14"/>
    </row>
    <row r="895" ht="15.75" customHeight="1">
      <c r="D895" s="14"/>
      <c r="E895" s="14"/>
      <c r="N895" s="14"/>
      <c r="S895" s="14"/>
      <c r="W895" s="14"/>
      <c r="X895" s="14"/>
    </row>
    <row r="896" ht="15.75" customHeight="1">
      <c r="D896" s="14"/>
      <c r="E896" s="14"/>
      <c r="N896" s="14"/>
      <c r="S896" s="14"/>
      <c r="W896" s="14"/>
      <c r="X896" s="14"/>
    </row>
    <row r="897" ht="15.75" customHeight="1">
      <c r="D897" s="14"/>
      <c r="E897" s="14"/>
      <c r="N897" s="14"/>
      <c r="S897" s="14"/>
      <c r="W897" s="14"/>
      <c r="X897" s="14"/>
    </row>
    <row r="898" ht="15.75" customHeight="1">
      <c r="D898" s="14"/>
      <c r="E898" s="14"/>
      <c r="N898" s="14"/>
      <c r="S898" s="14"/>
      <c r="W898" s="14"/>
      <c r="X898" s="14"/>
    </row>
    <row r="899" ht="15.75" customHeight="1">
      <c r="D899" s="14"/>
      <c r="E899" s="14"/>
      <c r="N899" s="14"/>
      <c r="S899" s="14"/>
      <c r="W899" s="14"/>
      <c r="X899" s="14"/>
    </row>
    <row r="900" ht="15.75" customHeight="1">
      <c r="D900" s="14"/>
      <c r="E900" s="14"/>
      <c r="N900" s="14"/>
      <c r="S900" s="14"/>
      <c r="W900" s="14"/>
      <c r="X900" s="14"/>
    </row>
    <row r="901" ht="15.75" customHeight="1">
      <c r="D901" s="14"/>
      <c r="E901" s="14"/>
      <c r="N901" s="14"/>
      <c r="S901" s="14"/>
      <c r="W901" s="14"/>
      <c r="X901" s="14"/>
    </row>
    <row r="902" ht="15.75" customHeight="1">
      <c r="D902" s="14"/>
      <c r="E902" s="14"/>
      <c r="N902" s="14"/>
      <c r="S902" s="14"/>
      <c r="W902" s="14"/>
      <c r="X902" s="14"/>
    </row>
    <row r="903" ht="15.75" customHeight="1">
      <c r="D903" s="14"/>
      <c r="E903" s="14"/>
      <c r="N903" s="14"/>
      <c r="S903" s="14"/>
      <c r="W903" s="14"/>
      <c r="X903" s="14"/>
    </row>
    <row r="904" ht="15.75" customHeight="1">
      <c r="D904" s="14"/>
      <c r="E904" s="14"/>
      <c r="N904" s="14"/>
      <c r="S904" s="14"/>
      <c r="W904" s="14"/>
      <c r="X904" s="14"/>
    </row>
    <row r="905" ht="15.75" customHeight="1">
      <c r="D905" s="14"/>
      <c r="E905" s="14"/>
      <c r="N905" s="14"/>
      <c r="S905" s="14"/>
      <c r="W905" s="14"/>
      <c r="X905" s="14"/>
    </row>
    <row r="906" ht="15.75" customHeight="1">
      <c r="D906" s="14"/>
      <c r="E906" s="14"/>
      <c r="N906" s="14"/>
      <c r="S906" s="14"/>
      <c r="W906" s="14"/>
      <c r="X906" s="14"/>
    </row>
    <row r="907" ht="15.75" customHeight="1">
      <c r="D907" s="14"/>
      <c r="E907" s="14"/>
      <c r="N907" s="14"/>
      <c r="S907" s="14"/>
      <c r="W907" s="14"/>
      <c r="X907" s="14"/>
    </row>
    <row r="908" ht="15.75" customHeight="1">
      <c r="D908" s="14"/>
      <c r="E908" s="14"/>
      <c r="N908" s="14"/>
      <c r="S908" s="14"/>
      <c r="W908" s="14"/>
      <c r="X908" s="14"/>
    </row>
    <row r="909" ht="15.75" customHeight="1">
      <c r="D909" s="14"/>
      <c r="E909" s="14"/>
      <c r="N909" s="14"/>
      <c r="S909" s="14"/>
      <c r="W909" s="14"/>
      <c r="X909" s="14"/>
    </row>
    <row r="910" ht="15.75" customHeight="1">
      <c r="D910" s="14"/>
      <c r="E910" s="14"/>
      <c r="N910" s="14"/>
      <c r="S910" s="14"/>
      <c r="W910" s="14"/>
      <c r="X910" s="14"/>
    </row>
    <row r="911" ht="15.75" customHeight="1">
      <c r="D911" s="14"/>
      <c r="E911" s="14"/>
      <c r="N911" s="14"/>
      <c r="S911" s="14"/>
      <c r="W911" s="14"/>
      <c r="X911" s="14"/>
    </row>
    <row r="912" ht="15.75" customHeight="1">
      <c r="D912" s="14"/>
      <c r="E912" s="14"/>
      <c r="N912" s="14"/>
      <c r="S912" s="14"/>
      <c r="W912" s="14"/>
      <c r="X912" s="14"/>
    </row>
    <row r="913" ht="15.75" customHeight="1">
      <c r="D913" s="14"/>
      <c r="E913" s="14"/>
      <c r="N913" s="14"/>
      <c r="S913" s="14"/>
      <c r="W913" s="14"/>
      <c r="X913" s="14"/>
    </row>
    <row r="914" ht="15.75" customHeight="1">
      <c r="D914" s="14"/>
      <c r="E914" s="14"/>
      <c r="N914" s="14"/>
      <c r="S914" s="14"/>
      <c r="W914" s="14"/>
      <c r="X914" s="14"/>
    </row>
    <row r="915" ht="15.75" customHeight="1">
      <c r="D915" s="14"/>
      <c r="E915" s="14"/>
      <c r="N915" s="14"/>
      <c r="S915" s="14"/>
      <c r="W915" s="14"/>
      <c r="X915" s="14"/>
    </row>
    <row r="916" ht="15.75" customHeight="1">
      <c r="D916" s="14"/>
      <c r="E916" s="14"/>
      <c r="N916" s="14"/>
      <c r="S916" s="14"/>
      <c r="W916" s="14"/>
      <c r="X916" s="14"/>
    </row>
    <row r="917" ht="15.75" customHeight="1">
      <c r="D917" s="14"/>
      <c r="E917" s="14"/>
      <c r="N917" s="14"/>
      <c r="S917" s="14"/>
      <c r="W917" s="14"/>
      <c r="X917" s="14"/>
    </row>
    <row r="918" ht="15.75" customHeight="1">
      <c r="D918" s="14"/>
      <c r="E918" s="14"/>
      <c r="N918" s="14"/>
      <c r="S918" s="14"/>
      <c r="W918" s="14"/>
      <c r="X918" s="14"/>
    </row>
    <row r="919" ht="15.75" customHeight="1">
      <c r="D919" s="14"/>
      <c r="E919" s="14"/>
      <c r="N919" s="14"/>
      <c r="S919" s="14"/>
      <c r="W919" s="14"/>
      <c r="X919" s="14"/>
    </row>
    <row r="920" ht="15.75" customHeight="1">
      <c r="D920" s="14"/>
      <c r="E920" s="14"/>
      <c r="N920" s="14"/>
      <c r="S920" s="14"/>
      <c r="W920" s="14"/>
      <c r="X920" s="14"/>
    </row>
    <row r="921" ht="15.75" customHeight="1">
      <c r="D921" s="14"/>
      <c r="E921" s="14"/>
      <c r="N921" s="14"/>
      <c r="S921" s="14"/>
      <c r="W921" s="14"/>
      <c r="X921" s="14"/>
    </row>
    <row r="922" ht="15.75" customHeight="1">
      <c r="D922" s="14"/>
      <c r="E922" s="14"/>
      <c r="N922" s="14"/>
      <c r="S922" s="14"/>
      <c r="W922" s="14"/>
      <c r="X922" s="14"/>
    </row>
    <row r="923" ht="15.75" customHeight="1">
      <c r="D923" s="14"/>
      <c r="E923" s="14"/>
      <c r="N923" s="14"/>
      <c r="S923" s="14"/>
      <c r="W923" s="14"/>
      <c r="X923" s="14"/>
    </row>
    <row r="924" ht="15.75" customHeight="1">
      <c r="D924" s="14"/>
      <c r="E924" s="14"/>
      <c r="N924" s="14"/>
      <c r="S924" s="14"/>
      <c r="W924" s="14"/>
      <c r="X924" s="14"/>
    </row>
    <row r="925" ht="15.75" customHeight="1">
      <c r="D925" s="14"/>
      <c r="E925" s="14"/>
      <c r="N925" s="14"/>
      <c r="S925" s="14"/>
      <c r="W925" s="14"/>
      <c r="X925" s="14"/>
    </row>
    <row r="926" ht="15.75" customHeight="1">
      <c r="D926" s="14"/>
      <c r="E926" s="14"/>
      <c r="N926" s="14"/>
      <c r="S926" s="14"/>
      <c r="W926" s="14"/>
      <c r="X926" s="14"/>
    </row>
    <row r="927" ht="15.75" customHeight="1">
      <c r="D927" s="14"/>
      <c r="E927" s="14"/>
      <c r="N927" s="14"/>
      <c r="S927" s="14"/>
      <c r="W927" s="14"/>
      <c r="X927" s="14"/>
    </row>
    <row r="928" ht="15.75" customHeight="1">
      <c r="D928" s="14"/>
      <c r="E928" s="14"/>
      <c r="N928" s="14"/>
      <c r="S928" s="14"/>
      <c r="W928" s="14"/>
      <c r="X928" s="14"/>
    </row>
    <row r="929" ht="15.75" customHeight="1">
      <c r="D929" s="14"/>
      <c r="E929" s="14"/>
      <c r="N929" s="14"/>
      <c r="S929" s="14"/>
      <c r="W929" s="14"/>
      <c r="X929" s="14"/>
    </row>
    <row r="930" ht="15.75" customHeight="1">
      <c r="D930" s="14"/>
      <c r="E930" s="14"/>
      <c r="N930" s="14"/>
      <c r="S930" s="14"/>
      <c r="W930" s="14"/>
      <c r="X930" s="14"/>
    </row>
    <row r="931" ht="15.75" customHeight="1">
      <c r="D931" s="14"/>
      <c r="E931" s="14"/>
      <c r="N931" s="14"/>
      <c r="S931" s="14"/>
      <c r="W931" s="14"/>
      <c r="X931" s="14"/>
    </row>
    <row r="932" ht="15.75" customHeight="1">
      <c r="D932" s="14"/>
      <c r="E932" s="14"/>
      <c r="N932" s="14"/>
      <c r="S932" s="14"/>
      <c r="W932" s="14"/>
      <c r="X932" s="14"/>
    </row>
    <row r="933" ht="15.75" customHeight="1">
      <c r="D933" s="14"/>
      <c r="E933" s="14"/>
      <c r="N933" s="14"/>
      <c r="S933" s="14"/>
      <c r="W933" s="14"/>
      <c r="X933" s="14"/>
    </row>
    <row r="934" ht="15.75" customHeight="1">
      <c r="D934" s="14"/>
      <c r="E934" s="14"/>
      <c r="N934" s="14"/>
      <c r="S934" s="14"/>
      <c r="W934" s="14"/>
      <c r="X934" s="14"/>
    </row>
    <row r="935" ht="15.75" customHeight="1">
      <c r="D935" s="14"/>
      <c r="E935" s="14"/>
      <c r="N935" s="14"/>
      <c r="S935" s="14"/>
      <c r="W935" s="14"/>
      <c r="X935" s="14"/>
    </row>
    <row r="936" ht="15.75" customHeight="1">
      <c r="D936" s="14"/>
      <c r="E936" s="14"/>
      <c r="N936" s="14"/>
      <c r="S936" s="14"/>
      <c r="W936" s="14"/>
      <c r="X936" s="14"/>
    </row>
    <row r="937" ht="15.75" customHeight="1">
      <c r="D937" s="14"/>
      <c r="E937" s="14"/>
      <c r="N937" s="14"/>
      <c r="S937" s="14"/>
      <c r="W937" s="14"/>
      <c r="X937" s="14"/>
    </row>
    <row r="938" ht="15.75" customHeight="1">
      <c r="D938" s="14"/>
      <c r="E938" s="14"/>
      <c r="N938" s="14"/>
      <c r="S938" s="14"/>
      <c r="W938" s="14"/>
      <c r="X938" s="14"/>
    </row>
    <row r="939" ht="15.75" customHeight="1">
      <c r="D939" s="14"/>
      <c r="E939" s="14"/>
      <c r="N939" s="14"/>
      <c r="S939" s="14"/>
      <c r="W939" s="14"/>
      <c r="X939" s="14"/>
    </row>
    <row r="940" ht="15.75" customHeight="1">
      <c r="D940" s="14"/>
      <c r="E940" s="14"/>
      <c r="N940" s="14"/>
      <c r="S940" s="14"/>
      <c r="W940" s="14"/>
      <c r="X940" s="14"/>
    </row>
    <row r="941" ht="15.75" customHeight="1">
      <c r="D941" s="14"/>
      <c r="E941" s="14"/>
      <c r="N941" s="14"/>
      <c r="S941" s="14"/>
      <c r="W941" s="14"/>
      <c r="X941" s="14"/>
    </row>
    <row r="942" ht="15.75" customHeight="1">
      <c r="D942" s="14"/>
      <c r="E942" s="14"/>
      <c r="N942" s="14"/>
      <c r="S942" s="14"/>
      <c r="W942" s="14"/>
      <c r="X942" s="14"/>
    </row>
    <row r="943" ht="15.75" customHeight="1">
      <c r="D943" s="14"/>
      <c r="E943" s="14"/>
      <c r="N943" s="14"/>
      <c r="S943" s="14"/>
      <c r="W943" s="14"/>
      <c r="X943" s="14"/>
    </row>
    <row r="944" ht="15.75" customHeight="1">
      <c r="D944" s="14"/>
      <c r="E944" s="14"/>
      <c r="N944" s="14"/>
      <c r="S944" s="14"/>
      <c r="W944" s="14"/>
      <c r="X944" s="14"/>
    </row>
    <row r="945" ht="15.75" customHeight="1">
      <c r="D945" s="14"/>
      <c r="E945" s="14"/>
      <c r="N945" s="14"/>
      <c r="S945" s="14"/>
      <c r="W945" s="14"/>
      <c r="X945" s="14"/>
    </row>
    <row r="946" ht="15.75" customHeight="1">
      <c r="D946" s="14"/>
      <c r="E946" s="14"/>
      <c r="N946" s="14"/>
      <c r="S946" s="14"/>
      <c r="W946" s="14"/>
      <c r="X946" s="14"/>
    </row>
    <row r="947" ht="15.75" customHeight="1">
      <c r="D947" s="14"/>
      <c r="E947" s="14"/>
      <c r="N947" s="14"/>
      <c r="S947" s="14"/>
      <c r="W947" s="14"/>
      <c r="X947" s="14"/>
    </row>
    <row r="948" ht="15.75" customHeight="1">
      <c r="D948" s="14"/>
      <c r="E948" s="14"/>
      <c r="N948" s="14"/>
      <c r="S948" s="14"/>
      <c r="W948" s="14"/>
      <c r="X948" s="14"/>
    </row>
    <row r="949" ht="15.75" customHeight="1">
      <c r="D949" s="14"/>
      <c r="E949" s="14"/>
      <c r="N949" s="14"/>
      <c r="S949" s="14"/>
      <c r="W949" s="14"/>
      <c r="X949" s="14"/>
    </row>
    <row r="950" ht="15.75" customHeight="1">
      <c r="D950" s="14"/>
      <c r="E950" s="14"/>
      <c r="N950" s="14"/>
      <c r="S950" s="14"/>
      <c r="W950" s="14"/>
      <c r="X950" s="14"/>
    </row>
    <row r="951" ht="15.75" customHeight="1">
      <c r="D951" s="14"/>
      <c r="E951" s="14"/>
      <c r="N951" s="14"/>
      <c r="S951" s="14"/>
      <c r="W951" s="14"/>
      <c r="X951" s="14"/>
    </row>
    <row r="952" ht="15.75" customHeight="1">
      <c r="D952" s="14"/>
      <c r="E952" s="14"/>
      <c r="N952" s="14"/>
      <c r="S952" s="14"/>
      <c r="W952" s="14"/>
      <c r="X952" s="14"/>
    </row>
    <row r="953" ht="15.75" customHeight="1">
      <c r="D953" s="14"/>
      <c r="E953" s="14"/>
      <c r="N953" s="14"/>
      <c r="S953" s="14"/>
      <c r="W953" s="14"/>
      <c r="X953" s="14"/>
    </row>
    <row r="954" ht="15.75" customHeight="1">
      <c r="D954" s="14"/>
      <c r="E954" s="14"/>
      <c r="N954" s="14"/>
      <c r="S954" s="14"/>
      <c r="W954" s="14"/>
      <c r="X954" s="14"/>
    </row>
    <row r="955" ht="15.75" customHeight="1">
      <c r="D955" s="14"/>
      <c r="E955" s="14"/>
      <c r="N955" s="14"/>
      <c r="S955" s="14"/>
      <c r="W955" s="14"/>
      <c r="X955" s="14"/>
    </row>
    <row r="956" ht="15.75" customHeight="1">
      <c r="D956" s="14"/>
      <c r="E956" s="14"/>
      <c r="N956" s="14"/>
      <c r="S956" s="14"/>
      <c r="W956" s="14"/>
      <c r="X956" s="14"/>
    </row>
    <row r="957" ht="15.75" customHeight="1">
      <c r="D957" s="14"/>
      <c r="E957" s="14"/>
      <c r="N957" s="14"/>
      <c r="S957" s="14"/>
      <c r="W957" s="14"/>
      <c r="X957" s="14"/>
    </row>
    <row r="958" ht="15.75" customHeight="1">
      <c r="D958" s="14"/>
      <c r="E958" s="14"/>
      <c r="N958" s="14"/>
      <c r="S958" s="14"/>
      <c r="W958" s="14"/>
      <c r="X958" s="14"/>
    </row>
    <row r="959" ht="15.75" customHeight="1">
      <c r="D959" s="14"/>
      <c r="E959" s="14"/>
      <c r="N959" s="14"/>
      <c r="S959" s="14"/>
      <c r="W959" s="14"/>
      <c r="X959" s="14"/>
    </row>
    <row r="960" ht="15.75" customHeight="1">
      <c r="D960" s="14"/>
      <c r="E960" s="14"/>
      <c r="N960" s="14"/>
      <c r="S960" s="14"/>
      <c r="W960" s="14"/>
      <c r="X960" s="14"/>
    </row>
    <row r="961" ht="15.75" customHeight="1">
      <c r="D961" s="14"/>
      <c r="E961" s="14"/>
      <c r="N961" s="14"/>
      <c r="S961" s="14"/>
      <c r="W961" s="14"/>
      <c r="X961" s="14"/>
    </row>
    <row r="962" ht="15.75" customHeight="1">
      <c r="D962" s="14"/>
      <c r="E962" s="14"/>
      <c r="N962" s="14"/>
      <c r="S962" s="14"/>
      <c r="W962" s="14"/>
      <c r="X962" s="14"/>
    </row>
    <row r="963" ht="15.75" customHeight="1">
      <c r="D963" s="14"/>
      <c r="E963" s="14"/>
      <c r="N963" s="14"/>
      <c r="S963" s="14"/>
      <c r="W963" s="14"/>
      <c r="X963" s="14"/>
    </row>
    <row r="964" ht="15.75" customHeight="1">
      <c r="D964" s="14"/>
      <c r="E964" s="14"/>
      <c r="N964" s="14"/>
      <c r="S964" s="14"/>
      <c r="W964" s="14"/>
      <c r="X964" s="14"/>
    </row>
    <row r="965" ht="15.75" customHeight="1">
      <c r="D965" s="14"/>
      <c r="E965" s="14"/>
      <c r="N965" s="14"/>
      <c r="S965" s="14"/>
      <c r="W965" s="14"/>
      <c r="X965" s="14"/>
    </row>
    <row r="966" ht="15.75" customHeight="1">
      <c r="D966" s="14"/>
      <c r="E966" s="14"/>
      <c r="N966" s="14"/>
      <c r="S966" s="14"/>
      <c r="W966" s="14"/>
      <c r="X966" s="14"/>
    </row>
    <row r="967" ht="15.75" customHeight="1">
      <c r="D967" s="14"/>
      <c r="E967" s="14"/>
      <c r="N967" s="14"/>
      <c r="S967" s="14"/>
      <c r="W967" s="14"/>
      <c r="X967" s="14"/>
    </row>
    <row r="968" ht="15.75" customHeight="1">
      <c r="D968" s="14"/>
      <c r="E968" s="14"/>
      <c r="N968" s="14"/>
      <c r="S968" s="14"/>
      <c r="W968" s="14"/>
      <c r="X968" s="14"/>
    </row>
    <row r="969" ht="15.75" customHeight="1">
      <c r="D969" s="14"/>
      <c r="E969" s="14"/>
      <c r="N969" s="14"/>
      <c r="S969" s="14"/>
      <c r="W969" s="14"/>
      <c r="X969" s="14"/>
    </row>
    <row r="970" ht="15.75" customHeight="1">
      <c r="D970" s="14"/>
      <c r="E970" s="14"/>
      <c r="N970" s="14"/>
      <c r="S970" s="14"/>
      <c r="W970" s="14"/>
      <c r="X970" s="14"/>
    </row>
    <row r="971" ht="15.75" customHeight="1">
      <c r="D971" s="14"/>
      <c r="E971" s="14"/>
      <c r="N971" s="14"/>
      <c r="S971" s="14"/>
      <c r="W971" s="14"/>
      <c r="X971" s="14"/>
    </row>
    <row r="972" ht="15.75" customHeight="1">
      <c r="D972" s="14"/>
      <c r="E972" s="14"/>
      <c r="N972" s="14"/>
      <c r="S972" s="14"/>
      <c r="W972" s="14"/>
      <c r="X972" s="14"/>
    </row>
    <row r="973" ht="15.75" customHeight="1">
      <c r="D973" s="14"/>
      <c r="E973" s="14"/>
      <c r="N973" s="14"/>
      <c r="S973" s="14"/>
      <c r="W973" s="14"/>
      <c r="X973" s="14"/>
    </row>
    <row r="974" ht="15.75" customHeight="1">
      <c r="D974" s="14"/>
      <c r="E974" s="14"/>
      <c r="N974" s="14"/>
      <c r="S974" s="14"/>
      <c r="W974" s="14"/>
      <c r="X974" s="14"/>
    </row>
    <row r="975" ht="15.75" customHeight="1">
      <c r="D975" s="14"/>
      <c r="E975" s="14"/>
      <c r="N975" s="14"/>
      <c r="S975" s="14"/>
      <c r="W975" s="14"/>
      <c r="X975" s="14"/>
    </row>
    <row r="976" ht="15.75" customHeight="1">
      <c r="D976" s="14"/>
      <c r="E976" s="14"/>
      <c r="N976" s="14"/>
      <c r="S976" s="14"/>
      <c r="W976" s="14"/>
      <c r="X976" s="14"/>
    </row>
    <row r="977" ht="15.75" customHeight="1">
      <c r="D977" s="14"/>
      <c r="E977" s="14"/>
      <c r="N977" s="14"/>
      <c r="S977" s="14"/>
      <c r="W977" s="14"/>
      <c r="X977" s="14"/>
    </row>
    <row r="978" ht="15.75" customHeight="1">
      <c r="D978" s="14"/>
      <c r="E978" s="14"/>
      <c r="N978" s="14"/>
      <c r="S978" s="14"/>
      <c r="W978" s="14"/>
      <c r="X978" s="14"/>
    </row>
    <row r="979" ht="15.75" customHeight="1">
      <c r="D979" s="14"/>
      <c r="E979" s="14"/>
      <c r="N979" s="14"/>
      <c r="S979" s="14"/>
      <c r="W979" s="14"/>
      <c r="X979" s="14"/>
    </row>
    <row r="980" ht="15.75" customHeight="1">
      <c r="D980" s="14"/>
      <c r="E980" s="14"/>
      <c r="N980" s="14"/>
      <c r="S980" s="14"/>
      <c r="W980" s="14"/>
      <c r="X980" s="14"/>
    </row>
    <row r="981" ht="15.75" customHeight="1">
      <c r="D981" s="14"/>
      <c r="E981" s="14"/>
      <c r="N981" s="14"/>
      <c r="S981" s="14"/>
      <c r="W981" s="14"/>
      <c r="X981" s="14"/>
    </row>
    <row r="982" ht="15.75" customHeight="1">
      <c r="D982" s="14"/>
      <c r="E982" s="14"/>
      <c r="N982" s="14"/>
      <c r="S982" s="14"/>
      <c r="W982" s="14"/>
      <c r="X982" s="14"/>
    </row>
    <row r="983" ht="15.75" customHeight="1">
      <c r="D983" s="14"/>
      <c r="E983" s="14"/>
      <c r="N983" s="14"/>
      <c r="S983" s="14"/>
      <c r="W983" s="14"/>
      <c r="X983" s="14"/>
    </row>
    <row r="984" ht="15.75" customHeight="1">
      <c r="D984" s="14"/>
      <c r="E984" s="14"/>
      <c r="N984" s="14"/>
      <c r="S984" s="14"/>
      <c r="W984" s="14"/>
      <c r="X984" s="14"/>
    </row>
    <row r="985" ht="15.75" customHeight="1">
      <c r="D985" s="14"/>
      <c r="E985" s="14"/>
      <c r="N985" s="14"/>
      <c r="S985" s="14"/>
      <c r="W985" s="14"/>
      <c r="X985" s="14"/>
    </row>
    <row r="986" ht="15.75" customHeight="1">
      <c r="D986" s="14"/>
      <c r="E986" s="14"/>
      <c r="N986" s="14"/>
      <c r="S986" s="14"/>
      <c r="W986" s="14"/>
      <c r="X986" s="14"/>
    </row>
    <row r="987" ht="15.75" customHeight="1">
      <c r="D987" s="14"/>
      <c r="E987" s="14"/>
      <c r="N987" s="14"/>
      <c r="S987" s="14"/>
      <c r="W987" s="14"/>
      <c r="X987" s="14"/>
    </row>
    <row r="988" ht="15.75" customHeight="1">
      <c r="D988" s="14"/>
      <c r="E988" s="14"/>
      <c r="N988" s="14"/>
      <c r="S988" s="14"/>
      <c r="W988" s="14"/>
      <c r="X988" s="14"/>
    </row>
    <row r="989" ht="15.75" customHeight="1">
      <c r="D989" s="14"/>
      <c r="E989" s="14"/>
      <c r="N989" s="14"/>
      <c r="S989" s="14"/>
      <c r="W989" s="14"/>
      <c r="X989" s="14"/>
    </row>
    <row r="990" ht="15.75" customHeight="1">
      <c r="D990" s="14"/>
      <c r="E990" s="14"/>
      <c r="N990" s="14"/>
      <c r="S990" s="14"/>
      <c r="W990" s="14"/>
      <c r="X990" s="14"/>
    </row>
    <row r="991" ht="15.75" customHeight="1">
      <c r="D991" s="14"/>
      <c r="E991" s="14"/>
      <c r="N991" s="14"/>
      <c r="S991" s="14"/>
      <c r="W991" s="14"/>
      <c r="X991" s="14"/>
    </row>
    <row r="992" ht="15.75" customHeight="1">
      <c r="D992" s="14"/>
      <c r="E992" s="14"/>
      <c r="N992" s="14"/>
      <c r="S992" s="14"/>
      <c r="W992" s="14"/>
      <c r="X992" s="14"/>
    </row>
    <row r="993" ht="15.75" customHeight="1">
      <c r="D993" s="14"/>
      <c r="E993" s="14"/>
      <c r="N993" s="14"/>
      <c r="S993" s="14"/>
      <c r="W993" s="14"/>
      <c r="X993" s="14"/>
    </row>
    <row r="994" ht="15.75" customHeight="1">
      <c r="D994" s="14"/>
      <c r="E994" s="14"/>
      <c r="N994" s="14"/>
      <c r="S994" s="14"/>
      <c r="W994" s="14"/>
      <c r="X994" s="14"/>
    </row>
    <row r="995" ht="15.75" customHeight="1">
      <c r="D995" s="14"/>
      <c r="E995" s="14"/>
      <c r="N995" s="14"/>
      <c r="S995" s="14"/>
      <c r="W995" s="14"/>
      <c r="X995" s="14"/>
    </row>
    <row r="996" ht="15.75" customHeight="1">
      <c r="D996" s="14"/>
      <c r="E996" s="14"/>
      <c r="N996" s="14"/>
      <c r="S996" s="14"/>
      <c r="W996" s="14"/>
      <c r="X996" s="14"/>
    </row>
    <row r="997" ht="15.75" customHeight="1">
      <c r="D997" s="14"/>
      <c r="E997" s="14"/>
      <c r="N997" s="14"/>
      <c r="S997" s="14"/>
      <c r="W997" s="14"/>
      <c r="X997" s="14"/>
    </row>
    <row r="998" ht="15.75" customHeight="1">
      <c r="D998" s="14"/>
      <c r="E998" s="14"/>
      <c r="N998" s="14"/>
      <c r="S998" s="14"/>
      <c r="W998" s="14"/>
      <c r="X998" s="14"/>
    </row>
    <row r="999" ht="15.75" customHeight="1">
      <c r="D999" s="14"/>
      <c r="E999" s="14"/>
      <c r="N999" s="14"/>
      <c r="S999" s="14"/>
      <c r="W999" s="14"/>
      <c r="X999" s="14"/>
    </row>
    <row r="1000" ht="15.75" customHeight="1">
      <c r="D1000" s="14"/>
      <c r="E1000" s="14"/>
      <c r="N1000" s="14"/>
      <c r="S1000" s="14"/>
      <c r="W1000" s="14"/>
      <c r="X1000" s="14"/>
    </row>
  </sheetData>
  <mergeCells count="9">
    <mergeCell ref="AA32:AB32"/>
    <mergeCell ref="AA33:AB33"/>
    <mergeCell ref="Y1:Z1"/>
    <mergeCell ref="AA1:AB1"/>
    <mergeCell ref="AA2:AB2"/>
    <mergeCell ref="C17:V17"/>
    <mergeCell ref="C30:P30"/>
    <mergeCell ref="AA30:AC30"/>
    <mergeCell ref="AA31:AB3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9.57"/>
    <col customWidth="1" min="2" max="2" width="18.43"/>
    <col customWidth="1" min="3" max="4" width="14.43"/>
    <col customWidth="1" min="5" max="5" width="15.14"/>
    <col customWidth="1" min="6" max="6" width="14.43"/>
    <col customWidth="1" min="9" max="9" width="20.14"/>
    <col customWidth="1" min="10" max="10" width="16.14"/>
    <col customWidth="1" min="11" max="11" width="16.86"/>
  </cols>
  <sheetData>
    <row r="1">
      <c r="A1" s="1" t="s">
        <v>0</v>
      </c>
      <c r="B1" s="133" t="s">
        <v>1</v>
      </c>
      <c r="C1" s="9" t="s">
        <v>97</v>
      </c>
      <c r="D1" s="10"/>
      <c r="E1" s="11"/>
      <c r="F1" s="134" t="s">
        <v>98</v>
      </c>
      <c r="G1" s="4" t="s">
        <v>99</v>
      </c>
      <c r="H1" s="5"/>
      <c r="I1" s="4" t="s">
        <v>100</v>
      </c>
      <c r="J1" s="8"/>
      <c r="K1" s="5"/>
      <c r="L1" s="4" t="s">
        <v>101</v>
      </c>
      <c r="M1" s="8"/>
      <c r="N1" s="8"/>
      <c r="O1" s="5"/>
      <c r="Q1" s="12" t="s">
        <v>9</v>
      </c>
      <c r="R1" s="13"/>
    </row>
    <row r="2">
      <c r="A2" s="15" t="s">
        <v>102</v>
      </c>
      <c r="B2" s="135" t="s">
        <v>11</v>
      </c>
      <c r="C2" s="136" t="s">
        <v>103</v>
      </c>
      <c r="D2" s="136" t="s">
        <v>104</v>
      </c>
      <c r="E2" s="136" t="s">
        <v>105</v>
      </c>
      <c r="F2" s="137" t="s">
        <v>106</v>
      </c>
      <c r="G2" s="15" t="s">
        <v>107</v>
      </c>
      <c r="H2" s="15" t="s">
        <v>108</v>
      </c>
      <c r="I2" s="15" t="s">
        <v>109</v>
      </c>
      <c r="J2" s="15" t="s">
        <v>110</v>
      </c>
      <c r="K2" s="15" t="s">
        <v>111</v>
      </c>
      <c r="L2" s="16"/>
      <c r="M2" s="16"/>
      <c r="N2" s="16"/>
      <c r="O2" s="16"/>
      <c r="Q2" s="101">
        <f>IFERROR(__xludf.DUMMYFUNCTION("GoogleFinance(""CURRENCY:USDINR"")"),74.91250000000001)</f>
        <v>74.9125</v>
      </c>
      <c r="R2" s="102"/>
    </row>
    <row r="3">
      <c r="A3" s="22" t="s">
        <v>28</v>
      </c>
      <c r="B3" s="135" t="s">
        <v>29</v>
      </c>
      <c r="C3" s="25"/>
      <c r="D3" s="25"/>
      <c r="E3" s="25"/>
      <c r="F3" s="138"/>
      <c r="G3" s="23"/>
      <c r="H3" s="23"/>
      <c r="I3" s="23"/>
      <c r="J3" s="23"/>
      <c r="K3" s="23"/>
      <c r="L3" s="23"/>
      <c r="M3" s="23"/>
      <c r="N3" s="23"/>
      <c r="O3" s="23"/>
    </row>
    <row r="4">
      <c r="A4" s="22" t="s">
        <v>30</v>
      </c>
      <c r="B4" s="135" t="s">
        <v>31</v>
      </c>
      <c r="C4" s="25">
        <v>76.7</v>
      </c>
      <c r="D4" s="25">
        <v>17.55</v>
      </c>
      <c r="E4" s="25">
        <v>109.2</v>
      </c>
      <c r="F4" s="138"/>
      <c r="G4" s="23">
        <v>19.76</v>
      </c>
      <c r="H4" s="23">
        <v>292.5</v>
      </c>
      <c r="I4" s="23">
        <v>172.9</v>
      </c>
      <c r="J4" s="23">
        <v>189.15</v>
      </c>
      <c r="K4" s="23">
        <v>233.35</v>
      </c>
      <c r="L4" s="23"/>
      <c r="M4" s="23"/>
      <c r="N4" s="23"/>
      <c r="O4" s="23"/>
    </row>
    <row r="5">
      <c r="A5" s="48" t="s">
        <v>112</v>
      </c>
      <c r="B5" s="139">
        <v>75.0</v>
      </c>
      <c r="C5" s="25"/>
      <c r="D5" s="25"/>
      <c r="E5" s="25"/>
      <c r="F5" s="138"/>
      <c r="G5" s="23"/>
      <c r="H5" s="23"/>
      <c r="I5" s="23"/>
      <c r="J5" s="23"/>
      <c r="K5" s="23"/>
      <c r="L5" s="23"/>
      <c r="M5" s="23"/>
      <c r="N5" s="23"/>
      <c r="O5" s="23"/>
    </row>
    <row r="6">
      <c r="A6" s="22" t="s">
        <v>34</v>
      </c>
      <c r="B6" s="140">
        <v>0.1</v>
      </c>
      <c r="C6" s="25"/>
      <c r="D6" s="25"/>
      <c r="E6" s="25"/>
      <c r="F6" s="138"/>
      <c r="G6" s="23"/>
      <c r="H6" s="23"/>
      <c r="I6" s="23"/>
      <c r="J6" s="23"/>
      <c r="K6" s="23"/>
      <c r="L6" s="23"/>
      <c r="M6" s="23"/>
      <c r="N6" s="23"/>
      <c r="O6" s="23"/>
    </row>
    <row r="7">
      <c r="A7" s="22" t="s">
        <v>35</v>
      </c>
      <c r="B7" s="140">
        <v>0.1</v>
      </c>
      <c r="C7" s="25"/>
      <c r="D7" s="25"/>
      <c r="E7" s="25"/>
      <c r="F7" s="138"/>
      <c r="G7" s="23"/>
      <c r="H7" s="23"/>
      <c r="I7" s="23"/>
      <c r="J7" s="23"/>
      <c r="K7" s="23"/>
      <c r="L7" s="23"/>
      <c r="M7" s="23"/>
      <c r="N7" s="23"/>
      <c r="O7" s="23"/>
    </row>
    <row r="8">
      <c r="A8" s="22" t="s">
        <v>36</v>
      </c>
      <c r="B8" s="140">
        <v>0.05</v>
      </c>
      <c r="C8" s="25"/>
      <c r="D8" s="25"/>
      <c r="E8" s="25"/>
      <c r="F8" s="138"/>
      <c r="G8" s="23"/>
      <c r="H8" s="23"/>
      <c r="I8" s="23"/>
      <c r="J8" s="23"/>
      <c r="K8" s="23"/>
      <c r="L8" s="23"/>
      <c r="M8" s="23"/>
      <c r="N8" s="23"/>
      <c r="O8" s="23"/>
    </row>
    <row r="9">
      <c r="A9" s="38" t="s">
        <v>37</v>
      </c>
      <c r="B9" s="141">
        <v>0.005</v>
      </c>
      <c r="C9" s="25"/>
      <c r="D9" s="25"/>
      <c r="E9" s="25"/>
      <c r="F9" s="138"/>
      <c r="G9" s="23"/>
      <c r="H9" s="23"/>
      <c r="I9" s="23"/>
      <c r="J9" s="23"/>
      <c r="K9" s="23"/>
      <c r="L9" s="23"/>
      <c r="M9" s="23"/>
      <c r="N9" s="23"/>
      <c r="O9" s="23"/>
    </row>
    <row r="10">
      <c r="A10" s="22" t="s">
        <v>38</v>
      </c>
      <c r="B10" s="142" t="s">
        <v>39</v>
      </c>
      <c r="C10" s="25"/>
      <c r="D10" s="25"/>
      <c r="E10" s="25"/>
      <c r="F10" s="138"/>
      <c r="G10" s="23"/>
      <c r="H10" s="23"/>
      <c r="I10" s="23"/>
      <c r="J10" s="23"/>
      <c r="K10" s="23"/>
      <c r="L10" s="23"/>
      <c r="M10" s="23"/>
      <c r="N10" s="23"/>
      <c r="O10" s="23"/>
    </row>
    <row r="11">
      <c r="A11" s="44" t="s">
        <v>40</v>
      </c>
      <c r="B11" s="142" t="s">
        <v>41</v>
      </c>
      <c r="C11" s="25"/>
      <c r="D11" s="25"/>
      <c r="E11" s="25"/>
      <c r="F11" s="138"/>
      <c r="G11" s="23"/>
      <c r="H11" s="23"/>
      <c r="I11" s="23"/>
      <c r="J11" s="23"/>
      <c r="K11" s="23"/>
      <c r="L11" s="23"/>
      <c r="M11" s="23"/>
      <c r="N11" s="23"/>
      <c r="O11" s="23"/>
    </row>
    <row r="19">
      <c r="I19" s="143" t="s">
        <v>113</v>
      </c>
      <c r="J19" s="144" t="s">
        <v>114</v>
      </c>
      <c r="K19" s="144" t="s">
        <v>115</v>
      </c>
      <c r="L19" s="144" t="s">
        <v>116</v>
      </c>
    </row>
    <row r="20">
      <c r="I20" s="22" t="s">
        <v>10</v>
      </c>
      <c r="J20" s="145" t="s">
        <v>117</v>
      </c>
      <c r="K20" s="145" t="s">
        <v>117</v>
      </c>
      <c r="L20" s="23"/>
    </row>
    <row r="21" ht="15.75" customHeight="1">
      <c r="I21" s="22" t="s">
        <v>28</v>
      </c>
      <c r="J21" s="23">
        <f t="shared" ref="J21:K21" si="1">1</f>
        <v>1</v>
      </c>
      <c r="K21" s="23">
        <f t="shared" si="1"/>
        <v>1</v>
      </c>
      <c r="L21" s="23"/>
    </row>
    <row r="22" ht="15.75" customHeight="1">
      <c r="I22" s="146" t="s">
        <v>30</v>
      </c>
      <c r="J22" s="147">
        <v>76.7</v>
      </c>
      <c r="K22" s="147">
        <v>17.55</v>
      </c>
      <c r="L22" s="23">
        <v>109.2</v>
      </c>
    </row>
    <row r="23" ht="15.75" customHeight="1">
      <c r="I23" s="148" t="s">
        <v>118</v>
      </c>
      <c r="J23" s="41">
        <f t="shared" ref="J23:K23" si="2">J21*J22*74</f>
        <v>5675.8</v>
      </c>
      <c r="K23" s="41">
        <f t="shared" si="2"/>
        <v>1298.7</v>
      </c>
      <c r="L23" s="41">
        <f>L22*74</f>
        <v>8080.8</v>
      </c>
    </row>
    <row r="24" ht="15.75" customHeight="1">
      <c r="I24" s="148" t="s">
        <v>119</v>
      </c>
      <c r="J24" s="41">
        <f t="shared" ref="J24:L24" si="3">15%*J23</f>
        <v>851.37</v>
      </c>
      <c r="K24" s="41">
        <f t="shared" si="3"/>
        <v>194.805</v>
      </c>
      <c r="L24" s="41">
        <f t="shared" si="3"/>
        <v>1212.12</v>
      </c>
    </row>
    <row r="25" ht="15.75" customHeight="1">
      <c r="I25" s="22" t="s">
        <v>120</v>
      </c>
      <c r="J25" s="41">
        <f t="shared" ref="J25:L25" si="4">J24*10%</f>
        <v>85.137</v>
      </c>
      <c r="K25" s="41">
        <f t="shared" si="4"/>
        <v>19.4805</v>
      </c>
      <c r="L25" s="41">
        <f t="shared" si="4"/>
        <v>121.212</v>
      </c>
    </row>
    <row r="26" ht="15.75" customHeight="1">
      <c r="I26" s="23" t="s">
        <v>121</v>
      </c>
      <c r="J26" s="41">
        <f t="shared" ref="J26:L26" si="5">SUM(J23:J25)*18%</f>
        <v>1190.21526</v>
      </c>
      <c r="K26" s="41">
        <f t="shared" si="5"/>
        <v>272.33739</v>
      </c>
      <c r="L26" s="41">
        <f t="shared" si="5"/>
        <v>1694.54376</v>
      </c>
    </row>
    <row r="27" ht="15.75" customHeight="1">
      <c r="I27" s="38" t="s">
        <v>122</v>
      </c>
      <c r="J27" s="41">
        <f t="shared" ref="J27:L27" si="6">1%*J23</f>
        <v>56.758</v>
      </c>
      <c r="K27" s="41">
        <f t="shared" si="6"/>
        <v>12.987</v>
      </c>
      <c r="L27" s="41">
        <f t="shared" si="6"/>
        <v>80.808</v>
      </c>
    </row>
    <row r="28" ht="15.75" customHeight="1">
      <c r="I28" s="22" t="s">
        <v>38</v>
      </c>
      <c r="J28" s="149">
        <f t="shared" ref="J28:L28" si="7">SUM(J23:J26)-J26</f>
        <v>6612.307</v>
      </c>
      <c r="K28" s="149">
        <f t="shared" si="7"/>
        <v>1512.9855</v>
      </c>
      <c r="L28" s="149">
        <f t="shared" si="7"/>
        <v>9414.132</v>
      </c>
    </row>
    <row r="29" ht="15.75" customHeight="1">
      <c r="I29" s="150"/>
      <c r="J29" s="150"/>
      <c r="K29" s="151">
        <f t="shared" ref="K29:L29" si="8">K28*3</f>
        <v>4538.9565</v>
      </c>
      <c r="L29" s="151">
        <f t="shared" si="8"/>
        <v>28242.396</v>
      </c>
    </row>
    <row r="30" ht="15.75" customHeight="1">
      <c r="I30" s="150" t="s">
        <v>123</v>
      </c>
      <c r="J30" s="151">
        <f>J28+K29</f>
        <v>11151.2635</v>
      </c>
      <c r="K30" s="150"/>
      <c r="L30" s="150"/>
    </row>
    <row r="31" ht="15.75" customHeight="1">
      <c r="I31" s="150" t="s">
        <v>124</v>
      </c>
      <c r="J31" s="151">
        <f>J28+L29</f>
        <v>34854.703</v>
      </c>
      <c r="K31" s="150"/>
      <c r="L31" s="150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1:E1"/>
    <mergeCell ref="G1:H1"/>
    <mergeCell ref="I1:K1"/>
    <mergeCell ref="L1:O1"/>
    <mergeCell ref="Q1:R1"/>
    <mergeCell ref="Q2:R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6" width="14.43"/>
  </cols>
  <sheetData>
    <row r="1">
      <c r="A1" s="152" t="s">
        <v>125</v>
      </c>
      <c r="B1" s="5"/>
      <c r="C1" s="44" t="s">
        <v>126</v>
      </c>
    </row>
    <row r="2">
      <c r="A2" s="153" t="str">
        <f>IFERROR(__xludf.DUMMYFUNCTION("GOOGLEFINANCE(""Currency:USDINR"", ""price"", DATE(2020,3,1), DATE(2021,4,31))"),"Date")</f>
        <v>Date</v>
      </c>
      <c r="B2" s="154" t="str">
        <f>IFERROR(__xludf.DUMMYFUNCTION("""COMPUTED_VALUE"""),"Close")</f>
        <v>Close</v>
      </c>
      <c r="C2" s="15" t="s">
        <v>127</v>
      </c>
    </row>
    <row r="3">
      <c r="A3" s="155">
        <f>IFERROR(__xludf.DUMMYFUNCTION("""COMPUTED_VALUE"""),43891.99861111111)</f>
        <v>43891.99861</v>
      </c>
      <c r="B3" s="150">
        <f>IFERROR(__xludf.DUMMYFUNCTION("""COMPUTED_VALUE"""),72.175)</f>
        <v>72.175</v>
      </c>
    </row>
    <row r="4">
      <c r="A4" s="155">
        <f>IFERROR(__xludf.DUMMYFUNCTION("""COMPUTED_VALUE"""),43892.99861111111)</f>
        <v>43892.99861</v>
      </c>
      <c r="B4" s="150">
        <f>IFERROR(__xludf.DUMMYFUNCTION("""COMPUTED_VALUE"""),72.835)</f>
        <v>72.835</v>
      </c>
    </row>
    <row r="5">
      <c r="A5" s="155">
        <f>IFERROR(__xludf.DUMMYFUNCTION("""COMPUTED_VALUE"""),43893.99861111111)</f>
        <v>43893.99861</v>
      </c>
      <c r="B5" s="150">
        <f>IFERROR(__xludf.DUMMYFUNCTION("""COMPUTED_VALUE"""),73.4255)</f>
        <v>73.4255</v>
      </c>
    </row>
    <row r="6">
      <c r="A6" s="155">
        <f>IFERROR(__xludf.DUMMYFUNCTION("""COMPUTED_VALUE"""),43894.99861111111)</f>
        <v>43894.99861</v>
      </c>
      <c r="B6" s="150">
        <f>IFERROR(__xludf.DUMMYFUNCTION("""COMPUTED_VALUE"""),73.495)</f>
        <v>73.495</v>
      </c>
    </row>
    <row r="7">
      <c r="A7" s="155">
        <f>IFERROR(__xludf.DUMMYFUNCTION("""COMPUTED_VALUE"""),43895.99861111111)</f>
        <v>43895.99861</v>
      </c>
      <c r="B7" s="150">
        <f>IFERROR(__xludf.DUMMYFUNCTION("""COMPUTED_VALUE"""),74.435)</f>
        <v>74.435</v>
      </c>
    </row>
    <row r="8">
      <c r="A8" s="155">
        <f>IFERROR(__xludf.DUMMYFUNCTION("""COMPUTED_VALUE"""),43896.99861111111)</f>
        <v>43896.99861</v>
      </c>
      <c r="B8" s="150">
        <f>IFERROR(__xludf.DUMMYFUNCTION("""COMPUTED_VALUE"""),73.997)</f>
        <v>73.997</v>
      </c>
    </row>
    <row r="9">
      <c r="A9" s="155">
        <f>IFERROR(__xludf.DUMMYFUNCTION("""COMPUTED_VALUE"""),43897.99861111111)</f>
        <v>43897.99861</v>
      </c>
      <c r="B9" s="150">
        <f>IFERROR(__xludf.DUMMYFUNCTION("""COMPUTED_VALUE"""),74.0053)</f>
        <v>74.0053</v>
      </c>
    </row>
    <row r="10">
      <c r="A10" s="155">
        <f>IFERROR(__xludf.DUMMYFUNCTION("""COMPUTED_VALUE"""),43898.99861111111)</f>
        <v>43898.99861</v>
      </c>
      <c r="B10" s="150">
        <f>IFERROR(__xludf.DUMMYFUNCTION("""COMPUTED_VALUE"""),74.0053)</f>
        <v>74.0053</v>
      </c>
    </row>
    <row r="11">
      <c r="A11" s="155">
        <f>IFERROR(__xludf.DUMMYFUNCTION("""COMPUTED_VALUE"""),43899.99861111111)</f>
        <v>43899.99861</v>
      </c>
      <c r="B11" s="150">
        <f>IFERROR(__xludf.DUMMYFUNCTION("""COMPUTED_VALUE"""),74.4335)</f>
        <v>74.4335</v>
      </c>
    </row>
    <row r="12">
      <c r="A12" s="155">
        <f>IFERROR(__xludf.DUMMYFUNCTION("""COMPUTED_VALUE"""),43900.99861111111)</f>
        <v>43900.99861</v>
      </c>
      <c r="B12" s="150">
        <f>IFERROR(__xludf.DUMMYFUNCTION("""COMPUTED_VALUE"""),74.2275)</f>
        <v>74.2275</v>
      </c>
    </row>
    <row r="13">
      <c r="A13" s="155">
        <f>IFERROR(__xludf.DUMMYFUNCTION("""COMPUTED_VALUE"""),43901.99861111111)</f>
        <v>43901.99861</v>
      </c>
      <c r="B13" s="150">
        <f>IFERROR(__xludf.DUMMYFUNCTION("""COMPUTED_VALUE"""),74.785)</f>
        <v>74.785</v>
      </c>
    </row>
    <row r="14">
      <c r="A14" s="155">
        <f>IFERROR(__xludf.DUMMYFUNCTION("""COMPUTED_VALUE"""),43902.99861111111)</f>
        <v>43902.99861</v>
      </c>
      <c r="B14" s="150">
        <f>IFERROR(__xludf.DUMMYFUNCTION("""COMPUTED_VALUE"""),75.35)</f>
        <v>75.35</v>
      </c>
    </row>
    <row r="15">
      <c r="A15" s="155">
        <f>IFERROR(__xludf.DUMMYFUNCTION("""COMPUTED_VALUE"""),43903.99861111111)</f>
        <v>43903.99861</v>
      </c>
      <c r="B15" s="150">
        <f>IFERROR(__xludf.DUMMYFUNCTION("""COMPUTED_VALUE"""),73.959)</f>
        <v>73.959</v>
      </c>
    </row>
    <row r="16">
      <c r="A16" s="155">
        <f>IFERROR(__xludf.DUMMYFUNCTION("""COMPUTED_VALUE"""),43904.99861111111)</f>
        <v>43904.99861</v>
      </c>
      <c r="B16" s="150">
        <f>IFERROR(__xludf.DUMMYFUNCTION("""COMPUTED_VALUE"""),73.959)</f>
        <v>73.959</v>
      </c>
    </row>
    <row r="17">
      <c r="A17" s="155">
        <f>IFERROR(__xludf.DUMMYFUNCTION("""COMPUTED_VALUE"""),43905.99861111111)</f>
        <v>43905.99861</v>
      </c>
      <c r="B17" s="150">
        <f>IFERROR(__xludf.DUMMYFUNCTION("""COMPUTED_VALUE"""),73.959)</f>
        <v>73.959</v>
      </c>
    </row>
    <row r="18">
      <c r="A18" s="155">
        <f>IFERROR(__xludf.DUMMYFUNCTION("""COMPUTED_VALUE"""),43906.99861111111)</f>
        <v>43906.99861</v>
      </c>
      <c r="B18" s="150">
        <f>IFERROR(__xludf.DUMMYFUNCTION("""COMPUTED_VALUE"""),74.306)</f>
        <v>74.306</v>
      </c>
    </row>
    <row r="19">
      <c r="A19" s="155">
        <f>IFERROR(__xludf.DUMMYFUNCTION("""COMPUTED_VALUE"""),43907.99861111111)</f>
        <v>43907.99861</v>
      </c>
      <c r="B19" s="150">
        <f>IFERROR(__xludf.DUMMYFUNCTION("""COMPUTED_VALUE"""),74.0249)</f>
        <v>74.0249</v>
      </c>
    </row>
    <row r="20">
      <c r="A20" s="155">
        <f>IFERROR(__xludf.DUMMYFUNCTION("""COMPUTED_VALUE"""),43908.99861111111)</f>
        <v>43908.99861</v>
      </c>
      <c r="B20" s="150">
        <f>IFERROR(__xludf.DUMMYFUNCTION("""COMPUTED_VALUE"""),74.9825)</f>
        <v>74.9825</v>
      </c>
    </row>
    <row r="21" ht="15.75" customHeight="1">
      <c r="A21" s="155">
        <f>IFERROR(__xludf.DUMMYFUNCTION("""COMPUTED_VALUE"""),43909.99861111111)</f>
        <v>43909.99861</v>
      </c>
      <c r="B21" s="150">
        <f>IFERROR(__xludf.DUMMYFUNCTION("""COMPUTED_VALUE"""),75.1602)</f>
        <v>75.1602</v>
      </c>
    </row>
    <row r="22" ht="15.75" customHeight="1">
      <c r="A22" s="155">
        <f>IFERROR(__xludf.DUMMYFUNCTION("""COMPUTED_VALUE"""),43910.99861111111)</f>
        <v>43910.99861</v>
      </c>
      <c r="B22" s="150">
        <f>IFERROR(__xludf.DUMMYFUNCTION("""COMPUTED_VALUE"""),75.6226)</f>
        <v>75.6226</v>
      </c>
    </row>
    <row r="23" ht="15.75" customHeight="1">
      <c r="A23" s="155">
        <f>IFERROR(__xludf.DUMMYFUNCTION("""COMPUTED_VALUE"""),43911.99861111111)</f>
        <v>43911.99861</v>
      </c>
      <c r="B23" s="150">
        <f>IFERROR(__xludf.DUMMYFUNCTION("""COMPUTED_VALUE"""),75.6226)</f>
        <v>75.6226</v>
      </c>
    </row>
    <row r="24" ht="15.75" customHeight="1">
      <c r="A24" s="155">
        <f>IFERROR(__xludf.DUMMYFUNCTION("""COMPUTED_VALUE"""),43912.99861111111)</f>
        <v>43912.99861</v>
      </c>
      <c r="B24" s="150">
        <f>IFERROR(__xludf.DUMMYFUNCTION("""COMPUTED_VALUE"""),75.6226)</f>
        <v>75.6226</v>
      </c>
    </row>
    <row r="25" ht="15.75" customHeight="1">
      <c r="A25" s="155">
        <f>IFERROR(__xludf.DUMMYFUNCTION("""COMPUTED_VALUE"""),43913.99861111111)</f>
        <v>43913.99861</v>
      </c>
      <c r="B25" s="150">
        <f>IFERROR(__xludf.DUMMYFUNCTION("""COMPUTED_VALUE"""),76.571)</f>
        <v>76.571</v>
      </c>
    </row>
    <row r="26" ht="15.75" customHeight="1">
      <c r="A26" s="155">
        <f>IFERROR(__xludf.DUMMYFUNCTION("""COMPUTED_VALUE"""),43914.99861111111)</f>
        <v>43914.99861</v>
      </c>
      <c r="B26" s="150">
        <f>IFERROR(__xludf.DUMMYFUNCTION("""COMPUTED_VALUE"""),77.33)</f>
        <v>77.33</v>
      </c>
    </row>
    <row r="27" ht="15.75" customHeight="1">
      <c r="A27" s="155">
        <f>IFERROR(__xludf.DUMMYFUNCTION("""COMPUTED_VALUE"""),43915.99861111111)</f>
        <v>43915.99861</v>
      </c>
      <c r="B27" s="150">
        <f>IFERROR(__xludf.DUMMYFUNCTION("""COMPUTED_VALUE"""),75.846)</f>
        <v>75.846</v>
      </c>
    </row>
    <row r="28" ht="15.75" customHeight="1">
      <c r="A28" s="155">
        <f>IFERROR(__xludf.DUMMYFUNCTION("""COMPUTED_VALUE"""),43916.99861111111)</f>
        <v>43916.99861</v>
      </c>
      <c r="B28" s="150">
        <f>IFERROR(__xludf.DUMMYFUNCTION("""COMPUTED_VALUE"""),74.7261)</f>
        <v>74.7261</v>
      </c>
    </row>
    <row r="29" ht="15.75" customHeight="1">
      <c r="A29" s="155">
        <f>IFERROR(__xludf.DUMMYFUNCTION("""COMPUTED_VALUE"""),43917.99861111111)</f>
        <v>43917.99861</v>
      </c>
      <c r="B29" s="150">
        <f>IFERROR(__xludf.DUMMYFUNCTION("""COMPUTED_VALUE"""),74.876)</f>
        <v>74.876</v>
      </c>
    </row>
    <row r="30" ht="15.75" customHeight="1">
      <c r="A30" s="155">
        <f>IFERROR(__xludf.DUMMYFUNCTION("""COMPUTED_VALUE"""),43918.99861111111)</f>
        <v>43918.99861</v>
      </c>
      <c r="B30" s="150">
        <f>IFERROR(__xludf.DUMMYFUNCTION("""COMPUTED_VALUE"""),74.876)</f>
        <v>74.876</v>
      </c>
    </row>
    <row r="31" ht="15.75" customHeight="1">
      <c r="A31" s="155">
        <f>IFERROR(__xludf.DUMMYFUNCTION("""COMPUTED_VALUE"""),43919.99861111111)</f>
        <v>43919.99861</v>
      </c>
      <c r="B31" s="150">
        <f>IFERROR(__xludf.DUMMYFUNCTION("""COMPUTED_VALUE"""),75.4725)</f>
        <v>75.4725</v>
      </c>
    </row>
    <row r="32" ht="15.75" customHeight="1">
      <c r="A32" s="155">
        <f>IFERROR(__xludf.DUMMYFUNCTION("""COMPUTED_VALUE"""),43920.99861111111)</f>
        <v>43920.99861</v>
      </c>
      <c r="B32" s="150">
        <f>IFERROR(__xludf.DUMMYFUNCTION("""COMPUTED_VALUE"""),75.41)</f>
        <v>75.41</v>
      </c>
    </row>
    <row r="33" ht="15.75" customHeight="1">
      <c r="A33" s="155">
        <f>IFERROR(__xludf.DUMMYFUNCTION("""COMPUTED_VALUE"""),43921.99861111111)</f>
        <v>43921.99861</v>
      </c>
      <c r="B33" s="150">
        <f>IFERROR(__xludf.DUMMYFUNCTION("""COMPUTED_VALUE"""),75.335)</f>
        <v>75.335</v>
      </c>
    </row>
    <row r="34" ht="15.75" customHeight="1">
      <c r="A34" s="155">
        <f>IFERROR(__xludf.DUMMYFUNCTION("""COMPUTED_VALUE"""),43922.99861111111)</f>
        <v>43922.99861</v>
      </c>
      <c r="B34" s="150">
        <f>IFERROR(__xludf.DUMMYFUNCTION("""COMPUTED_VALUE"""),77.605)</f>
        <v>77.605</v>
      </c>
    </row>
    <row r="35" ht="15.75" customHeight="1">
      <c r="A35" s="155">
        <f>IFERROR(__xludf.DUMMYFUNCTION("""COMPUTED_VALUE"""),43923.99861111111)</f>
        <v>43923.99861</v>
      </c>
      <c r="B35" s="150">
        <f>IFERROR(__xludf.DUMMYFUNCTION("""COMPUTED_VALUE"""),77.195)</f>
        <v>77.195</v>
      </c>
    </row>
    <row r="36" ht="15.75" customHeight="1">
      <c r="A36" s="155">
        <f>IFERROR(__xludf.DUMMYFUNCTION("""COMPUTED_VALUE"""),43924.99861111111)</f>
        <v>43924.99861</v>
      </c>
      <c r="B36" s="150">
        <f>IFERROR(__xludf.DUMMYFUNCTION("""COMPUTED_VALUE"""),76.419)</f>
        <v>76.419</v>
      </c>
    </row>
    <row r="37" ht="15.75" customHeight="1">
      <c r="A37" s="155">
        <f>IFERROR(__xludf.DUMMYFUNCTION("""COMPUTED_VALUE"""),43925.99861111111)</f>
        <v>43925.99861</v>
      </c>
      <c r="B37" s="150">
        <f>IFERROR(__xludf.DUMMYFUNCTION("""COMPUTED_VALUE"""),76.419)</f>
        <v>76.419</v>
      </c>
    </row>
    <row r="38" ht="15.75" customHeight="1">
      <c r="A38" s="155">
        <f>IFERROR(__xludf.DUMMYFUNCTION("""COMPUTED_VALUE"""),43926.99861111111)</f>
        <v>43926.99861</v>
      </c>
      <c r="B38" s="150">
        <f>IFERROR(__xludf.DUMMYFUNCTION("""COMPUTED_VALUE"""),76.24)</f>
        <v>76.24</v>
      </c>
    </row>
    <row r="39" ht="15.75" customHeight="1">
      <c r="A39" s="155">
        <f>IFERROR(__xludf.DUMMYFUNCTION("""COMPUTED_VALUE"""),43927.99861111111)</f>
        <v>43927.99861</v>
      </c>
      <c r="B39" s="150">
        <f>IFERROR(__xludf.DUMMYFUNCTION("""COMPUTED_VALUE"""),75.9749)</f>
        <v>75.9749</v>
      </c>
    </row>
    <row r="40" ht="15.75" customHeight="1">
      <c r="A40" s="155">
        <f>IFERROR(__xludf.DUMMYFUNCTION("""COMPUTED_VALUE"""),43928.99861111111)</f>
        <v>43928.99861</v>
      </c>
      <c r="B40" s="150">
        <f>IFERROR(__xludf.DUMMYFUNCTION("""COMPUTED_VALUE"""),76.725)</f>
        <v>76.725</v>
      </c>
    </row>
    <row r="41" ht="15.75" customHeight="1">
      <c r="A41" s="155">
        <f>IFERROR(__xludf.DUMMYFUNCTION("""COMPUTED_VALUE"""),43929.99861111111)</f>
        <v>43929.99861</v>
      </c>
      <c r="B41" s="150">
        <f>IFERROR(__xludf.DUMMYFUNCTION("""COMPUTED_VALUE"""),75.969)</f>
        <v>75.969</v>
      </c>
    </row>
    <row r="42" ht="15.75" customHeight="1">
      <c r="A42" s="155">
        <f>IFERROR(__xludf.DUMMYFUNCTION("""COMPUTED_VALUE"""),43930.99861111111)</f>
        <v>43930.99861</v>
      </c>
      <c r="B42" s="150">
        <f>IFERROR(__xludf.DUMMYFUNCTION("""COMPUTED_VALUE"""),76.69)</f>
        <v>76.69</v>
      </c>
    </row>
    <row r="43" ht="15.75" customHeight="1">
      <c r="A43" s="155">
        <f>IFERROR(__xludf.DUMMYFUNCTION("""COMPUTED_VALUE"""),43931.99861111111)</f>
        <v>43931.99861</v>
      </c>
      <c r="B43" s="150">
        <f>IFERROR(__xludf.DUMMYFUNCTION("""COMPUTED_VALUE"""),76.1765)</f>
        <v>76.1765</v>
      </c>
    </row>
    <row r="44" ht="15.75" customHeight="1">
      <c r="A44" s="155">
        <f>IFERROR(__xludf.DUMMYFUNCTION("""COMPUTED_VALUE"""),43932.99861111111)</f>
        <v>43932.99861</v>
      </c>
      <c r="B44" s="150">
        <f>IFERROR(__xludf.DUMMYFUNCTION("""COMPUTED_VALUE"""),76.1765)</f>
        <v>76.1765</v>
      </c>
    </row>
    <row r="45" ht="15.75" customHeight="1">
      <c r="A45" s="155">
        <f>IFERROR(__xludf.DUMMYFUNCTION("""COMPUTED_VALUE"""),43933.99861111111)</f>
        <v>43933.99861</v>
      </c>
      <c r="B45" s="150">
        <f>IFERROR(__xludf.DUMMYFUNCTION("""COMPUTED_VALUE"""),76.1765)</f>
        <v>76.1765</v>
      </c>
    </row>
    <row r="46" ht="15.75" customHeight="1">
      <c r="A46" s="155">
        <f>IFERROR(__xludf.DUMMYFUNCTION("""COMPUTED_VALUE"""),43934.99861111111)</f>
        <v>43934.99861</v>
      </c>
      <c r="B46" s="150">
        <f>IFERROR(__xludf.DUMMYFUNCTION("""COMPUTED_VALUE"""),76.94)</f>
        <v>76.94</v>
      </c>
    </row>
    <row r="47" ht="15.75" customHeight="1">
      <c r="A47" s="155">
        <f>IFERROR(__xludf.DUMMYFUNCTION("""COMPUTED_VALUE"""),43935.99861111111)</f>
        <v>43935.99861</v>
      </c>
      <c r="B47" s="150">
        <f>IFERROR(__xludf.DUMMYFUNCTION("""COMPUTED_VALUE"""),75.966)</f>
        <v>75.966</v>
      </c>
    </row>
    <row r="48" ht="15.75" customHeight="1">
      <c r="A48" s="155">
        <f>IFERROR(__xludf.DUMMYFUNCTION("""COMPUTED_VALUE"""),43936.99861111111)</f>
        <v>43936.99861</v>
      </c>
      <c r="B48" s="150">
        <f>IFERROR(__xludf.DUMMYFUNCTION("""COMPUTED_VALUE"""),77.2225)</f>
        <v>77.2225</v>
      </c>
    </row>
    <row r="49" ht="15.75" customHeight="1">
      <c r="A49" s="155">
        <f>IFERROR(__xludf.DUMMYFUNCTION("""COMPUTED_VALUE"""),43937.99861111111)</f>
        <v>43937.99861</v>
      </c>
      <c r="B49" s="150">
        <f>IFERROR(__xludf.DUMMYFUNCTION("""COMPUTED_VALUE"""),77.58)</f>
        <v>77.58</v>
      </c>
    </row>
    <row r="50" ht="15.75" customHeight="1">
      <c r="A50" s="155">
        <f>IFERROR(__xludf.DUMMYFUNCTION("""COMPUTED_VALUE"""),43938.99861111111)</f>
        <v>43938.99861</v>
      </c>
      <c r="B50" s="150">
        <f>IFERROR(__xludf.DUMMYFUNCTION("""COMPUTED_VALUE"""),76.5)</f>
        <v>76.5</v>
      </c>
    </row>
    <row r="51" ht="15.75" customHeight="1">
      <c r="A51" s="155">
        <f>IFERROR(__xludf.DUMMYFUNCTION("""COMPUTED_VALUE"""),43939.99861111111)</f>
        <v>43939.99861</v>
      </c>
      <c r="B51" s="150">
        <f>IFERROR(__xludf.DUMMYFUNCTION("""COMPUTED_VALUE"""),76.501)</f>
        <v>76.501</v>
      </c>
    </row>
    <row r="52" ht="15.75" customHeight="1">
      <c r="A52" s="155">
        <f>IFERROR(__xludf.DUMMYFUNCTION("""COMPUTED_VALUE"""),43940.99861111111)</f>
        <v>43940.99861</v>
      </c>
      <c r="B52" s="150">
        <f>IFERROR(__xludf.DUMMYFUNCTION("""COMPUTED_VALUE"""),76.57)</f>
        <v>76.57</v>
      </c>
    </row>
    <row r="53" ht="15.75" customHeight="1">
      <c r="A53" s="155">
        <f>IFERROR(__xludf.DUMMYFUNCTION("""COMPUTED_VALUE"""),43941.99861111111)</f>
        <v>43941.99861</v>
      </c>
      <c r="B53" s="150">
        <f>IFERROR(__xludf.DUMMYFUNCTION("""COMPUTED_VALUE"""),76.5929)</f>
        <v>76.5929</v>
      </c>
    </row>
    <row r="54" ht="15.75" customHeight="1">
      <c r="A54" s="155">
        <f>IFERROR(__xludf.DUMMYFUNCTION("""COMPUTED_VALUE"""),43942.99861111111)</f>
        <v>43942.99861</v>
      </c>
      <c r="B54" s="150">
        <f>IFERROR(__xludf.DUMMYFUNCTION("""COMPUTED_VALUE"""),76.9699)</f>
        <v>76.9699</v>
      </c>
    </row>
    <row r="55" ht="15.75" customHeight="1">
      <c r="A55" s="155">
        <f>IFERROR(__xludf.DUMMYFUNCTION("""COMPUTED_VALUE"""),43943.99861111111)</f>
        <v>43943.99861</v>
      </c>
      <c r="B55" s="150">
        <f>IFERROR(__xludf.DUMMYFUNCTION("""COMPUTED_VALUE"""),76.41)</f>
        <v>76.41</v>
      </c>
    </row>
    <row r="56" ht="15.75" customHeight="1">
      <c r="A56" s="155">
        <f>IFERROR(__xludf.DUMMYFUNCTION("""COMPUTED_VALUE"""),43944.99861111111)</f>
        <v>43944.99861</v>
      </c>
      <c r="B56" s="150">
        <f>IFERROR(__xludf.DUMMYFUNCTION("""COMPUTED_VALUE"""),75.9944)</f>
        <v>75.9944</v>
      </c>
    </row>
    <row r="57" ht="15.75" customHeight="1">
      <c r="A57" s="155">
        <f>IFERROR(__xludf.DUMMYFUNCTION("""COMPUTED_VALUE"""),43945.99861111111)</f>
        <v>43945.99861</v>
      </c>
      <c r="B57" s="150">
        <f>IFERROR(__xludf.DUMMYFUNCTION("""COMPUTED_VALUE"""),76.318)</f>
        <v>76.318</v>
      </c>
    </row>
    <row r="58" ht="15.75" customHeight="1">
      <c r="A58" s="155">
        <f>IFERROR(__xludf.DUMMYFUNCTION("""COMPUTED_VALUE"""),43946.99861111111)</f>
        <v>43946.99861</v>
      </c>
      <c r="B58" s="150">
        <f>IFERROR(__xludf.DUMMYFUNCTION("""COMPUTED_VALUE"""),76.302)</f>
        <v>76.302</v>
      </c>
    </row>
    <row r="59" ht="15.75" customHeight="1">
      <c r="A59" s="155">
        <f>IFERROR(__xludf.DUMMYFUNCTION("""COMPUTED_VALUE"""),43947.99861111111)</f>
        <v>43947.99861</v>
      </c>
      <c r="B59" s="150">
        <f>IFERROR(__xludf.DUMMYFUNCTION("""COMPUTED_VALUE"""),76.2815)</f>
        <v>76.2815</v>
      </c>
    </row>
    <row r="60" ht="15.75" customHeight="1">
      <c r="A60" s="155">
        <f>IFERROR(__xludf.DUMMYFUNCTION("""COMPUTED_VALUE"""),43948.99861111111)</f>
        <v>43948.99861</v>
      </c>
      <c r="B60" s="150">
        <f>IFERROR(__xludf.DUMMYFUNCTION("""COMPUTED_VALUE"""),76.1868)</f>
        <v>76.1868</v>
      </c>
    </row>
    <row r="61" ht="15.75" customHeight="1">
      <c r="A61" s="155">
        <f>IFERROR(__xludf.DUMMYFUNCTION("""COMPUTED_VALUE"""),43949.99861111111)</f>
        <v>43949.99861</v>
      </c>
      <c r="B61" s="150">
        <f>IFERROR(__xludf.DUMMYFUNCTION("""COMPUTED_VALUE"""),76.5075)</f>
        <v>76.5075</v>
      </c>
    </row>
    <row r="62" ht="15.75" customHeight="1">
      <c r="A62" s="155">
        <f>IFERROR(__xludf.DUMMYFUNCTION("""COMPUTED_VALUE"""),43950.99861111111)</f>
        <v>43950.99861</v>
      </c>
      <c r="B62" s="150">
        <f>IFERROR(__xludf.DUMMYFUNCTION("""COMPUTED_VALUE"""),75.2685)</f>
        <v>75.2685</v>
      </c>
    </row>
    <row r="63" ht="15.75" customHeight="1">
      <c r="A63" s="155">
        <f>IFERROR(__xludf.DUMMYFUNCTION("""COMPUTED_VALUE"""),43951.99861111111)</f>
        <v>43951.99861</v>
      </c>
      <c r="B63" s="150">
        <f>IFERROR(__xludf.DUMMYFUNCTION("""COMPUTED_VALUE"""),75.735)</f>
        <v>75.735</v>
      </c>
    </row>
    <row r="64" ht="15.75" customHeight="1">
      <c r="A64" s="155">
        <f>IFERROR(__xludf.DUMMYFUNCTION("""COMPUTED_VALUE"""),43952.99861111111)</f>
        <v>43952.99861</v>
      </c>
      <c r="B64" s="150">
        <f>IFERROR(__xludf.DUMMYFUNCTION("""COMPUTED_VALUE"""),75.859)</f>
        <v>75.859</v>
      </c>
    </row>
    <row r="65" ht="15.75" customHeight="1">
      <c r="A65" s="155">
        <f>IFERROR(__xludf.DUMMYFUNCTION("""COMPUTED_VALUE"""),43953.99861111111)</f>
        <v>43953.99861</v>
      </c>
      <c r="B65" s="150">
        <f>IFERROR(__xludf.DUMMYFUNCTION("""COMPUTED_VALUE"""),75.831)</f>
        <v>75.831</v>
      </c>
    </row>
    <row r="66" ht="15.75" customHeight="1">
      <c r="A66" s="155">
        <f>IFERROR(__xludf.DUMMYFUNCTION("""COMPUTED_VALUE"""),43954.99861111111)</f>
        <v>43954.99861</v>
      </c>
      <c r="B66" s="150">
        <f>IFERROR(__xludf.DUMMYFUNCTION("""COMPUTED_VALUE"""),75.601)</f>
        <v>75.601</v>
      </c>
    </row>
    <row r="67" ht="15.75" customHeight="1">
      <c r="A67" s="155">
        <f>IFERROR(__xludf.DUMMYFUNCTION("""COMPUTED_VALUE"""),43955.99861111111)</f>
        <v>43955.99861</v>
      </c>
      <c r="B67" s="150">
        <f>IFERROR(__xludf.DUMMYFUNCTION("""COMPUTED_VALUE"""),76.009)</f>
        <v>76.009</v>
      </c>
    </row>
    <row r="68" ht="15.75" customHeight="1">
      <c r="A68" s="155">
        <f>IFERROR(__xludf.DUMMYFUNCTION("""COMPUTED_VALUE"""),43956.99861111111)</f>
        <v>43956.99861</v>
      </c>
      <c r="B68" s="150">
        <f>IFERROR(__xludf.DUMMYFUNCTION("""COMPUTED_VALUE"""),76.185)</f>
        <v>76.185</v>
      </c>
    </row>
    <row r="69" ht="15.75" customHeight="1">
      <c r="A69" s="155">
        <f>IFERROR(__xludf.DUMMYFUNCTION("""COMPUTED_VALUE"""),43957.99861111111)</f>
        <v>43957.99861</v>
      </c>
      <c r="B69" s="150">
        <f>IFERROR(__xludf.DUMMYFUNCTION("""COMPUTED_VALUE"""),76.675)</f>
        <v>76.675</v>
      </c>
    </row>
    <row r="70" ht="15.75" customHeight="1">
      <c r="A70" s="155">
        <f>IFERROR(__xludf.DUMMYFUNCTION("""COMPUTED_VALUE"""),43958.99861111111)</f>
        <v>43958.99861</v>
      </c>
      <c r="B70" s="150">
        <f>IFERROR(__xludf.DUMMYFUNCTION("""COMPUTED_VALUE"""),76.11)</f>
        <v>76.11</v>
      </c>
    </row>
    <row r="71" ht="15.75" customHeight="1">
      <c r="A71" s="155">
        <f>IFERROR(__xludf.DUMMYFUNCTION("""COMPUTED_VALUE"""),43959.99861111111)</f>
        <v>43959.99861</v>
      </c>
      <c r="B71" s="150">
        <f>IFERROR(__xludf.DUMMYFUNCTION("""COMPUTED_VALUE"""),75.476)</f>
        <v>75.476</v>
      </c>
    </row>
    <row r="72" ht="15.75" customHeight="1">
      <c r="A72" s="155">
        <f>IFERROR(__xludf.DUMMYFUNCTION("""COMPUTED_VALUE"""),43960.99861111111)</f>
        <v>43960.99861</v>
      </c>
      <c r="B72" s="150">
        <f>IFERROR(__xludf.DUMMYFUNCTION("""COMPUTED_VALUE"""),75.504)</f>
        <v>75.504</v>
      </c>
    </row>
    <row r="73" ht="15.75" customHeight="1">
      <c r="A73" s="155">
        <f>IFERROR(__xludf.DUMMYFUNCTION("""COMPUTED_VALUE"""),43961.99861111111)</f>
        <v>43961.99861</v>
      </c>
      <c r="B73" s="150">
        <f>IFERROR(__xludf.DUMMYFUNCTION("""COMPUTED_VALUE"""),75.535)</f>
        <v>75.535</v>
      </c>
    </row>
    <row r="74" ht="15.75" customHeight="1">
      <c r="A74" s="155">
        <f>IFERROR(__xludf.DUMMYFUNCTION("""COMPUTED_VALUE"""),43962.99861111111)</f>
        <v>43962.99861</v>
      </c>
      <c r="B74" s="150">
        <f>IFERROR(__xludf.DUMMYFUNCTION("""COMPUTED_VALUE"""),75.9376)</f>
        <v>75.9376</v>
      </c>
    </row>
    <row r="75" ht="15.75" customHeight="1">
      <c r="A75" s="155">
        <f>IFERROR(__xludf.DUMMYFUNCTION("""COMPUTED_VALUE"""),43963.99861111111)</f>
        <v>43963.99861</v>
      </c>
      <c r="B75" s="150">
        <f>IFERROR(__xludf.DUMMYFUNCTION("""COMPUTED_VALUE"""),75.71)</f>
        <v>75.71</v>
      </c>
    </row>
    <row r="76" ht="15.75" customHeight="1">
      <c r="A76" s="155">
        <f>IFERROR(__xludf.DUMMYFUNCTION("""COMPUTED_VALUE"""),43964.99861111111)</f>
        <v>43964.99861</v>
      </c>
      <c r="B76" s="150">
        <f>IFERROR(__xludf.DUMMYFUNCTION("""COMPUTED_VALUE"""),75.4362)</f>
        <v>75.4362</v>
      </c>
    </row>
    <row r="77" ht="15.75" customHeight="1">
      <c r="A77" s="155">
        <f>IFERROR(__xludf.DUMMYFUNCTION("""COMPUTED_VALUE"""),43965.99861111111)</f>
        <v>43965.99861</v>
      </c>
      <c r="B77" s="150">
        <f>IFERROR(__xludf.DUMMYFUNCTION("""COMPUTED_VALUE"""),75.495)</f>
        <v>75.495</v>
      </c>
    </row>
    <row r="78" ht="15.75" customHeight="1">
      <c r="A78" s="155">
        <f>IFERROR(__xludf.DUMMYFUNCTION("""COMPUTED_VALUE"""),43966.99861111111)</f>
        <v>43966.99861</v>
      </c>
      <c r="B78" s="150">
        <f>IFERROR(__xludf.DUMMYFUNCTION("""COMPUTED_VALUE"""),75.877)</f>
        <v>75.877</v>
      </c>
    </row>
    <row r="79" ht="15.75" customHeight="1">
      <c r="A79" s="155">
        <f>IFERROR(__xludf.DUMMYFUNCTION("""COMPUTED_VALUE"""),43967.99861111111)</f>
        <v>43967.99861</v>
      </c>
      <c r="B79" s="150">
        <f>IFERROR(__xludf.DUMMYFUNCTION("""COMPUTED_VALUE"""),75.877)</f>
        <v>75.877</v>
      </c>
    </row>
    <row r="80" ht="15.75" customHeight="1">
      <c r="A80" s="155">
        <f>IFERROR(__xludf.DUMMYFUNCTION("""COMPUTED_VALUE"""),43968.99861111111)</f>
        <v>43968.99861</v>
      </c>
      <c r="B80" s="150">
        <f>IFERROR(__xludf.DUMMYFUNCTION("""COMPUTED_VALUE"""),75.83)</f>
        <v>75.83</v>
      </c>
    </row>
    <row r="81" ht="15.75" customHeight="1">
      <c r="A81" s="155">
        <f>IFERROR(__xludf.DUMMYFUNCTION("""COMPUTED_VALUE"""),43969.99861111111)</f>
        <v>43969.99861</v>
      </c>
      <c r="B81" s="150">
        <f>IFERROR(__xludf.DUMMYFUNCTION("""COMPUTED_VALUE"""),75.61)</f>
        <v>75.61</v>
      </c>
    </row>
    <row r="82" ht="15.75" customHeight="1">
      <c r="A82" s="155">
        <f>IFERROR(__xludf.DUMMYFUNCTION("""COMPUTED_VALUE"""),43970.99861111111)</f>
        <v>43970.99861</v>
      </c>
      <c r="B82" s="150">
        <f>IFERROR(__xludf.DUMMYFUNCTION("""COMPUTED_VALUE"""),76.02505)</f>
        <v>76.02505</v>
      </c>
    </row>
    <row r="83" ht="15.75" customHeight="1">
      <c r="A83" s="155">
        <f>IFERROR(__xludf.DUMMYFUNCTION("""COMPUTED_VALUE"""),43971.99861111111)</f>
        <v>43971.99861</v>
      </c>
      <c r="B83" s="150">
        <f>IFERROR(__xludf.DUMMYFUNCTION("""COMPUTED_VALUE"""),75.83)</f>
        <v>75.83</v>
      </c>
    </row>
    <row r="84" ht="15.75" customHeight="1">
      <c r="A84" s="155">
        <f>IFERROR(__xludf.DUMMYFUNCTION("""COMPUTED_VALUE"""),43972.99861111111)</f>
        <v>43972.99861</v>
      </c>
      <c r="B84" s="150">
        <f>IFERROR(__xludf.DUMMYFUNCTION("""COMPUTED_VALUE"""),75.635)</f>
        <v>75.635</v>
      </c>
    </row>
    <row r="85" ht="15.75" customHeight="1">
      <c r="A85" s="155">
        <f>IFERROR(__xludf.DUMMYFUNCTION("""COMPUTED_VALUE"""),43973.99861111111)</f>
        <v>43973.99861</v>
      </c>
      <c r="B85" s="150">
        <f>IFERROR(__xludf.DUMMYFUNCTION("""COMPUTED_VALUE"""),75.97675)</f>
        <v>75.97675</v>
      </c>
    </row>
    <row r="86" ht="15.75" customHeight="1">
      <c r="A86" s="155">
        <f>IFERROR(__xludf.DUMMYFUNCTION("""COMPUTED_VALUE"""),43974.99861111111)</f>
        <v>43974.99861</v>
      </c>
      <c r="B86" s="150">
        <f>IFERROR(__xludf.DUMMYFUNCTION("""COMPUTED_VALUE"""),75.97675)</f>
        <v>75.97675</v>
      </c>
    </row>
    <row r="87" ht="15.75" customHeight="1">
      <c r="A87" s="155">
        <f>IFERROR(__xludf.DUMMYFUNCTION("""COMPUTED_VALUE"""),43975.99861111111)</f>
        <v>43975.99861</v>
      </c>
      <c r="B87" s="150">
        <f>IFERROR(__xludf.DUMMYFUNCTION("""COMPUTED_VALUE"""),75.995)</f>
        <v>75.995</v>
      </c>
    </row>
    <row r="88" ht="15.75" customHeight="1">
      <c r="A88" s="155">
        <f>IFERROR(__xludf.DUMMYFUNCTION("""COMPUTED_VALUE"""),43976.99861111111)</f>
        <v>43976.99861</v>
      </c>
      <c r="B88" s="150">
        <f>IFERROR(__xludf.DUMMYFUNCTION("""COMPUTED_VALUE"""),75.8836)</f>
        <v>75.8836</v>
      </c>
    </row>
    <row r="89" ht="15.75" customHeight="1">
      <c r="A89" s="155">
        <f>IFERROR(__xludf.DUMMYFUNCTION("""COMPUTED_VALUE"""),43977.99861111111)</f>
        <v>43977.99861</v>
      </c>
      <c r="B89" s="150">
        <f>IFERROR(__xludf.DUMMYFUNCTION("""COMPUTED_VALUE"""),75.84)</f>
        <v>75.84</v>
      </c>
    </row>
    <row r="90" ht="15.75" customHeight="1">
      <c r="A90" s="155">
        <f>IFERROR(__xludf.DUMMYFUNCTION("""COMPUTED_VALUE"""),43978.99861111111)</f>
        <v>43978.99861</v>
      </c>
      <c r="B90" s="150">
        <f>IFERROR(__xludf.DUMMYFUNCTION("""COMPUTED_VALUE"""),76.165)</f>
        <v>76.165</v>
      </c>
    </row>
    <row r="91" ht="15.75" customHeight="1">
      <c r="A91" s="155">
        <f>IFERROR(__xludf.DUMMYFUNCTION("""COMPUTED_VALUE"""),43979.99861111111)</f>
        <v>43979.99861</v>
      </c>
      <c r="B91" s="150">
        <f>IFERROR(__xludf.DUMMYFUNCTION("""COMPUTED_VALUE"""),75.975)</f>
        <v>75.975</v>
      </c>
    </row>
    <row r="92" ht="15.75" customHeight="1">
      <c r="A92" s="155">
        <f>IFERROR(__xludf.DUMMYFUNCTION("""COMPUTED_VALUE"""),43980.99861111111)</f>
        <v>43980.99861</v>
      </c>
      <c r="B92" s="150">
        <f>IFERROR(__xludf.DUMMYFUNCTION("""COMPUTED_VALUE"""),75.5232)</f>
        <v>75.5232</v>
      </c>
    </row>
    <row r="93" ht="15.75" customHeight="1">
      <c r="A93" s="155">
        <f>IFERROR(__xludf.DUMMYFUNCTION("""COMPUTED_VALUE"""),43981.99861111111)</f>
        <v>43981.99861</v>
      </c>
      <c r="B93" s="150">
        <f>IFERROR(__xludf.DUMMYFUNCTION("""COMPUTED_VALUE"""),75.5232)</f>
        <v>75.5232</v>
      </c>
    </row>
    <row r="94" ht="15.75" customHeight="1">
      <c r="A94" s="155">
        <f>IFERROR(__xludf.DUMMYFUNCTION("""COMPUTED_VALUE"""),43982.99861111111)</f>
        <v>43982.99861</v>
      </c>
      <c r="B94" s="150">
        <f>IFERROR(__xludf.DUMMYFUNCTION("""COMPUTED_VALUE"""),75.5232)</f>
        <v>75.5232</v>
      </c>
    </row>
    <row r="95" ht="15.75" customHeight="1">
      <c r="A95" s="155">
        <f>IFERROR(__xludf.DUMMYFUNCTION("""COMPUTED_VALUE"""),43983.99861111111)</f>
        <v>43983.99861</v>
      </c>
      <c r="B95" s="150">
        <f>IFERROR(__xludf.DUMMYFUNCTION("""COMPUTED_VALUE"""),75.5136)</f>
        <v>75.5136</v>
      </c>
    </row>
    <row r="96" ht="15.75" customHeight="1">
      <c r="A96" s="155">
        <f>IFERROR(__xludf.DUMMYFUNCTION("""COMPUTED_VALUE"""),43984.99861111111)</f>
        <v>43984.99861</v>
      </c>
      <c r="B96" s="150">
        <f>IFERROR(__xludf.DUMMYFUNCTION("""COMPUTED_VALUE"""),75.06605)</f>
        <v>75.06605</v>
      </c>
    </row>
    <row r="97" ht="15.75" customHeight="1">
      <c r="A97" s="155">
        <f>IFERROR(__xludf.DUMMYFUNCTION("""COMPUTED_VALUE"""),43985.99861111111)</f>
        <v>43985.99861</v>
      </c>
      <c r="B97" s="150">
        <f>IFERROR(__xludf.DUMMYFUNCTION("""COMPUTED_VALUE"""),75.5625)</f>
        <v>75.5625</v>
      </c>
    </row>
    <row r="98" ht="15.75" customHeight="1">
      <c r="A98" s="155">
        <f>IFERROR(__xludf.DUMMYFUNCTION("""COMPUTED_VALUE"""),43986.99861111111)</f>
        <v>43986.99861</v>
      </c>
      <c r="B98" s="150">
        <f>IFERROR(__xludf.DUMMYFUNCTION("""COMPUTED_VALUE"""),75.705)</f>
        <v>75.705</v>
      </c>
    </row>
    <row r="99" ht="15.75" customHeight="1">
      <c r="A99" s="155">
        <f>IFERROR(__xludf.DUMMYFUNCTION("""COMPUTED_VALUE"""),43987.99861111111)</f>
        <v>43987.99861</v>
      </c>
      <c r="B99" s="150">
        <f>IFERROR(__xludf.DUMMYFUNCTION("""COMPUTED_VALUE"""),75.5645)</f>
        <v>75.5645</v>
      </c>
    </row>
    <row r="100" ht="15.75" customHeight="1">
      <c r="A100" s="155">
        <f>IFERROR(__xludf.DUMMYFUNCTION("""COMPUTED_VALUE"""),43988.99861111111)</f>
        <v>43988.99861</v>
      </c>
      <c r="B100" s="150">
        <f>IFERROR(__xludf.DUMMYFUNCTION("""COMPUTED_VALUE"""),75.5645)</f>
        <v>75.5645</v>
      </c>
    </row>
    <row r="101" ht="15.75" customHeight="1">
      <c r="A101" s="155">
        <f>IFERROR(__xludf.DUMMYFUNCTION("""COMPUTED_VALUE"""),43989.99861111111)</f>
        <v>43989.99861</v>
      </c>
      <c r="B101" s="150">
        <f>IFERROR(__xludf.DUMMYFUNCTION("""COMPUTED_VALUE"""),75.51795)</f>
        <v>75.51795</v>
      </c>
    </row>
    <row r="102" ht="15.75" customHeight="1">
      <c r="A102" s="155">
        <f>IFERROR(__xludf.DUMMYFUNCTION("""COMPUTED_VALUE"""),43990.99861111111)</f>
        <v>43990.99861</v>
      </c>
      <c r="B102" s="150">
        <f>IFERROR(__xludf.DUMMYFUNCTION("""COMPUTED_VALUE"""),75.40425)</f>
        <v>75.40425</v>
      </c>
    </row>
    <row r="103" ht="15.75" customHeight="1">
      <c r="A103" s="155">
        <f>IFERROR(__xludf.DUMMYFUNCTION("""COMPUTED_VALUE"""),43991.99861111111)</f>
        <v>43991.99861</v>
      </c>
      <c r="B103" s="150">
        <f>IFERROR(__xludf.DUMMYFUNCTION("""COMPUTED_VALUE"""),75.51005)</f>
        <v>75.51005</v>
      </c>
    </row>
    <row r="104" ht="15.75" customHeight="1">
      <c r="A104" s="156">
        <f>IFERROR(__xludf.DUMMYFUNCTION("""COMPUTED_VALUE"""),43992.99861111111)</f>
        <v>43992.99861</v>
      </c>
      <c r="B104" s="150">
        <f>IFERROR(__xludf.DUMMYFUNCTION("""COMPUTED_VALUE"""),75.8925)</f>
        <v>75.8925</v>
      </c>
      <c r="C104" s="22">
        <v>76.45</v>
      </c>
    </row>
    <row r="105" ht="15.75" customHeight="1">
      <c r="A105" s="155">
        <f>IFERROR(__xludf.DUMMYFUNCTION("""COMPUTED_VALUE"""),43993.99861111111)</f>
        <v>43993.99861</v>
      </c>
      <c r="B105" s="150">
        <f>IFERROR(__xludf.DUMMYFUNCTION("""COMPUTED_VALUE"""),76.415)</f>
        <v>76.415</v>
      </c>
    </row>
    <row r="106" ht="15.75" customHeight="1">
      <c r="A106" s="155">
        <f>IFERROR(__xludf.DUMMYFUNCTION("""COMPUTED_VALUE"""),43994.99861111111)</f>
        <v>43994.99861</v>
      </c>
      <c r="B106" s="150">
        <f>IFERROR(__xludf.DUMMYFUNCTION("""COMPUTED_VALUE"""),75.957)</f>
        <v>75.957</v>
      </c>
    </row>
    <row r="107" ht="15.75" customHeight="1">
      <c r="A107" s="155">
        <f>IFERROR(__xludf.DUMMYFUNCTION("""COMPUTED_VALUE"""),43995.99861111111)</f>
        <v>43995.99861</v>
      </c>
      <c r="B107" s="150">
        <f>IFERROR(__xludf.DUMMYFUNCTION("""COMPUTED_VALUE"""),75.957)</f>
        <v>75.957</v>
      </c>
    </row>
    <row r="108" ht="15.75" customHeight="1">
      <c r="A108" s="155">
        <f>IFERROR(__xludf.DUMMYFUNCTION("""COMPUTED_VALUE"""),43996.99861111111)</f>
        <v>43996.99861</v>
      </c>
      <c r="B108" s="150">
        <f>IFERROR(__xludf.DUMMYFUNCTION("""COMPUTED_VALUE"""),75.95705)</f>
        <v>75.95705</v>
      </c>
    </row>
    <row r="109" ht="15.75" customHeight="1">
      <c r="A109" s="155">
        <f>IFERROR(__xludf.DUMMYFUNCTION("""COMPUTED_VALUE"""),43997.99861111111)</f>
        <v>43997.99861</v>
      </c>
      <c r="B109" s="150">
        <f>IFERROR(__xludf.DUMMYFUNCTION("""COMPUTED_VALUE"""),75.97825)</f>
        <v>75.97825</v>
      </c>
    </row>
    <row r="110" ht="15.75" customHeight="1">
      <c r="A110" s="155">
        <f>IFERROR(__xludf.DUMMYFUNCTION("""COMPUTED_VALUE"""),43998.99861111111)</f>
        <v>43998.99861</v>
      </c>
      <c r="B110" s="150">
        <f>IFERROR(__xludf.DUMMYFUNCTION("""COMPUTED_VALUE"""),76.67)</f>
        <v>76.67</v>
      </c>
    </row>
    <row r="111" ht="15.75" customHeight="1">
      <c r="A111" s="155">
        <f>IFERROR(__xludf.DUMMYFUNCTION("""COMPUTED_VALUE"""),43999.99861111111)</f>
        <v>43999.99861</v>
      </c>
      <c r="B111" s="150">
        <f>IFERROR(__xludf.DUMMYFUNCTION("""COMPUTED_VALUE"""),76.57)</f>
        <v>76.57</v>
      </c>
    </row>
    <row r="112" ht="15.75" customHeight="1">
      <c r="A112" s="155">
        <f>IFERROR(__xludf.DUMMYFUNCTION("""COMPUTED_VALUE"""),44000.99861111111)</f>
        <v>44000.99861</v>
      </c>
      <c r="B112" s="150">
        <f>IFERROR(__xludf.DUMMYFUNCTION("""COMPUTED_VALUE"""),76.40065)</f>
        <v>76.40065</v>
      </c>
    </row>
    <row r="113" ht="15.75" customHeight="1">
      <c r="A113" s="155">
        <f>IFERROR(__xludf.DUMMYFUNCTION("""COMPUTED_VALUE"""),44001.99861111111)</f>
        <v>44001.99861</v>
      </c>
      <c r="B113" s="150">
        <f>IFERROR(__xludf.DUMMYFUNCTION("""COMPUTED_VALUE"""),76.25225)</f>
        <v>76.25225</v>
      </c>
    </row>
    <row r="114" ht="15.75" customHeight="1">
      <c r="A114" s="155">
        <f>IFERROR(__xludf.DUMMYFUNCTION("""COMPUTED_VALUE"""),44002.99861111111)</f>
        <v>44002.99861</v>
      </c>
      <c r="B114" s="150">
        <f>IFERROR(__xludf.DUMMYFUNCTION("""COMPUTED_VALUE"""),76.25225)</f>
        <v>76.25225</v>
      </c>
    </row>
    <row r="115" ht="15.75" customHeight="1">
      <c r="A115" s="155">
        <f>IFERROR(__xludf.DUMMYFUNCTION("""COMPUTED_VALUE"""),44003.99861111111)</f>
        <v>44003.99861</v>
      </c>
      <c r="B115" s="150">
        <f>IFERROR(__xludf.DUMMYFUNCTION("""COMPUTED_VALUE"""),76.25235)</f>
        <v>76.25235</v>
      </c>
    </row>
    <row r="116" ht="15.75" customHeight="1">
      <c r="A116" s="155">
        <f>IFERROR(__xludf.DUMMYFUNCTION("""COMPUTED_VALUE"""),44004.99861111111)</f>
        <v>44004.99861</v>
      </c>
      <c r="B116" s="150">
        <f>IFERROR(__xludf.DUMMYFUNCTION("""COMPUTED_VALUE"""),75.79005)</f>
        <v>75.79005</v>
      </c>
    </row>
    <row r="117" ht="15.75" customHeight="1">
      <c r="A117" s="155">
        <f>IFERROR(__xludf.DUMMYFUNCTION("""COMPUTED_VALUE"""),44005.99861111111)</f>
        <v>44005.99861</v>
      </c>
      <c r="B117" s="150">
        <f>IFERROR(__xludf.DUMMYFUNCTION("""COMPUTED_VALUE"""),75.61255)</f>
        <v>75.61255</v>
      </c>
    </row>
    <row r="118" ht="15.75" customHeight="1">
      <c r="A118" s="155">
        <f>IFERROR(__xludf.DUMMYFUNCTION("""COMPUTED_VALUE"""),44006.99861111111)</f>
        <v>44006.99861</v>
      </c>
      <c r="B118" s="150">
        <f>IFERROR(__xludf.DUMMYFUNCTION("""COMPUTED_VALUE"""),75.985)</f>
        <v>75.985</v>
      </c>
    </row>
    <row r="119" ht="15.75" customHeight="1">
      <c r="A119" s="155">
        <f>IFERROR(__xludf.DUMMYFUNCTION("""COMPUTED_VALUE"""),44007.99861111111)</f>
        <v>44007.99861</v>
      </c>
      <c r="B119" s="150">
        <f>IFERROR(__xludf.DUMMYFUNCTION("""COMPUTED_VALUE"""),75.54005)</f>
        <v>75.54005</v>
      </c>
    </row>
    <row r="120" ht="15.75" customHeight="1">
      <c r="A120" s="155">
        <f>IFERROR(__xludf.DUMMYFUNCTION("""COMPUTED_VALUE"""),44008.99861111111)</f>
        <v>44008.99861</v>
      </c>
      <c r="B120" s="150">
        <f>IFERROR(__xludf.DUMMYFUNCTION("""COMPUTED_VALUE"""),75.628)</f>
        <v>75.628</v>
      </c>
    </row>
    <row r="121" ht="15.75" customHeight="1">
      <c r="A121" s="157">
        <f>IFERROR(__xludf.DUMMYFUNCTION("""COMPUTED_VALUE"""),44009.99861111111)</f>
        <v>44009.99861</v>
      </c>
      <c r="B121" s="14">
        <f>IFERROR(__xludf.DUMMYFUNCTION("""COMPUTED_VALUE"""),75.628)</f>
        <v>75.628</v>
      </c>
    </row>
    <row r="122" ht="15.75" customHeight="1">
      <c r="A122" s="157">
        <f>IFERROR(__xludf.DUMMYFUNCTION("""COMPUTED_VALUE"""),44010.99861111111)</f>
        <v>44010.99861</v>
      </c>
      <c r="B122" s="14">
        <f>IFERROR(__xludf.DUMMYFUNCTION("""COMPUTED_VALUE"""),75.62005)</f>
        <v>75.62005</v>
      </c>
    </row>
    <row r="123" ht="15.75" customHeight="1">
      <c r="A123" s="157">
        <f>IFERROR(__xludf.DUMMYFUNCTION("""COMPUTED_VALUE"""),44011.99861111111)</f>
        <v>44011.99861</v>
      </c>
      <c r="B123" s="14">
        <f>IFERROR(__xludf.DUMMYFUNCTION("""COMPUTED_VALUE"""),75.7225)</f>
        <v>75.7225</v>
      </c>
    </row>
    <row r="124" ht="15.75" customHeight="1">
      <c r="A124" s="157">
        <f>IFERROR(__xludf.DUMMYFUNCTION("""COMPUTED_VALUE"""),44012.99861111111)</f>
        <v>44012.99861</v>
      </c>
      <c r="B124" s="14">
        <f>IFERROR(__xludf.DUMMYFUNCTION("""COMPUTED_VALUE"""),75.765)</f>
        <v>75.765</v>
      </c>
    </row>
    <row r="125" ht="15.75" customHeight="1">
      <c r="A125" s="157">
        <f>IFERROR(__xludf.DUMMYFUNCTION("""COMPUTED_VALUE"""),44013.99861111111)</f>
        <v>44013.99861</v>
      </c>
      <c r="B125" s="14">
        <f>IFERROR(__xludf.DUMMYFUNCTION("""COMPUTED_VALUE"""),75.45515)</f>
        <v>75.45515</v>
      </c>
    </row>
    <row r="126" ht="15.75" customHeight="1">
      <c r="A126" s="157">
        <f>IFERROR(__xludf.DUMMYFUNCTION("""COMPUTED_VALUE"""),44014.99861111111)</f>
        <v>44014.99861</v>
      </c>
      <c r="B126" s="14">
        <f>IFERROR(__xludf.DUMMYFUNCTION("""COMPUTED_VALUE"""),74.89)</f>
        <v>74.89</v>
      </c>
    </row>
    <row r="127" ht="15.75" customHeight="1">
      <c r="A127" s="157">
        <f>IFERROR(__xludf.DUMMYFUNCTION("""COMPUTED_VALUE"""),44015.99861111111)</f>
        <v>44015.99861</v>
      </c>
      <c r="B127" s="14">
        <f>IFERROR(__xludf.DUMMYFUNCTION("""COMPUTED_VALUE"""),74.67945)</f>
        <v>74.67945</v>
      </c>
    </row>
    <row r="128" ht="15.75" customHeight="1">
      <c r="A128" s="157">
        <f>IFERROR(__xludf.DUMMYFUNCTION("""COMPUTED_VALUE"""),44016.99861111111)</f>
        <v>44016.99861</v>
      </c>
      <c r="B128" s="14">
        <f>IFERROR(__xludf.DUMMYFUNCTION("""COMPUTED_VALUE"""),74.67945)</f>
        <v>74.67945</v>
      </c>
    </row>
    <row r="129" ht="15.75" customHeight="1">
      <c r="A129" s="157">
        <f>IFERROR(__xludf.DUMMYFUNCTION("""COMPUTED_VALUE"""),44017.99861111111)</f>
        <v>44017.99861</v>
      </c>
      <c r="B129" s="14">
        <f>IFERROR(__xludf.DUMMYFUNCTION("""COMPUTED_VALUE"""),74.67955)</f>
        <v>74.67955</v>
      </c>
    </row>
    <row r="130" ht="15.75" customHeight="1">
      <c r="A130" s="157">
        <f>IFERROR(__xludf.DUMMYFUNCTION("""COMPUTED_VALUE"""),44018.99861111111)</f>
        <v>44018.99861</v>
      </c>
      <c r="B130" s="14">
        <f>IFERROR(__xludf.DUMMYFUNCTION("""COMPUTED_VALUE"""),74.60785)</f>
        <v>74.60785</v>
      </c>
    </row>
    <row r="131" ht="15.75" customHeight="1">
      <c r="A131" s="157">
        <f>IFERROR(__xludf.DUMMYFUNCTION("""COMPUTED_VALUE"""),44019.99861111111)</f>
        <v>44019.99861</v>
      </c>
      <c r="B131" s="14">
        <f>IFERROR(__xludf.DUMMYFUNCTION("""COMPUTED_VALUE"""),74.90365)</f>
        <v>74.90365</v>
      </c>
    </row>
    <row r="132" ht="15.75" customHeight="1">
      <c r="A132" s="157">
        <f>IFERROR(__xludf.DUMMYFUNCTION("""COMPUTED_VALUE"""),44020.99861111111)</f>
        <v>44020.99861</v>
      </c>
      <c r="B132" s="14">
        <f>IFERROR(__xludf.DUMMYFUNCTION("""COMPUTED_VALUE"""),74.94015)</f>
        <v>74.94015</v>
      </c>
    </row>
    <row r="133" ht="15.75" customHeight="1">
      <c r="A133" s="157">
        <f>IFERROR(__xludf.DUMMYFUNCTION("""COMPUTED_VALUE"""),44021.99861111111)</f>
        <v>44021.99861</v>
      </c>
      <c r="B133" s="14">
        <f>IFERROR(__xludf.DUMMYFUNCTION("""COMPUTED_VALUE"""),75.1376)</f>
        <v>75.1376</v>
      </c>
    </row>
    <row r="134" ht="15.75" customHeight="1">
      <c r="A134" s="157">
        <f>IFERROR(__xludf.DUMMYFUNCTION("""COMPUTED_VALUE"""),44022.99861111111)</f>
        <v>44022.99861</v>
      </c>
      <c r="B134" s="14">
        <f>IFERROR(__xludf.DUMMYFUNCTION("""COMPUTED_VALUE"""),75.1587)</f>
        <v>75.1587</v>
      </c>
    </row>
    <row r="135" ht="15.75" customHeight="1">
      <c r="A135" s="157">
        <f>IFERROR(__xludf.DUMMYFUNCTION("""COMPUTED_VALUE"""),44023.99861111111)</f>
        <v>44023.99861</v>
      </c>
      <c r="B135" s="14">
        <f>IFERROR(__xludf.DUMMYFUNCTION("""COMPUTED_VALUE"""),75.1955)</f>
        <v>75.1955</v>
      </c>
    </row>
    <row r="136" ht="15.75" customHeight="1">
      <c r="A136" s="157">
        <f>IFERROR(__xludf.DUMMYFUNCTION("""COMPUTED_VALUE"""),44024.99861111111)</f>
        <v>44024.99861</v>
      </c>
      <c r="B136" s="14">
        <f>IFERROR(__xludf.DUMMYFUNCTION("""COMPUTED_VALUE"""),75.15875)</f>
        <v>75.15875</v>
      </c>
    </row>
    <row r="137" ht="15.75" customHeight="1">
      <c r="A137" s="157">
        <f>IFERROR(__xludf.DUMMYFUNCTION("""COMPUTED_VALUE"""),44025.99861111111)</f>
        <v>44025.99861</v>
      </c>
      <c r="B137" s="14">
        <f>IFERROR(__xludf.DUMMYFUNCTION("""COMPUTED_VALUE"""),75.465)</f>
        <v>75.465</v>
      </c>
    </row>
    <row r="138" ht="15.75" customHeight="1">
      <c r="A138" s="157">
        <f>IFERROR(__xludf.DUMMYFUNCTION("""COMPUTED_VALUE"""),44026.99861111111)</f>
        <v>44026.99861</v>
      </c>
      <c r="B138" s="14">
        <f>IFERROR(__xludf.DUMMYFUNCTION("""COMPUTED_VALUE"""),75.59)</f>
        <v>75.59</v>
      </c>
    </row>
    <row r="139" ht="15.75" customHeight="1">
      <c r="A139" s="158">
        <f>IFERROR(__xludf.DUMMYFUNCTION("""COMPUTED_VALUE"""),44027.99861111111)</f>
        <v>44027.99861</v>
      </c>
      <c r="B139" s="14">
        <f>IFERROR(__xludf.DUMMYFUNCTION("""COMPUTED_VALUE"""),75.11815)</f>
        <v>75.11815</v>
      </c>
    </row>
    <row r="140" ht="15.75" customHeight="1">
      <c r="A140" s="158">
        <f>IFERROR(__xludf.DUMMYFUNCTION("""COMPUTED_VALUE"""),44028.99861111111)</f>
        <v>44028.99861</v>
      </c>
      <c r="B140" s="14">
        <f>IFERROR(__xludf.DUMMYFUNCTION("""COMPUTED_VALUE"""),75.18075)</f>
        <v>75.18075</v>
      </c>
    </row>
    <row r="141" ht="15.75" customHeight="1">
      <c r="A141" s="158">
        <f>IFERROR(__xludf.DUMMYFUNCTION("""COMPUTED_VALUE"""),44029.99861111111)</f>
        <v>44029.99861</v>
      </c>
      <c r="B141" s="14">
        <f>IFERROR(__xludf.DUMMYFUNCTION("""COMPUTED_VALUE"""),74.92615)</f>
        <v>74.92615</v>
      </c>
    </row>
    <row r="142" ht="15.75" customHeight="1">
      <c r="A142" s="158">
        <f>IFERROR(__xludf.DUMMYFUNCTION("""COMPUTED_VALUE"""),44031.99861111111)</f>
        <v>44031.99861</v>
      </c>
      <c r="B142" s="14">
        <f>IFERROR(__xludf.DUMMYFUNCTION("""COMPUTED_VALUE"""),74.89755)</f>
        <v>74.89755</v>
      </c>
    </row>
    <row r="143" ht="15.75" customHeight="1">
      <c r="A143" s="158">
        <f>IFERROR(__xludf.DUMMYFUNCTION("""COMPUTED_VALUE"""),44032.99861111111)</f>
        <v>44032.99861</v>
      </c>
      <c r="B143" s="14">
        <f>IFERROR(__xludf.DUMMYFUNCTION("""COMPUTED_VALUE"""),74.75015)</f>
        <v>74.75015</v>
      </c>
    </row>
    <row r="144" ht="15.75" customHeight="1">
      <c r="A144" s="158">
        <f>IFERROR(__xludf.DUMMYFUNCTION("""COMPUTED_VALUE"""),44033.99861111111)</f>
        <v>44033.99861</v>
      </c>
      <c r="B144" s="14">
        <f>IFERROR(__xludf.DUMMYFUNCTION("""COMPUTED_VALUE"""),74.785)</f>
        <v>74.785</v>
      </c>
    </row>
    <row r="145" ht="15.75" customHeight="1">
      <c r="A145" s="158">
        <f>IFERROR(__xludf.DUMMYFUNCTION("""COMPUTED_VALUE"""),44034.99861111111)</f>
        <v>44034.99861</v>
      </c>
      <c r="B145" s="14">
        <f>IFERROR(__xludf.DUMMYFUNCTION("""COMPUTED_VALUE"""),74.8425)</f>
        <v>74.8425</v>
      </c>
    </row>
    <row r="146" ht="15.75" customHeight="1">
      <c r="A146" s="158">
        <f>IFERROR(__xludf.DUMMYFUNCTION("""COMPUTED_VALUE"""),44035.99861111111)</f>
        <v>44035.99861</v>
      </c>
      <c r="B146" s="14">
        <f>IFERROR(__xludf.DUMMYFUNCTION("""COMPUTED_VALUE"""),74.8538)</f>
        <v>74.8538</v>
      </c>
    </row>
    <row r="147" ht="15.75" customHeight="1">
      <c r="A147" s="159">
        <f>IFERROR(__xludf.DUMMYFUNCTION("""COMPUTED_VALUE"""),44036.99861111111)</f>
        <v>44036.99861</v>
      </c>
      <c r="B147" s="126">
        <f>IFERROR(__xludf.DUMMYFUNCTION("""COMPUTED_VALUE"""),74.7247)</f>
        <v>74.7247</v>
      </c>
    </row>
    <row r="148" ht="15.75" customHeight="1">
      <c r="A148" s="159">
        <f>IFERROR(__xludf.DUMMYFUNCTION("""COMPUTED_VALUE"""),44037.99861111111)</f>
        <v>44037.99861</v>
      </c>
      <c r="B148" s="126">
        <f>IFERROR(__xludf.DUMMYFUNCTION("""COMPUTED_VALUE"""),74.7247)</f>
        <v>74.7247</v>
      </c>
    </row>
    <row r="149" ht="15.75" customHeight="1">
      <c r="A149" s="159">
        <f>IFERROR(__xludf.DUMMYFUNCTION("""COMPUTED_VALUE"""),44038.99861111111)</f>
        <v>44038.99861</v>
      </c>
      <c r="B149" s="126">
        <f>IFERROR(__xludf.DUMMYFUNCTION("""COMPUTED_VALUE"""),74.76005)</f>
        <v>74.76005</v>
      </c>
    </row>
    <row r="150" ht="15.75" customHeight="1">
      <c r="A150" s="159">
        <f>IFERROR(__xludf.DUMMYFUNCTION("""COMPUTED_VALUE"""),44039.99861111111)</f>
        <v>44039.99861</v>
      </c>
      <c r="B150" s="126">
        <f>IFERROR(__xludf.DUMMYFUNCTION("""COMPUTED_VALUE"""),75.035)</f>
        <v>75.035</v>
      </c>
    </row>
    <row r="151" ht="15.75" customHeight="1">
      <c r="A151" s="159">
        <f>IFERROR(__xludf.DUMMYFUNCTION("""COMPUTED_VALUE"""),44040.99861111111)</f>
        <v>44040.99861</v>
      </c>
      <c r="B151" s="126">
        <f>IFERROR(__xludf.DUMMYFUNCTION("""COMPUTED_VALUE"""),75.12)</f>
        <v>75.12</v>
      </c>
    </row>
    <row r="152" ht="15.75" customHeight="1">
      <c r="A152" s="159">
        <f>IFERROR(__xludf.DUMMYFUNCTION("""COMPUTED_VALUE"""),44041.99861111111)</f>
        <v>44041.99861</v>
      </c>
      <c r="B152" s="126">
        <f>IFERROR(__xludf.DUMMYFUNCTION("""COMPUTED_VALUE"""),74.8317)</f>
        <v>74.8317</v>
      </c>
    </row>
    <row r="153" ht="15.75" customHeight="1">
      <c r="A153" s="159">
        <f>IFERROR(__xludf.DUMMYFUNCTION("""COMPUTED_VALUE"""),44042.99861111111)</f>
        <v>44042.99861</v>
      </c>
      <c r="B153" s="126">
        <f>IFERROR(__xludf.DUMMYFUNCTION("""COMPUTED_VALUE"""),75.005)</f>
        <v>75.005</v>
      </c>
    </row>
    <row r="154" ht="15.75" customHeight="1">
      <c r="A154" s="159">
        <f>IFERROR(__xludf.DUMMYFUNCTION("""COMPUTED_VALUE"""),44043.99861111111)</f>
        <v>44043.99861</v>
      </c>
      <c r="B154" s="126">
        <f>IFERROR(__xludf.DUMMYFUNCTION("""COMPUTED_VALUE"""),74.9299)</f>
        <v>74.9299</v>
      </c>
    </row>
    <row r="155" ht="15.75" customHeight="1">
      <c r="A155" s="159">
        <f>IFERROR(__xludf.DUMMYFUNCTION("""COMPUTED_VALUE"""),44044.99861111111)</f>
        <v>44044.99861</v>
      </c>
      <c r="B155" s="126">
        <f>IFERROR(__xludf.DUMMYFUNCTION("""COMPUTED_VALUE"""),74.9299)</f>
        <v>74.9299</v>
      </c>
    </row>
    <row r="156" ht="15.75" customHeight="1">
      <c r="A156" s="159">
        <f>IFERROR(__xludf.DUMMYFUNCTION("""COMPUTED_VALUE"""),44045.99861111111)</f>
        <v>44045.99861</v>
      </c>
      <c r="B156" s="126">
        <f>IFERROR(__xludf.DUMMYFUNCTION("""COMPUTED_VALUE"""),74.91805)</f>
        <v>74.91805</v>
      </c>
    </row>
    <row r="157" ht="15.75" customHeight="1">
      <c r="A157" s="159">
        <f>IFERROR(__xludf.DUMMYFUNCTION("""COMPUTED_VALUE"""),44046.99861111111)</f>
        <v>44046.99861</v>
      </c>
      <c r="B157" s="126">
        <f>IFERROR(__xludf.DUMMYFUNCTION("""COMPUTED_VALUE"""),75.385)</f>
        <v>75.385</v>
      </c>
    </row>
    <row r="158" ht="15.75" customHeight="1">
      <c r="A158" s="159">
        <f>IFERROR(__xludf.DUMMYFUNCTION("""COMPUTED_VALUE"""),44047.99861111111)</f>
        <v>44047.99861</v>
      </c>
      <c r="B158" s="126">
        <f>IFERROR(__xludf.DUMMYFUNCTION("""COMPUTED_VALUE"""),75.2875)</f>
        <v>75.2875</v>
      </c>
    </row>
    <row r="159" ht="15.75" customHeight="1">
      <c r="A159" s="159">
        <f>IFERROR(__xludf.DUMMYFUNCTION("""COMPUTED_VALUE"""),44048.99861111111)</f>
        <v>44048.99861</v>
      </c>
      <c r="B159" s="126">
        <f>IFERROR(__xludf.DUMMYFUNCTION("""COMPUTED_VALUE"""),74.79755)</f>
        <v>74.79755</v>
      </c>
    </row>
    <row r="160" ht="15.75" customHeight="1">
      <c r="A160" s="159">
        <f>IFERROR(__xludf.DUMMYFUNCTION("""COMPUTED_VALUE"""),44049.99861111111)</f>
        <v>44049.99861</v>
      </c>
      <c r="B160" s="126">
        <f>IFERROR(__xludf.DUMMYFUNCTION("""COMPUTED_VALUE"""),74.89925)</f>
        <v>74.89925</v>
      </c>
    </row>
    <row r="161" ht="15.75" customHeight="1">
      <c r="A161" s="159">
        <f>IFERROR(__xludf.DUMMYFUNCTION("""COMPUTED_VALUE"""),44050.99861111111)</f>
        <v>44050.99861</v>
      </c>
      <c r="B161" s="126">
        <f>IFERROR(__xludf.DUMMYFUNCTION("""COMPUTED_VALUE"""),75.04075)</f>
        <v>75.04075</v>
      </c>
    </row>
    <row r="162" ht="15.75" customHeight="1">
      <c r="A162" s="159">
        <f>IFERROR(__xludf.DUMMYFUNCTION("""COMPUTED_VALUE"""),44051.99861111111)</f>
        <v>44051.99861</v>
      </c>
      <c r="B162" s="126">
        <f>IFERROR(__xludf.DUMMYFUNCTION("""COMPUTED_VALUE"""),75.0255)</f>
        <v>75.0255</v>
      </c>
    </row>
    <row r="163" ht="15.75" customHeight="1">
      <c r="A163" s="159">
        <f>IFERROR(__xludf.DUMMYFUNCTION("""COMPUTED_VALUE"""),44052.99861111111)</f>
        <v>44052.99861</v>
      </c>
      <c r="B163" s="126">
        <f>IFERROR(__xludf.DUMMYFUNCTION("""COMPUTED_VALUE"""),75.02505)</f>
        <v>75.02505</v>
      </c>
    </row>
    <row r="164" ht="15.75" customHeight="1">
      <c r="A164" s="159">
        <f>IFERROR(__xludf.DUMMYFUNCTION("""COMPUTED_VALUE"""),44053.99861111111)</f>
        <v>44053.99861</v>
      </c>
      <c r="B164" s="126">
        <f>IFERROR(__xludf.DUMMYFUNCTION("""COMPUTED_VALUE"""),75.1175)</f>
        <v>75.1175</v>
      </c>
    </row>
    <row r="165" ht="15.75" customHeight="1">
      <c r="A165" s="159">
        <f>IFERROR(__xludf.DUMMYFUNCTION("""COMPUTED_VALUE"""),44054.99861111111)</f>
        <v>44054.99861</v>
      </c>
      <c r="B165" s="126">
        <f>IFERROR(__xludf.DUMMYFUNCTION("""COMPUTED_VALUE"""),74.925)</f>
        <v>74.925</v>
      </c>
    </row>
    <row r="166" ht="15.75" customHeight="1">
      <c r="A166" s="159">
        <f>IFERROR(__xludf.DUMMYFUNCTION("""COMPUTED_VALUE"""),44055.99861111111)</f>
        <v>44055.99861</v>
      </c>
      <c r="B166" s="126">
        <f>IFERROR(__xludf.DUMMYFUNCTION("""COMPUTED_VALUE"""),74.7736)</f>
        <v>74.7736</v>
      </c>
    </row>
    <row r="167" ht="15.75" customHeight="1">
      <c r="A167" s="159">
        <f>IFERROR(__xludf.DUMMYFUNCTION("""COMPUTED_VALUE"""),44056.99861111111)</f>
        <v>44056.99861</v>
      </c>
      <c r="B167" s="126">
        <f>IFERROR(__xludf.DUMMYFUNCTION("""COMPUTED_VALUE"""),74.82395)</f>
        <v>74.82395</v>
      </c>
    </row>
    <row r="168" ht="15.75" customHeight="1">
      <c r="A168" s="159">
        <f>IFERROR(__xludf.DUMMYFUNCTION("""COMPUTED_VALUE"""),44057.99861111111)</f>
        <v>44057.99861</v>
      </c>
      <c r="B168" s="126">
        <f>IFERROR(__xludf.DUMMYFUNCTION("""COMPUTED_VALUE"""),74.8547)</f>
        <v>74.8547</v>
      </c>
    </row>
    <row r="169" ht="15.75" customHeight="1">
      <c r="A169" s="159">
        <f>IFERROR(__xludf.DUMMYFUNCTION("""COMPUTED_VALUE"""),44058.99861111111)</f>
        <v>44058.99861</v>
      </c>
      <c r="B169" s="126">
        <f>IFERROR(__xludf.DUMMYFUNCTION("""COMPUTED_VALUE"""),74.8547)</f>
        <v>74.8547</v>
      </c>
    </row>
    <row r="170" ht="15.75" customHeight="1">
      <c r="A170" s="159">
        <f>IFERROR(__xludf.DUMMYFUNCTION("""COMPUTED_VALUE"""),44059.99861111111)</f>
        <v>44059.99861</v>
      </c>
      <c r="B170" s="126">
        <f>IFERROR(__xludf.DUMMYFUNCTION("""COMPUTED_VALUE"""),74.90305)</f>
        <v>74.90305</v>
      </c>
    </row>
    <row r="171" ht="15.75" customHeight="1">
      <c r="A171" s="159">
        <f>IFERROR(__xludf.DUMMYFUNCTION("""COMPUTED_VALUE"""),44060.99861111111)</f>
        <v>44060.99861</v>
      </c>
      <c r="B171" s="126">
        <f>IFERROR(__xludf.DUMMYFUNCTION("""COMPUTED_VALUE"""),75.0175)</f>
        <v>75.0175</v>
      </c>
    </row>
    <row r="172" ht="15.75" customHeight="1">
      <c r="A172" s="159">
        <f>IFERROR(__xludf.DUMMYFUNCTION("""COMPUTED_VALUE"""),44061.99861111111)</f>
        <v>44061.99861</v>
      </c>
      <c r="B172" s="126">
        <f>IFERROR(__xludf.DUMMYFUNCTION("""COMPUTED_VALUE"""),74.81)</f>
        <v>74.81</v>
      </c>
    </row>
    <row r="173" ht="15.75" customHeight="1">
      <c r="A173" s="159">
        <f>IFERROR(__xludf.DUMMYFUNCTION("""COMPUTED_VALUE"""),44062.99861111111)</f>
        <v>44062.99861</v>
      </c>
      <c r="B173" s="126">
        <f>IFERROR(__xludf.DUMMYFUNCTION("""COMPUTED_VALUE"""),75.2)</f>
        <v>75.2</v>
      </c>
    </row>
    <row r="174" ht="15.75" customHeight="1">
      <c r="A174" s="159">
        <f>IFERROR(__xludf.DUMMYFUNCTION("""COMPUTED_VALUE"""),44063.99861111111)</f>
        <v>44063.99861</v>
      </c>
      <c r="B174" s="126">
        <f>IFERROR(__xludf.DUMMYFUNCTION("""COMPUTED_VALUE"""),75.00515)</f>
        <v>75.00515</v>
      </c>
    </row>
    <row r="175" ht="15.75" customHeight="1">
      <c r="A175" s="159">
        <f>IFERROR(__xludf.DUMMYFUNCTION("""COMPUTED_VALUE"""),44064.99861111111)</f>
        <v>44064.99861</v>
      </c>
      <c r="B175" s="126">
        <f>IFERROR(__xludf.DUMMYFUNCTION("""COMPUTED_VALUE"""),74.9293)</f>
        <v>74.9293</v>
      </c>
    </row>
    <row r="176" ht="15.75" customHeight="1">
      <c r="A176" s="159">
        <f>IFERROR(__xludf.DUMMYFUNCTION("""COMPUTED_VALUE"""),44065.99861111111)</f>
        <v>44065.99861</v>
      </c>
      <c r="B176" s="126">
        <f>IFERROR(__xludf.DUMMYFUNCTION("""COMPUTED_VALUE"""),74.9293)</f>
        <v>74.9293</v>
      </c>
    </row>
    <row r="177" ht="15.75" customHeight="1">
      <c r="A177" s="159">
        <f>IFERROR(__xludf.DUMMYFUNCTION("""COMPUTED_VALUE"""),44066.99861111111)</f>
        <v>44066.99861</v>
      </c>
      <c r="B177" s="126">
        <f>IFERROR(__xludf.DUMMYFUNCTION("""COMPUTED_VALUE"""),74.92205)</f>
        <v>74.92205</v>
      </c>
    </row>
    <row r="178" ht="15.75" customHeight="1">
      <c r="A178" s="159">
        <f>IFERROR(__xludf.DUMMYFUNCTION("""COMPUTED_VALUE"""),44067.99861111111)</f>
        <v>44067.99861</v>
      </c>
      <c r="B178" s="126">
        <f>IFERROR(__xludf.DUMMYFUNCTION("""COMPUTED_VALUE"""),74.425)</f>
        <v>74.425</v>
      </c>
    </row>
    <row r="179" ht="15.75" customHeight="1">
      <c r="A179" s="159">
        <f>IFERROR(__xludf.DUMMYFUNCTION("""COMPUTED_VALUE"""),44068.99861111111)</f>
        <v>44068.99861</v>
      </c>
      <c r="B179" s="126">
        <f>IFERROR(__xludf.DUMMYFUNCTION("""COMPUTED_VALUE"""),74.4675)</f>
        <v>74.4675</v>
      </c>
    </row>
    <row r="180" ht="15.75" customHeight="1">
      <c r="A180" s="159">
        <f>IFERROR(__xludf.DUMMYFUNCTION("""COMPUTED_VALUE"""),44069.99861111111)</f>
        <v>44069.99861</v>
      </c>
      <c r="B180" s="126">
        <f>IFERROR(__xludf.DUMMYFUNCTION("""COMPUTED_VALUE"""),74.26105)</f>
        <v>74.26105</v>
      </c>
    </row>
    <row r="181" ht="15.75" customHeight="1">
      <c r="A181" s="159">
        <f>IFERROR(__xludf.DUMMYFUNCTION("""COMPUTED_VALUE"""),44070.99861111111)</f>
        <v>44070.99861</v>
      </c>
      <c r="B181" s="126">
        <f>IFERROR(__xludf.DUMMYFUNCTION("""COMPUTED_VALUE"""),73.77475)</f>
        <v>73.77475</v>
      </c>
    </row>
    <row r="182" ht="15.75" customHeight="1">
      <c r="A182" s="159">
        <f>IFERROR(__xludf.DUMMYFUNCTION("""COMPUTED_VALUE"""),44071.99861111111)</f>
        <v>44071.99861</v>
      </c>
      <c r="B182" s="126">
        <f>IFERROR(__xludf.DUMMYFUNCTION("""COMPUTED_VALUE"""),73.1285)</f>
        <v>73.1285</v>
      </c>
    </row>
    <row r="183" ht="15.75" customHeight="1">
      <c r="A183" s="159">
        <f>IFERROR(__xludf.DUMMYFUNCTION("""COMPUTED_VALUE"""),44072.99861111111)</f>
        <v>44072.99861</v>
      </c>
      <c r="B183" s="126">
        <f>IFERROR(__xludf.DUMMYFUNCTION("""COMPUTED_VALUE"""),73.1285)</f>
        <v>73.1285</v>
      </c>
    </row>
    <row r="184" ht="15.75" customHeight="1">
      <c r="A184" s="159">
        <f>IFERROR(__xludf.DUMMYFUNCTION("""COMPUTED_VALUE"""),44073.99861111111)</f>
        <v>44073.99861</v>
      </c>
      <c r="B184" s="126">
        <f>IFERROR(__xludf.DUMMYFUNCTION("""COMPUTED_VALUE"""),73.12855)</f>
        <v>73.12855</v>
      </c>
    </row>
    <row r="185" ht="15.75" customHeight="1">
      <c r="A185" s="159">
        <f>IFERROR(__xludf.DUMMYFUNCTION("""COMPUTED_VALUE"""),44074.99861111111)</f>
        <v>44074.99861</v>
      </c>
      <c r="B185" s="126">
        <f>IFERROR(__xludf.DUMMYFUNCTION("""COMPUTED_VALUE"""),73.685)</f>
        <v>73.685</v>
      </c>
    </row>
    <row r="186" ht="15.75" customHeight="1">
      <c r="A186" s="159">
        <f>IFERROR(__xludf.DUMMYFUNCTION("""COMPUTED_VALUE"""),44075.99861111111)</f>
        <v>44075.99861</v>
      </c>
      <c r="B186" s="126">
        <f>IFERROR(__xludf.DUMMYFUNCTION("""COMPUTED_VALUE"""),73.295)</f>
        <v>73.295</v>
      </c>
    </row>
    <row r="187" ht="15.75" customHeight="1">
      <c r="A187" s="159">
        <f>IFERROR(__xludf.DUMMYFUNCTION("""COMPUTED_VALUE"""),44076.99861111111)</f>
        <v>44076.99861</v>
      </c>
      <c r="B187" s="126">
        <f>IFERROR(__xludf.DUMMYFUNCTION("""COMPUTED_VALUE"""),73.24875)</f>
        <v>73.24875</v>
      </c>
    </row>
    <row r="188" ht="15.75" customHeight="1">
      <c r="A188" s="159">
        <f>IFERROR(__xludf.DUMMYFUNCTION("""COMPUTED_VALUE"""),44077.99861111111)</f>
        <v>44077.99861</v>
      </c>
      <c r="B188" s="126">
        <f>IFERROR(__xludf.DUMMYFUNCTION("""COMPUTED_VALUE"""),73.4514)</f>
        <v>73.4514</v>
      </c>
    </row>
    <row r="189" ht="15.75" customHeight="1">
      <c r="A189" s="159">
        <f>IFERROR(__xludf.DUMMYFUNCTION("""COMPUTED_VALUE"""),44078.99861111111)</f>
        <v>44078.99861</v>
      </c>
      <c r="B189" s="126">
        <f>IFERROR(__xludf.DUMMYFUNCTION("""COMPUTED_VALUE"""),73.2462)</f>
        <v>73.2462</v>
      </c>
    </row>
    <row r="190" ht="15.75" customHeight="1">
      <c r="A190" s="159">
        <f>IFERROR(__xludf.DUMMYFUNCTION("""COMPUTED_VALUE"""),44079.99861111111)</f>
        <v>44079.99861</v>
      </c>
      <c r="B190" s="126">
        <f>IFERROR(__xludf.DUMMYFUNCTION("""COMPUTED_VALUE"""),73.2462)</f>
        <v>73.2462</v>
      </c>
    </row>
    <row r="191" ht="15.75" customHeight="1">
      <c r="A191" s="159">
        <f>IFERROR(__xludf.DUMMYFUNCTION("""COMPUTED_VALUE"""),44080.99861111111)</f>
        <v>44080.99861</v>
      </c>
      <c r="B191" s="126">
        <f>IFERROR(__xludf.DUMMYFUNCTION("""COMPUTED_VALUE"""),73.29055)</f>
        <v>73.29055</v>
      </c>
    </row>
    <row r="192" ht="15.75" customHeight="1">
      <c r="A192" s="159">
        <f>IFERROR(__xludf.DUMMYFUNCTION("""COMPUTED_VALUE"""),44081.99861111111)</f>
        <v>44081.99861</v>
      </c>
      <c r="B192" s="126">
        <f>IFERROR(__xludf.DUMMYFUNCTION("""COMPUTED_VALUE"""),73.685)</f>
        <v>73.685</v>
      </c>
    </row>
    <row r="193" ht="15.75" customHeight="1">
      <c r="A193" s="159">
        <f>IFERROR(__xludf.DUMMYFUNCTION("""COMPUTED_VALUE"""),44082.99861111111)</f>
        <v>44082.99861</v>
      </c>
      <c r="B193" s="126">
        <f>IFERROR(__xludf.DUMMYFUNCTION("""COMPUTED_VALUE"""),73.78705)</f>
        <v>73.78705</v>
      </c>
    </row>
    <row r="194" ht="15.75" customHeight="1">
      <c r="A194" s="159">
        <f>IFERROR(__xludf.DUMMYFUNCTION("""COMPUTED_VALUE"""),44083.99861111111)</f>
        <v>44083.99861</v>
      </c>
      <c r="B194" s="126">
        <f>IFERROR(__xludf.DUMMYFUNCTION("""COMPUTED_VALUE"""),73.575)</f>
        <v>73.575</v>
      </c>
    </row>
    <row r="195" ht="15.75" customHeight="1">
      <c r="A195" s="159">
        <f>IFERROR(__xludf.DUMMYFUNCTION("""COMPUTED_VALUE"""),44084.99861111111)</f>
        <v>44084.99861</v>
      </c>
      <c r="B195" s="126">
        <f>IFERROR(__xludf.DUMMYFUNCTION("""COMPUTED_VALUE"""),73.53455)</f>
        <v>73.53455</v>
      </c>
    </row>
    <row r="196" ht="15.75" customHeight="1">
      <c r="A196" s="159">
        <f>IFERROR(__xludf.DUMMYFUNCTION("""COMPUTED_VALUE"""),44085.99861111111)</f>
        <v>44085.99861</v>
      </c>
      <c r="B196" s="126">
        <f>IFERROR(__xludf.DUMMYFUNCTION("""COMPUTED_VALUE"""),73.4765)</f>
        <v>73.4765</v>
      </c>
    </row>
    <row r="197" ht="15.75" customHeight="1">
      <c r="A197" s="159">
        <f>IFERROR(__xludf.DUMMYFUNCTION("""COMPUTED_VALUE"""),44086.99861111111)</f>
        <v>44086.99861</v>
      </c>
      <c r="B197" s="126">
        <f>IFERROR(__xludf.DUMMYFUNCTION("""COMPUTED_VALUE"""),73.4765)</f>
        <v>73.4765</v>
      </c>
    </row>
    <row r="198" ht="15.75" customHeight="1">
      <c r="A198" s="159">
        <f>IFERROR(__xludf.DUMMYFUNCTION("""COMPUTED_VALUE"""),44087.99861111111)</f>
        <v>44087.99861</v>
      </c>
      <c r="B198" s="126">
        <f>IFERROR(__xludf.DUMMYFUNCTION("""COMPUTED_VALUE"""),73.47885)</f>
        <v>73.47885</v>
      </c>
    </row>
    <row r="199" ht="15.75" customHeight="1">
      <c r="A199" s="159">
        <f>IFERROR(__xludf.DUMMYFUNCTION("""COMPUTED_VALUE"""),44088.99861111111)</f>
        <v>44088.99861</v>
      </c>
      <c r="B199" s="126">
        <f>IFERROR(__xludf.DUMMYFUNCTION("""COMPUTED_VALUE"""),73.6325)</f>
        <v>73.6325</v>
      </c>
    </row>
    <row r="200" ht="15.75" customHeight="1">
      <c r="A200" s="159">
        <f>IFERROR(__xludf.DUMMYFUNCTION("""COMPUTED_VALUE"""),44089.99861111111)</f>
        <v>44089.99861</v>
      </c>
      <c r="B200" s="126">
        <f>IFERROR(__xludf.DUMMYFUNCTION("""COMPUTED_VALUE"""),73.8325)</f>
        <v>73.8325</v>
      </c>
    </row>
    <row r="201" ht="15.75" customHeight="1">
      <c r="A201" s="159">
        <f>IFERROR(__xludf.DUMMYFUNCTION("""COMPUTED_VALUE"""),44090.99861111111)</f>
        <v>44090.99861</v>
      </c>
      <c r="B201" s="126">
        <f>IFERROR(__xludf.DUMMYFUNCTION("""COMPUTED_VALUE"""),73.5512)</f>
        <v>73.5512</v>
      </c>
    </row>
    <row r="202" ht="15.75" customHeight="1">
      <c r="A202" s="159">
        <f>IFERROR(__xludf.DUMMYFUNCTION("""COMPUTED_VALUE"""),44091.99861111111)</f>
        <v>44091.99861</v>
      </c>
      <c r="B202" s="126">
        <f>IFERROR(__xludf.DUMMYFUNCTION("""COMPUTED_VALUE"""),73.58385)</f>
        <v>73.58385</v>
      </c>
    </row>
    <row r="203" ht="15.75" customHeight="1">
      <c r="A203" s="159">
        <f>IFERROR(__xludf.DUMMYFUNCTION("""COMPUTED_VALUE"""),44092.99861111111)</f>
        <v>44092.99861</v>
      </c>
      <c r="B203" s="126">
        <f>IFERROR(__xludf.DUMMYFUNCTION("""COMPUTED_VALUE"""),73.61015)</f>
        <v>73.61015</v>
      </c>
    </row>
    <row r="204" ht="15.75" customHeight="1">
      <c r="A204" s="159">
        <f>IFERROR(__xludf.DUMMYFUNCTION("""COMPUTED_VALUE"""),44093.99861111111)</f>
        <v>44093.99861</v>
      </c>
      <c r="B204" s="126">
        <f>IFERROR(__xludf.DUMMYFUNCTION("""COMPUTED_VALUE"""),73.61015)</f>
        <v>73.61015</v>
      </c>
    </row>
    <row r="205" ht="15.75" customHeight="1">
      <c r="A205" s="159">
        <f>IFERROR(__xludf.DUMMYFUNCTION("""COMPUTED_VALUE"""),44094.99861111111)</f>
        <v>44094.99861</v>
      </c>
      <c r="B205" s="126">
        <f>IFERROR(__xludf.DUMMYFUNCTION("""COMPUTED_VALUE"""),73.53505)</f>
        <v>73.53505</v>
      </c>
    </row>
    <row r="206" ht="15.75" customHeight="1">
      <c r="A206" s="159">
        <f>IFERROR(__xludf.DUMMYFUNCTION("""COMPUTED_VALUE"""),44095.99861111111)</f>
        <v>44095.99861</v>
      </c>
      <c r="B206" s="126">
        <f>IFERROR(__xludf.DUMMYFUNCTION("""COMPUTED_VALUE"""),73.58005)</f>
        <v>73.58005</v>
      </c>
    </row>
    <row r="207" ht="15.75" customHeight="1">
      <c r="A207" s="159">
        <f>IFERROR(__xludf.DUMMYFUNCTION("""COMPUTED_VALUE"""),44096.99861111111)</f>
        <v>44096.99861</v>
      </c>
      <c r="B207" s="126">
        <f>IFERROR(__xludf.DUMMYFUNCTION("""COMPUTED_VALUE"""),73.50325)</f>
        <v>73.50325</v>
      </c>
    </row>
    <row r="208" ht="15.75" customHeight="1">
      <c r="A208" s="159">
        <f>IFERROR(__xludf.DUMMYFUNCTION("""COMPUTED_VALUE"""),44097.99861111111)</f>
        <v>44097.99861</v>
      </c>
      <c r="B208" s="126">
        <f>IFERROR(__xludf.DUMMYFUNCTION("""COMPUTED_VALUE"""),73.7819)</f>
        <v>73.7819</v>
      </c>
    </row>
    <row r="209" ht="15.75" customHeight="1">
      <c r="A209" s="159">
        <f>IFERROR(__xludf.DUMMYFUNCTION("""COMPUTED_VALUE"""),44098.99861111111)</f>
        <v>44098.99861</v>
      </c>
      <c r="B209" s="126">
        <f>IFERROR(__xludf.DUMMYFUNCTION("""COMPUTED_VALUE"""),73.6859)</f>
        <v>73.6859</v>
      </c>
    </row>
    <row r="210" ht="15.75" customHeight="1">
      <c r="A210" s="159">
        <f>IFERROR(__xludf.DUMMYFUNCTION("""COMPUTED_VALUE"""),44099.99861111111)</f>
        <v>44099.99861</v>
      </c>
      <c r="B210" s="126">
        <f>IFERROR(__xludf.DUMMYFUNCTION("""COMPUTED_VALUE"""),73.6995)</f>
        <v>73.6995</v>
      </c>
    </row>
    <row r="211" ht="15.75" customHeight="1">
      <c r="A211" s="159">
        <f>IFERROR(__xludf.DUMMYFUNCTION("""COMPUTED_VALUE"""),44100.99861111111)</f>
        <v>44100.99861</v>
      </c>
      <c r="B211" s="126">
        <f>IFERROR(__xludf.DUMMYFUNCTION("""COMPUTED_VALUE"""),73.6995)</f>
        <v>73.6995</v>
      </c>
    </row>
    <row r="212" ht="15.75" customHeight="1">
      <c r="A212" s="159">
        <f>IFERROR(__xludf.DUMMYFUNCTION("""COMPUTED_VALUE"""),44101.99861111111)</f>
        <v>44101.99861</v>
      </c>
      <c r="B212" s="126">
        <f>IFERROR(__xludf.DUMMYFUNCTION("""COMPUTED_VALUE"""),73.69955)</f>
        <v>73.69955</v>
      </c>
    </row>
    <row r="213" ht="15.75" customHeight="1">
      <c r="A213" s="159">
        <f>IFERROR(__xludf.DUMMYFUNCTION("""COMPUTED_VALUE"""),44102.99861111111)</f>
        <v>44102.99861</v>
      </c>
      <c r="B213" s="126">
        <f>IFERROR(__xludf.DUMMYFUNCTION("""COMPUTED_VALUE"""),73.99)</f>
        <v>73.99</v>
      </c>
    </row>
    <row r="214" ht="15.75" customHeight="1">
      <c r="A214" s="159">
        <f>IFERROR(__xludf.DUMMYFUNCTION("""COMPUTED_VALUE"""),44103.99861111111)</f>
        <v>44103.99861</v>
      </c>
      <c r="B214" s="126">
        <f>IFERROR(__xludf.DUMMYFUNCTION("""COMPUTED_VALUE"""),73.7265)</f>
        <v>73.7265</v>
      </c>
    </row>
    <row r="215" ht="15.75" customHeight="1">
      <c r="A215" s="159">
        <f>IFERROR(__xludf.DUMMYFUNCTION("""COMPUTED_VALUE"""),44104.99861111111)</f>
        <v>44104.99861</v>
      </c>
      <c r="B215" s="126">
        <f>IFERROR(__xludf.DUMMYFUNCTION("""COMPUTED_VALUE"""),73.765)</f>
        <v>73.765</v>
      </c>
    </row>
    <row r="216" ht="15.75" customHeight="1">
      <c r="A216" s="159">
        <f>IFERROR(__xludf.DUMMYFUNCTION("""COMPUTED_VALUE"""),44105.99861111111)</f>
        <v>44105.99861</v>
      </c>
      <c r="B216" s="126">
        <f>IFERROR(__xludf.DUMMYFUNCTION("""COMPUTED_VALUE"""),73.25435)</f>
        <v>73.25435</v>
      </c>
    </row>
    <row r="217" ht="15.75" customHeight="1">
      <c r="A217" s="159">
        <f>IFERROR(__xludf.DUMMYFUNCTION("""COMPUTED_VALUE"""),44106.99861111111)</f>
        <v>44106.99861</v>
      </c>
      <c r="B217" s="126">
        <f>IFERROR(__xludf.DUMMYFUNCTION("""COMPUTED_VALUE"""),73.3226)</f>
        <v>73.3226</v>
      </c>
    </row>
    <row r="218" ht="15.75" customHeight="1">
      <c r="A218" s="159">
        <f>IFERROR(__xludf.DUMMYFUNCTION("""COMPUTED_VALUE"""),44107.99861111111)</f>
        <v>44107.99861</v>
      </c>
      <c r="B218" s="126">
        <f>IFERROR(__xludf.DUMMYFUNCTION("""COMPUTED_VALUE"""),73.3226)</f>
        <v>73.3226</v>
      </c>
    </row>
    <row r="219" ht="15.75" customHeight="1">
      <c r="A219" s="159">
        <f>IFERROR(__xludf.DUMMYFUNCTION("""COMPUTED_VALUE"""),44108.99861111111)</f>
        <v>44108.99861</v>
      </c>
      <c r="B219" s="126">
        <f>IFERROR(__xludf.DUMMYFUNCTION("""COMPUTED_VALUE"""),73.32265)</f>
        <v>73.32265</v>
      </c>
    </row>
    <row r="220" ht="15.75" customHeight="1">
      <c r="A220" s="159">
        <f>IFERROR(__xludf.DUMMYFUNCTION("""COMPUTED_VALUE"""),44109.99861111111)</f>
        <v>44109.99861</v>
      </c>
      <c r="B220" s="126">
        <f>IFERROR(__xludf.DUMMYFUNCTION("""COMPUTED_VALUE"""),73.11355)</f>
        <v>73.11355</v>
      </c>
    </row>
    <row r="221" ht="15.75" customHeight="1">
      <c r="A221" s="159">
        <f>IFERROR(__xludf.DUMMYFUNCTION("""COMPUTED_VALUE"""),44110.99861111111)</f>
        <v>44110.99861</v>
      </c>
      <c r="B221" s="126">
        <f>IFERROR(__xludf.DUMMYFUNCTION("""COMPUTED_VALUE"""),73.6184)</f>
        <v>73.6184</v>
      </c>
    </row>
    <row r="222" ht="15.75" customHeight="1">
      <c r="A222" s="159">
        <f>IFERROR(__xludf.DUMMYFUNCTION("""COMPUTED_VALUE"""),44111.99861111111)</f>
        <v>44111.99861</v>
      </c>
      <c r="B222" s="126">
        <f>IFERROR(__xludf.DUMMYFUNCTION("""COMPUTED_VALUE"""),73.5575)</f>
        <v>73.5575</v>
      </c>
    </row>
    <row r="223" ht="15.75" customHeight="1">
      <c r="A223" s="159">
        <f>IFERROR(__xludf.DUMMYFUNCTION("""COMPUTED_VALUE"""),44112.99861111111)</f>
        <v>44112.99861</v>
      </c>
      <c r="B223" s="126">
        <f>IFERROR(__xludf.DUMMYFUNCTION("""COMPUTED_VALUE"""),73.282)</f>
        <v>73.282</v>
      </c>
    </row>
    <row r="224" ht="15.75" customHeight="1">
      <c r="A224" s="159">
        <f>IFERROR(__xludf.DUMMYFUNCTION("""COMPUTED_VALUE"""),44113.99861111111)</f>
        <v>44113.99861</v>
      </c>
      <c r="B224" s="126">
        <f>IFERROR(__xludf.DUMMYFUNCTION("""COMPUTED_VALUE"""),72.9612)</f>
        <v>72.9612</v>
      </c>
    </row>
    <row r="225" ht="15.75" customHeight="1">
      <c r="A225" s="159">
        <f>IFERROR(__xludf.DUMMYFUNCTION("""COMPUTED_VALUE"""),44114.99861111111)</f>
        <v>44114.99861</v>
      </c>
      <c r="B225" s="126">
        <f>IFERROR(__xludf.DUMMYFUNCTION("""COMPUTED_VALUE"""),72.9612)</f>
        <v>72.9612</v>
      </c>
    </row>
    <row r="226" ht="15.75" customHeight="1">
      <c r="A226" s="159">
        <f>IFERROR(__xludf.DUMMYFUNCTION("""COMPUTED_VALUE"""),44115.99861111111)</f>
        <v>44115.99861</v>
      </c>
      <c r="B226" s="126">
        <f>IFERROR(__xludf.DUMMYFUNCTION("""COMPUTED_VALUE"""),73.01505)</f>
        <v>73.01505</v>
      </c>
    </row>
    <row r="227" ht="15.75" customHeight="1">
      <c r="A227" s="159">
        <f>IFERROR(__xludf.DUMMYFUNCTION("""COMPUTED_VALUE"""),44116.99861111111)</f>
        <v>44116.99861</v>
      </c>
      <c r="B227" s="126">
        <f>IFERROR(__xludf.DUMMYFUNCTION("""COMPUTED_VALUE"""),73.35105)</f>
        <v>73.35105</v>
      </c>
    </row>
    <row r="228" ht="15.75" customHeight="1">
      <c r="A228" s="159">
        <f>IFERROR(__xludf.DUMMYFUNCTION("""COMPUTED_VALUE"""),44117.99861111111)</f>
        <v>44117.99861</v>
      </c>
      <c r="B228" s="126">
        <f>IFERROR(__xludf.DUMMYFUNCTION("""COMPUTED_VALUE"""),73.64)</f>
        <v>73.64</v>
      </c>
    </row>
    <row r="229" ht="15.75" customHeight="1">
      <c r="A229" s="159">
        <f>IFERROR(__xludf.DUMMYFUNCTION("""COMPUTED_VALUE"""),44118.99861111111)</f>
        <v>44118.99861</v>
      </c>
      <c r="B229" s="126">
        <f>IFERROR(__xludf.DUMMYFUNCTION("""COMPUTED_VALUE"""),73.29645)</f>
        <v>73.29645</v>
      </c>
    </row>
    <row r="230" ht="15.75" customHeight="1">
      <c r="A230" s="159">
        <f>IFERROR(__xludf.DUMMYFUNCTION("""COMPUTED_VALUE"""),44119.99861111111)</f>
        <v>44119.99861</v>
      </c>
      <c r="B230" s="126">
        <f>IFERROR(__xludf.DUMMYFUNCTION("""COMPUTED_VALUE"""),73.585)</f>
        <v>73.585</v>
      </c>
    </row>
    <row r="231" ht="15.75" customHeight="1">
      <c r="A231" s="159">
        <f>IFERROR(__xludf.DUMMYFUNCTION("""COMPUTED_VALUE"""),44120.99861111111)</f>
        <v>44120.99861</v>
      </c>
      <c r="B231" s="126">
        <f>IFERROR(__xludf.DUMMYFUNCTION("""COMPUTED_VALUE"""),73.443)</f>
        <v>73.443</v>
      </c>
    </row>
    <row r="232" ht="15.75" customHeight="1">
      <c r="A232" s="159">
        <f>IFERROR(__xludf.DUMMYFUNCTION("""COMPUTED_VALUE"""),44121.99861111111)</f>
        <v>44121.99861</v>
      </c>
      <c r="B232" s="126">
        <f>IFERROR(__xludf.DUMMYFUNCTION("""COMPUTED_VALUE"""),73.443)</f>
        <v>73.443</v>
      </c>
    </row>
    <row r="233" ht="15.75" customHeight="1">
      <c r="A233" s="159">
        <f>IFERROR(__xludf.DUMMYFUNCTION("""COMPUTED_VALUE"""),44122.99861111111)</f>
        <v>44122.99861</v>
      </c>
      <c r="B233" s="126">
        <f>IFERROR(__xludf.DUMMYFUNCTION("""COMPUTED_VALUE"""),73.44405)</f>
        <v>73.44405</v>
      </c>
    </row>
    <row r="234" ht="15.75" customHeight="1">
      <c r="A234" s="159">
        <f>IFERROR(__xludf.DUMMYFUNCTION("""COMPUTED_VALUE"""),44123.99861111111)</f>
        <v>44123.99861</v>
      </c>
      <c r="B234" s="126">
        <f>IFERROR(__xludf.DUMMYFUNCTION("""COMPUTED_VALUE"""),73.605)</f>
        <v>73.605</v>
      </c>
    </row>
    <row r="235" ht="15.75" customHeight="1">
      <c r="A235" s="159">
        <f>IFERROR(__xludf.DUMMYFUNCTION("""COMPUTED_VALUE"""),44124.99861111111)</f>
        <v>44124.99861</v>
      </c>
      <c r="B235" s="126">
        <f>IFERROR(__xludf.DUMMYFUNCTION("""COMPUTED_VALUE"""),73.48575)</f>
        <v>73.48575</v>
      </c>
    </row>
    <row r="236" ht="15.75" customHeight="1">
      <c r="A236" s="159">
        <f>IFERROR(__xludf.DUMMYFUNCTION("""COMPUTED_VALUE"""),44125.99861111111)</f>
        <v>44125.99861</v>
      </c>
      <c r="B236" s="126">
        <f>IFERROR(__xludf.DUMMYFUNCTION("""COMPUTED_VALUE"""),73.7258)</f>
        <v>73.7258</v>
      </c>
    </row>
    <row r="237" ht="15.75" customHeight="1">
      <c r="A237" s="159">
        <f>IFERROR(__xludf.DUMMYFUNCTION("""COMPUTED_VALUE"""),44126.99861111111)</f>
        <v>44126.99861</v>
      </c>
      <c r="B237" s="126">
        <f>IFERROR(__xludf.DUMMYFUNCTION("""COMPUTED_VALUE"""),73.7272)</f>
        <v>73.7272</v>
      </c>
    </row>
    <row r="238" ht="15.75" customHeight="1">
      <c r="A238" s="159">
        <f>IFERROR(__xludf.DUMMYFUNCTION("""COMPUTED_VALUE"""),44127.99861111111)</f>
        <v>44127.99861</v>
      </c>
      <c r="B238" s="126">
        <f>IFERROR(__xludf.DUMMYFUNCTION("""COMPUTED_VALUE"""),73.83415)</f>
        <v>73.83415</v>
      </c>
    </row>
    <row r="239" ht="15.75" customHeight="1">
      <c r="A239" s="159">
        <f>IFERROR(__xludf.DUMMYFUNCTION("""COMPUTED_VALUE"""),44128.99861111111)</f>
        <v>44128.99861</v>
      </c>
      <c r="B239" s="126">
        <f>IFERROR(__xludf.DUMMYFUNCTION("""COMPUTED_VALUE"""),73.83415)</f>
        <v>73.83415</v>
      </c>
    </row>
    <row r="240" ht="15.75" customHeight="1">
      <c r="A240" s="159">
        <f>IFERROR(__xludf.DUMMYFUNCTION("""COMPUTED_VALUE"""),44129.99861111111)</f>
        <v>44129.99861</v>
      </c>
      <c r="B240" s="126">
        <f>IFERROR(__xludf.DUMMYFUNCTION("""COMPUTED_VALUE"""),73.83415)</f>
        <v>73.83415</v>
      </c>
    </row>
    <row r="241" ht="15.75" customHeight="1">
      <c r="A241" s="159">
        <f>IFERROR(__xludf.DUMMYFUNCTION("""COMPUTED_VALUE"""),44130.99861111111)</f>
        <v>44130.99861</v>
      </c>
      <c r="B241" s="126">
        <f>IFERROR(__xludf.DUMMYFUNCTION("""COMPUTED_VALUE"""),73.94275)</f>
        <v>73.94275</v>
      </c>
    </row>
    <row r="242" ht="15.75" customHeight="1">
      <c r="A242" s="159">
        <f>IFERROR(__xludf.DUMMYFUNCTION("""COMPUTED_VALUE"""),44131.99861111111)</f>
        <v>44131.99861</v>
      </c>
      <c r="B242" s="126">
        <f>IFERROR(__xludf.DUMMYFUNCTION("""COMPUTED_VALUE"""),73.81325)</f>
        <v>73.81325</v>
      </c>
    </row>
    <row r="243" ht="15.75" customHeight="1">
      <c r="A243" s="159">
        <f>IFERROR(__xludf.DUMMYFUNCTION("""COMPUTED_VALUE"""),44132.99861111111)</f>
        <v>44132.99861</v>
      </c>
      <c r="B243" s="126">
        <f>IFERROR(__xludf.DUMMYFUNCTION("""COMPUTED_VALUE"""),74.455)</f>
        <v>74.455</v>
      </c>
    </row>
    <row r="244" ht="15.75" customHeight="1">
      <c r="A244" s="159">
        <f>IFERROR(__xludf.DUMMYFUNCTION("""COMPUTED_VALUE"""),44133.99861111111)</f>
        <v>44133.99861</v>
      </c>
      <c r="B244" s="126">
        <f>IFERROR(__xludf.DUMMYFUNCTION("""COMPUTED_VALUE"""),74.2825)</f>
        <v>74.2825</v>
      </c>
    </row>
    <row r="245" ht="15.75" customHeight="1">
      <c r="A245" s="159">
        <f>IFERROR(__xludf.DUMMYFUNCTION("""COMPUTED_VALUE"""),44134.99861111111)</f>
        <v>44134.99861</v>
      </c>
      <c r="B245" s="126">
        <f>IFERROR(__xludf.DUMMYFUNCTION("""COMPUTED_VALUE"""),74.5478)</f>
        <v>74.5478</v>
      </c>
    </row>
    <row r="246" ht="15.75" customHeight="1">
      <c r="A246" s="159">
        <f>IFERROR(__xludf.DUMMYFUNCTION("""COMPUTED_VALUE"""),44135.99861111111)</f>
        <v>44135.99861</v>
      </c>
      <c r="B246" s="126">
        <f>IFERROR(__xludf.DUMMYFUNCTION("""COMPUTED_VALUE"""),74.5478)</f>
        <v>74.5478</v>
      </c>
    </row>
    <row r="247" ht="15.75" customHeight="1">
      <c r="A247" s="159">
        <f>IFERROR(__xludf.DUMMYFUNCTION("""COMPUTED_VALUE"""),44136.99861111111)</f>
        <v>44136.99861</v>
      </c>
      <c r="B247" s="126">
        <f>IFERROR(__xludf.DUMMYFUNCTION("""COMPUTED_VALUE"""),74.5478)</f>
        <v>74.5478</v>
      </c>
    </row>
    <row r="248" ht="15.75" customHeight="1">
      <c r="A248" s="159">
        <f>IFERROR(__xludf.DUMMYFUNCTION("""COMPUTED_VALUE"""),44137.99861111111)</f>
        <v>44137.99861</v>
      </c>
      <c r="B248" s="126">
        <f>IFERROR(__xludf.DUMMYFUNCTION("""COMPUTED_VALUE"""),74.4603)</f>
        <v>74.4603</v>
      </c>
    </row>
    <row r="249" ht="15.75" customHeight="1">
      <c r="A249" s="159">
        <f>IFERROR(__xludf.DUMMYFUNCTION("""COMPUTED_VALUE"""),44138.99861111111)</f>
        <v>44138.99861</v>
      </c>
      <c r="B249" s="126">
        <f>IFERROR(__xludf.DUMMYFUNCTION("""COMPUTED_VALUE"""),74.8825)</f>
        <v>74.8825</v>
      </c>
    </row>
    <row r="250" ht="15.75" customHeight="1">
      <c r="A250" s="159">
        <f>IFERROR(__xludf.DUMMYFUNCTION("""COMPUTED_VALUE"""),44139.99861111111)</f>
        <v>44139.99861</v>
      </c>
      <c r="B250" s="126">
        <f>IFERROR(__xludf.DUMMYFUNCTION("""COMPUTED_VALUE"""),74.4075)</f>
        <v>74.4075</v>
      </c>
    </row>
    <row r="251" ht="15.75" customHeight="1">
      <c r="A251" s="159">
        <f>IFERROR(__xludf.DUMMYFUNCTION("""COMPUTED_VALUE"""),44140.99861111111)</f>
        <v>44140.99861</v>
      </c>
      <c r="B251" s="126">
        <f>IFERROR(__xludf.DUMMYFUNCTION("""COMPUTED_VALUE"""),74.1375)</f>
        <v>74.1375</v>
      </c>
    </row>
    <row r="252" ht="15.75" customHeight="1">
      <c r="A252" s="159">
        <f>IFERROR(__xludf.DUMMYFUNCTION("""COMPUTED_VALUE"""),44141.99861111111)</f>
        <v>44141.99861</v>
      </c>
      <c r="B252" s="126">
        <f>IFERROR(__xludf.DUMMYFUNCTION("""COMPUTED_VALUE"""),73.98115)</f>
        <v>73.98115</v>
      </c>
    </row>
    <row r="253" ht="15.75" customHeight="1">
      <c r="A253" s="159">
        <f>IFERROR(__xludf.DUMMYFUNCTION("""COMPUTED_VALUE"""),44142.99861111111)</f>
        <v>44142.99861</v>
      </c>
      <c r="B253" s="126">
        <f>IFERROR(__xludf.DUMMYFUNCTION("""COMPUTED_VALUE"""),73.98115)</f>
        <v>73.98115</v>
      </c>
    </row>
    <row r="254" ht="15.75" customHeight="1">
      <c r="A254" s="159">
        <f>IFERROR(__xludf.DUMMYFUNCTION("""COMPUTED_VALUE"""),44143.99861111111)</f>
        <v>44143.99861</v>
      </c>
      <c r="B254" s="126">
        <f>IFERROR(__xludf.DUMMYFUNCTION("""COMPUTED_VALUE"""),73.98115)</f>
        <v>73.98115</v>
      </c>
    </row>
    <row r="255" ht="15.75" customHeight="1">
      <c r="A255" s="159">
        <f>IFERROR(__xludf.DUMMYFUNCTION("""COMPUTED_VALUE"""),44144.99861111111)</f>
        <v>44144.99861</v>
      </c>
      <c r="B255" s="126">
        <f>IFERROR(__xludf.DUMMYFUNCTION("""COMPUTED_VALUE"""),73.9574)</f>
        <v>73.9574</v>
      </c>
    </row>
    <row r="256" ht="15.75" customHeight="1">
      <c r="A256" s="159">
        <f>IFERROR(__xludf.DUMMYFUNCTION("""COMPUTED_VALUE"""),44145.99861111111)</f>
        <v>44145.99861</v>
      </c>
      <c r="B256" s="126">
        <f>IFERROR(__xludf.DUMMYFUNCTION("""COMPUTED_VALUE"""),74.2853)</f>
        <v>74.2853</v>
      </c>
    </row>
    <row r="257" ht="15.75" customHeight="1">
      <c r="A257" s="159">
        <f>IFERROR(__xludf.DUMMYFUNCTION("""COMPUTED_VALUE"""),44146.99861111111)</f>
        <v>44146.99861</v>
      </c>
      <c r="B257" s="126">
        <f>IFERROR(__xludf.DUMMYFUNCTION("""COMPUTED_VALUE"""),74.625)</f>
        <v>74.625</v>
      </c>
    </row>
    <row r="258" ht="15.75" customHeight="1">
      <c r="A258" s="159">
        <f>IFERROR(__xludf.DUMMYFUNCTION("""COMPUTED_VALUE"""),44147.99861111111)</f>
        <v>44147.99861</v>
      </c>
      <c r="B258" s="126">
        <f>IFERROR(__xludf.DUMMYFUNCTION("""COMPUTED_VALUE"""),74.8875)</f>
        <v>74.8875</v>
      </c>
    </row>
    <row r="259" ht="15.75" customHeight="1">
      <c r="A259" s="159">
        <f>IFERROR(__xludf.DUMMYFUNCTION("""COMPUTED_VALUE"""),44148.99861111111)</f>
        <v>44148.99861</v>
      </c>
      <c r="B259" s="126">
        <f>IFERROR(__xludf.DUMMYFUNCTION("""COMPUTED_VALUE"""),74.5379)</f>
        <v>74.5379</v>
      </c>
    </row>
    <row r="260" ht="15.75" customHeight="1">
      <c r="A260" s="159">
        <f>IFERROR(__xludf.DUMMYFUNCTION("""COMPUTED_VALUE"""),44149.99861111111)</f>
        <v>44149.99861</v>
      </c>
      <c r="B260" s="126">
        <f>IFERROR(__xludf.DUMMYFUNCTION("""COMPUTED_VALUE"""),74.5379)</f>
        <v>74.5379</v>
      </c>
    </row>
    <row r="261" ht="15.75" customHeight="1">
      <c r="A261" s="159">
        <f>IFERROR(__xludf.DUMMYFUNCTION("""COMPUTED_VALUE"""),44150.99861111111)</f>
        <v>44150.99861</v>
      </c>
      <c r="B261" s="126">
        <f>IFERROR(__xludf.DUMMYFUNCTION("""COMPUTED_VALUE"""),74.5379)</f>
        <v>74.5379</v>
      </c>
    </row>
    <row r="262" ht="15.75" customHeight="1">
      <c r="A262" s="159">
        <f>IFERROR(__xludf.DUMMYFUNCTION("""COMPUTED_VALUE"""),44151.99861111111)</f>
        <v>44151.99861</v>
      </c>
      <c r="B262" s="126">
        <f>IFERROR(__xludf.DUMMYFUNCTION("""COMPUTED_VALUE"""),74.34485)</f>
        <v>74.34485</v>
      </c>
    </row>
    <row r="263" ht="15.75" customHeight="1">
      <c r="A263" s="159">
        <f>IFERROR(__xludf.DUMMYFUNCTION("""COMPUTED_VALUE"""),44152.99861111111)</f>
        <v>44152.99861</v>
      </c>
      <c r="B263" s="126">
        <f>IFERROR(__xludf.DUMMYFUNCTION("""COMPUTED_VALUE"""),74.47995)</f>
        <v>74.47995</v>
      </c>
    </row>
    <row r="264" ht="15.75" customHeight="1">
      <c r="A264" s="159">
        <f>IFERROR(__xludf.DUMMYFUNCTION("""COMPUTED_VALUE"""),44153.99861111111)</f>
        <v>44153.99861</v>
      </c>
      <c r="B264" s="126">
        <f>IFERROR(__xludf.DUMMYFUNCTION("""COMPUTED_VALUE"""),74.24025)</f>
        <v>74.24025</v>
      </c>
    </row>
    <row r="265" ht="15.75" customHeight="1">
      <c r="A265" s="159">
        <f>IFERROR(__xludf.DUMMYFUNCTION("""COMPUTED_VALUE"""),44154.99861111111)</f>
        <v>44154.99861</v>
      </c>
      <c r="B265" s="126">
        <f>IFERROR(__xludf.DUMMYFUNCTION("""COMPUTED_VALUE"""),74.1031)</f>
        <v>74.1031</v>
      </c>
    </row>
    <row r="266" ht="15.75" customHeight="1">
      <c r="A266" s="159">
        <f>IFERROR(__xludf.DUMMYFUNCTION("""COMPUTED_VALUE"""),44155.99861111111)</f>
        <v>44155.99861</v>
      </c>
      <c r="B266" s="126">
        <f>IFERROR(__xludf.DUMMYFUNCTION("""COMPUTED_VALUE"""),74.16265)</f>
        <v>74.16265</v>
      </c>
    </row>
    <row r="267" ht="15.75" customHeight="1">
      <c r="A267" s="159">
        <f>IFERROR(__xludf.DUMMYFUNCTION("""COMPUTED_VALUE"""),44156.99861111111)</f>
        <v>44156.99861</v>
      </c>
      <c r="B267" s="126">
        <f>IFERROR(__xludf.DUMMYFUNCTION("""COMPUTED_VALUE"""),74.16265)</f>
        <v>74.16265</v>
      </c>
    </row>
    <row r="268" ht="15.75" customHeight="1">
      <c r="A268" s="159">
        <f>IFERROR(__xludf.DUMMYFUNCTION("""COMPUTED_VALUE"""),44157.99861111111)</f>
        <v>44157.99861</v>
      </c>
      <c r="B268" s="126">
        <f>IFERROR(__xludf.DUMMYFUNCTION("""COMPUTED_VALUE"""),74.16265)</f>
        <v>74.16265</v>
      </c>
    </row>
    <row r="269" ht="15.75" customHeight="1">
      <c r="A269" s="159">
        <f>IFERROR(__xludf.DUMMYFUNCTION("""COMPUTED_VALUE"""),44158.99861111111)</f>
        <v>44158.99861</v>
      </c>
      <c r="B269" s="126">
        <f>IFERROR(__xludf.DUMMYFUNCTION("""COMPUTED_VALUE"""),74.24515)</f>
        <v>74.24515</v>
      </c>
    </row>
    <row r="270" ht="15.75" customHeight="1">
      <c r="A270" s="159">
        <f>IFERROR(__xludf.DUMMYFUNCTION("""COMPUTED_VALUE"""),44159.99861111111)</f>
        <v>44159.99861</v>
      </c>
      <c r="B270" s="126">
        <f>IFERROR(__xludf.DUMMYFUNCTION("""COMPUTED_VALUE"""),73.9613)</f>
        <v>73.9613</v>
      </c>
    </row>
    <row r="271" ht="15.75" customHeight="1">
      <c r="A271" s="159">
        <f>IFERROR(__xludf.DUMMYFUNCTION("""COMPUTED_VALUE"""),44160.99861111111)</f>
        <v>44160.99861</v>
      </c>
      <c r="B271" s="126">
        <f>IFERROR(__xludf.DUMMYFUNCTION("""COMPUTED_VALUE"""),73.79045)</f>
        <v>73.79045</v>
      </c>
    </row>
    <row r="272" ht="15.75" customHeight="1">
      <c r="A272" s="159">
        <f>IFERROR(__xludf.DUMMYFUNCTION("""COMPUTED_VALUE"""),44161.99861111111)</f>
        <v>44161.99861</v>
      </c>
      <c r="B272" s="126">
        <f>IFERROR(__xludf.DUMMYFUNCTION("""COMPUTED_VALUE"""),73.9639)</f>
        <v>73.9639</v>
      </c>
    </row>
    <row r="273" ht="15.75" customHeight="1">
      <c r="A273" s="159">
        <f>IFERROR(__xludf.DUMMYFUNCTION("""COMPUTED_VALUE"""),44162.99861111111)</f>
        <v>44162.99861</v>
      </c>
      <c r="B273" s="126">
        <f>IFERROR(__xludf.DUMMYFUNCTION("""COMPUTED_VALUE"""),73.93645)</f>
        <v>73.93645</v>
      </c>
    </row>
    <row r="274" ht="15.75" customHeight="1">
      <c r="A274" s="159">
        <f>IFERROR(__xludf.DUMMYFUNCTION("""COMPUTED_VALUE"""),44163.99861111111)</f>
        <v>44163.99861</v>
      </c>
      <c r="B274" s="126">
        <f>IFERROR(__xludf.DUMMYFUNCTION("""COMPUTED_VALUE"""),73.96245)</f>
        <v>73.96245</v>
      </c>
    </row>
    <row r="275" ht="15.75" customHeight="1">
      <c r="A275" s="159">
        <f>IFERROR(__xludf.DUMMYFUNCTION("""COMPUTED_VALUE"""),44164.99861111111)</f>
        <v>44164.99861</v>
      </c>
      <c r="B275" s="126">
        <f>IFERROR(__xludf.DUMMYFUNCTION("""COMPUTED_VALUE"""),73.96245)</f>
        <v>73.96245</v>
      </c>
    </row>
    <row r="276" ht="15.75" customHeight="1">
      <c r="A276" s="159">
        <f>IFERROR(__xludf.DUMMYFUNCTION("""COMPUTED_VALUE"""),44165.99861111111)</f>
        <v>44165.99861</v>
      </c>
      <c r="B276" s="126">
        <f>IFERROR(__xludf.DUMMYFUNCTION("""COMPUTED_VALUE"""),74.0216)</f>
        <v>74.0216</v>
      </c>
    </row>
    <row r="277" ht="15.75" customHeight="1">
      <c r="A277" s="159">
        <f>IFERROR(__xludf.DUMMYFUNCTION("""COMPUTED_VALUE"""),44166.99861111111)</f>
        <v>44166.99861</v>
      </c>
      <c r="B277" s="126">
        <f>IFERROR(__xludf.DUMMYFUNCTION("""COMPUTED_VALUE"""),73.67)</f>
        <v>73.67</v>
      </c>
    </row>
    <row r="278" ht="15.75" customHeight="1">
      <c r="A278" s="159">
        <f>IFERROR(__xludf.DUMMYFUNCTION("""COMPUTED_VALUE"""),44167.99861111111)</f>
        <v>44167.99861</v>
      </c>
      <c r="B278" s="126">
        <f>IFERROR(__xludf.DUMMYFUNCTION("""COMPUTED_VALUE"""),73.66285)</f>
        <v>73.66285</v>
      </c>
    </row>
    <row r="279" ht="15.75" customHeight="1">
      <c r="A279" s="159">
        <f>IFERROR(__xludf.DUMMYFUNCTION("""COMPUTED_VALUE"""),44168.99861111111)</f>
        <v>44168.99861</v>
      </c>
      <c r="B279" s="126">
        <f>IFERROR(__xludf.DUMMYFUNCTION("""COMPUTED_VALUE"""),73.93925)</f>
        <v>73.93925</v>
      </c>
    </row>
    <row r="280" ht="15.75" customHeight="1">
      <c r="A280" s="159">
        <f>IFERROR(__xludf.DUMMYFUNCTION("""COMPUTED_VALUE"""),44169.99861111111)</f>
        <v>44169.99861</v>
      </c>
      <c r="B280" s="126">
        <f>IFERROR(__xludf.DUMMYFUNCTION("""COMPUTED_VALUE"""),73.79855)</f>
        <v>73.79855</v>
      </c>
    </row>
    <row r="281" ht="15.75" customHeight="1">
      <c r="A281" s="159">
        <f>IFERROR(__xludf.DUMMYFUNCTION("""COMPUTED_VALUE"""),44170.99861111111)</f>
        <v>44170.99861</v>
      </c>
      <c r="B281" s="126">
        <f>IFERROR(__xludf.DUMMYFUNCTION("""COMPUTED_VALUE"""),73.79855)</f>
        <v>73.79855</v>
      </c>
    </row>
    <row r="282" ht="15.75" customHeight="1">
      <c r="A282" s="159">
        <f>IFERROR(__xludf.DUMMYFUNCTION("""COMPUTED_VALUE"""),44171.99861111111)</f>
        <v>44171.99861</v>
      </c>
      <c r="B282" s="126">
        <f>IFERROR(__xludf.DUMMYFUNCTION("""COMPUTED_VALUE"""),73.79855)</f>
        <v>73.79855</v>
      </c>
    </row>
    <row r="283" ht="15.75" customHeight="1">
      <c r="A283" s="159">
        <f>IFERROR(__xludf.DUMMYFUNCTION("""COMPUTED_VALUE"""),44172.99861111111)</f>
        <v>44172.99861</v>
      </c>
      <c r="B283" s="126">
        <f>IFERROR(__xludf.DUMMYFUNCTION("""COMPUTED_VALUE"""),74.0375)</f>
        <v>74.0375</v>
      </c>
    </row>
    <row r="284" ht="15.75" customHeight="1">
      <c r="A284" s="159">
        <f>IFERROR(__xludf.DUMMYFUNCTION("""COMPUTED_VALUE"""),44173.99861111111)</f>
        <v>44173.99861</v>
      </c>
      <c r="B284" s="126">
        <f>IFERROR(__xludf.DUMMYFUNCTION("""COMPUTED_VALUE"""),73.72665)</f>
        <v>73.72665</v>
      </c>
    </row>
    <row r="285" ht="15.75" customHeight="1">
      <c r="A285" s="159">
        <f>IFERROR(__xludf.DUMMYFUNCTION("""COMPUTED_VALUE"""),44174.99861111111)</f>
        <v>44174.99861</v>
      </c>
      <c r="B285" s="126">
        <f>IFERROR(__xludf.DUMMYFUNCTION("""COMPUTED_VALUE"""),73.9625)</f>
        <v>73.9625</v>
      </c>
    </row>
    <row r="286" ht="15.75" customHeight="1">
      <c r="A286" s="159">
        <f>IFERROR(__xludf.DUMMYFUNCTION("""COMPUTED_VALUE"""),44175.99861111111)</f>
        <v>44175.99861</v>
      </c>
      <c r="B286" s="126">
        <f>IFERROR(__xludf.DUMMYFUNCTION("""COMPUTED_VALUE"""),73.72595)</f>
        <v>73.72595</v>
      </c>
    </row>
    <row r="287" ht="15.75" customHeight="1">
      <c r="A287" s="159">
        <f>IFERROR(__xludf.DUMMYFUNCTION("""COMPUTED_VALUE"""),44176.99861111111)</f>
        <v>44176.99861</v>
      </c>
      <c r="B287" s="126">
        <f>IFERROR(__xludf.DUMMYFUNCTION("""COMPUTED_VALUE"""),73.7383)</f>
        <v>73.7383</v>
      </c>
    </row>
    <row r="288" ht="15.75" customHeight="1">
      <c r="A288" s="159">
        <f>IFERROR(__xludf.DUMMYFUNCTION("""COMPUTED_VALUE"""),44177.99861111111)</f>
        <v>44177.99861</v>
      </c>
      <c r="B288" s="126">
        <f>IFERROR(__xludf.DUMMYFUNCTION("""COMPUTED_VALUE"""),73.7383)</f>
        <v>73.7383</v>
      </c>
    </row>
    <row r="289" ht="15.75" customHeight="1">
      <c r="A289" s="159">
        <f>IFERROR(__xludf.DUMMYFUNCTION("""COMPUTED_VALUE"""),44178.99861111111)</f>
        <v>44178.99861</v>
      </c>
      <c r="B289" s="126">
        <f>IFERROR(__xludf.DUMMYFUNCTION("""COMPUTED_VALUE"""),73.7383)</f>
        <v>73.7383</v>
      </c>
    </row>
    <row r="290" ht="15.75" customHeight="1">
      <c r="A290" s="159">
        <f>IFERROR(__xludf.DUMMYFUNCTION("""COMPUTED_VALUE"""),44179.99861111111)</f>
        <v>44179.99861</v>
      </c>
      <c r="B290" s="126">
        <f>IFERROR(__xludf.DUMMYFUNCTION("""COMPUTED_VALUE"""),73.885)</f>
        <v>73.885</v>
      </c>
    </row>
    <row r="291" ht="15.75" customHeight="1">
      <c r="A291" s="159">
        <f>IFERROR(__xludf.DUMMYFUNCTION("""COMPUTED_VALUE"""),44180.99861111111)</f>
        <v>44180.99861</v>
      </c>
      <c r="B291" s="126">
        <f>IFERROR(__xludf.DUMMYFUNCTION("""COMPUTED_VALUE"""),73.6262)</f>
        <v>73.6262</v>
      </c>
    </row>
    <row r="292" ht="15.75" customHeight="1">
      <c r="A292" s="159">
        <f>IFERROR(__xludf.DUMMYFUNCTION("""COMPUTED_VALUE"""),44181.99861111111)</f>
        <v>44181.99861</v>
      </c>
      <c r="B292" s="126">
        <f>IFERROR(__xludf.DUMMYFUNCTION("""COMPUTED_VALUE"""),73.61585)</f>
        <v>73.61585</v>
      </c>
    </row>
    <row r="293" ht="15.75" customHeight="1">
      <c r="A293" s="159">
        <f>IFERROR(__xludf.DUMMYFUNCTION("""COMPUTED_VALUE"""),44182.99861111111)</f>
        <v>44182.99861</v>
      </c>
      <c r="B293" s="126">
        <f>IFERROR(__xludf.DUMMYFUNCTION("""COMPUTED_VALUE"""),73.53005)</f>
        <v>73.53005</v>
      </c>
    </row>
    <row r="294" ht="15.75" customHeight="1">
      <c r="A294" s="159">
        <f>IFERROR(__xludf.DUMMYFUNCTION("""COMPUTED_VALUE"""),44183.99861111111)</f>
        <v>44183.99861</v>
      </c>
      <c r="B294" s="126">
        <f>IFERROR(__xludf.DUMMYFUNCTION("""COMPUTED_VALUE"""),73.6071)</f>
        <v>73.6071</v>
      </c>
    </row>
    <row r="295" ht="15.75" customHeight="1">
      <c r="A295" s="159">
        <f>IFERROR(__xludf.DUMMYFUNCTION("""COMPUTED_VALUE"""),44184.99861111111)</f>
        <v>44184.99861</v>
      </c>
      <c r="B295" s="126">
        <f>IFERROR(__xludf.DUMMYFUNCTION("""COMPUTED_VALUE"""),73.6071)</f>
        <v>73.6071</v>
      </c>
    </row>
    <row r="296" ht="15.75" customHeight="1">
      <c r="A296" s="159">
        <f>IFERROR(__xludf.DUMMYFUNCTION("""COMPUTED_VALUE"""),44185.99861111111)</f>
        <v>44185.99861</v>
      </c>
      <c r="B296" s="126">
        <f>IFERROR(__xludf.DUMMYFUNCTION("""COMPUTED_VALUE"""),73.6071)</f>
        <v>73.6071</v>
      </c>
    </row>
    <row r="297" ht="15.75" customHeight="1">
      <c r="A297" s="159">
        <f>IFERROR(__xludf.DUMMYFUNCTION("""COMPUTED_VALUE"""),44186.99861111111)</f>
        <v>44186.99861</v>
      </c>
      <c r="B297" s="126">
        <f>IFERROR(__xludf.DUMMYFUNCTION("""COMPUTED_VALUE"""),73.932)</f>
        <v>73.932</v>
      </c>
    </row>
    <row r="298" ht="15.75" customHeight="1">
      <c r="A298" s="159">
        <f>IFERROR(__xludf.DUMMYFUNCTION("""COMPUTED_VALUE"""),44187.99861111111)</f>
        <v>44187.99861</v>
      </c>
      <c r="B298" s="126">
        <f>IFERROR(__xludf.DUMMYFUNCTION("""COMPUTED_VALUE"""),74.385)</f>
        <v>74.385</v>
      </c>
    </row>
    <row r="299" ht="15.75" customHeight="1">
      <c r="A299" s="159">
        <f>IFERROR(__xludf.DUMMYFUNCTION("""COMPUTED_VALUE"""),44188.99861111111)</f>
        <v>44188.99861</v>
      </c>
      <c r="B299" s="126">
        <f>IFERROR(__xludf.DUMMYFUNCTION("""COMPUTED_VALUE"""),73.84005)</f>
        <v>73.84005</v>
      </c>
    </row>
    <row r="300" ht="15.75" customHeight="1">
      <c r="A300" s="159">
        <f>IFERROR(__xludf.DUMMYFUNCTION("""COMPUTED_VALUE"""),44189.99861111111)</f>
        <v>44189.99861</v>
      </c>
      <c r="B300" s="126">
        <f>IFERROR(__xludf.DUMMYFUNCTION("""COMPUTED_VALUE"""),73.55805)</f>
        <v>73.55805</v>
      </c>
    </row>
    <row r="301" ht="15.75" customHeight="1">
      <c r="A301" s="159">
        <f>IFERROR(__xludf.DUMMYFUNCTION("""COMPUTED_VALUE"""),44190.99861111111)</f>
        <v>44190.99861</v>
      </c>
      <c r="B301" s="126">
        <f>IFERROR(__xludf.DUMMYFUNCTION("""COMPUTED_VALUE"""),73.6639)</f>
        <v>73.6639</v>
      </c>
    </row>
    <row r="302" ht="15.75" customHeight="1">
      <c r="A302" s="159">
        <f>IFERROR(__xludf.DUMMYFUNCTION("""COMPUTED_VALUE"""),44191.99861111111)</f>
        <v>44191.99861</v>
      </c>
      <c r="B302" s="126">
        <f>IFERROR(__xludf.DUMMYFUNCTION("""COMPUTED_VALUE"""),73.6639)</f>
        <v>73.6639</v>
      </c>
    </row>
    <row r="303" ht="15.75" customHeight="1">
      <c r="A303" s="159">
        <f>IFERROR(__xludf.DUMMYFUNCTION("""COMPUTED_VALUE"""),44192.99861111111)</f>
        <v>44192.99861</v>
      </c>
      <c r="B303" s="126">
        <f>IFERROR(__xludf.DUMMYFUNCTION("""COMPUTED_VALUE"""),73.6639)</f>
        <v>73.6639</v>
      </c>
    </row>
    <row r="304" ht="15.75" customHeight="1">
      <c r="A304" s="159">
        <f>IFERROR(__xludf.DUMMYFUNCTION("""COMPUTED_VALUE"""),44193.99861111111)</f>
        <v>44193.99861</v>
      </c>
      <c r="B304" s="126">
        <f>IFERROR(__xludf.DUMMYFUNCTION("""COMPUTED_VALUE"""),73.54515)</f>
        <v>73.54515</v>
      </c>
    </row>
    <row r="305" ht="15.75" customHeight="1">
      <c r="A305" s="159">
        <f>IFERROR(__xludf.DUMMYFUNCTION("""COMPUTED_VALUE"""),44194.99861111111)</f>
        <v>44194.99861</v>
      </c>
      <c r="B305" s="126">
        <f>IFERROR(__xludf.DUMMYFUNCTION("""COMPUTED_VALUE"""),73.45085)</f>
        <v>73.45085</v>
      </c>
    </row>
    <row r="306" ht="15.75" customHeight="1">
      <c r="A306" s="159">
        <f>IFERROR(__xludf.DUMMYFUNCTION("""COMPUTED_VALUE"""),44195.99861111111)</f>
        <v>44195.99861</v>
      </c>
      <c r="B306" s="126">
        <f>IFERROR(__xludf.DUMMYFUNCTION("""COMPUTED_VALUE"""),73.18965)</f>
        <v>73.18965</v>
      </c>
    </row>
    <row r="307" ht="15.75" customHeight="1">
      <c r="A307" s="159">
        <f>IFERROR(__xludf.DUMMYFUNCTION("""COMPUTED_VALUE"""),44196.99861111111)</f>
        <v>44196.99861</v>
      </c>
      <c r="B307" s="126">
        <f>IFERROR(__xludf.DUMMYFUNCTION("""COMPUTED_VALUE"""),73.07485)</f>
        <v>73.07485</v>
      </c>
    </row>
    <row r="308" ht="15.75" customHeight="1">
      <c r="A308" s="159">
        <f>IFERROR(__xludf.DUMMYFUNCTION("""COMPUTED_VALUE"""),44197.99861111111)</f>
        <v>44197.99861</v>
      </c>
      <c r="B308" s="126">
        <f>IFERROR(__xludf.DUMMYFUNCTION("""COMPUTED_VALUE"""),73.09225)</f>
        <v>73.09225</v>
      </c>
    </row>
    <row r="309" ht="15.75" customHeight="1">
      <c r="A309" s="159">
        <f>IFERROR(__xludf.DUMMYFUNCTION("""COMPUTED_VALUE"""),44198.99861111111)</f>
        <v>44198.99861</v>
      </c>
      <c r="B309" s="126">
        <f>IFERROR(__xludf.DUMMYFUNCTION("""COMPUTED_VALUE"""),73.09225)</f>
        <v>73.09225</v>
      </c>
    </row>
    <row r="310" ht="15.75" customHeight="1">
      <c r="A310" s="159">
        <f>IFERROR(__xludf.DUMMYFUNCTION("""COMPUTED_VALUE"""),44199.99861111111)</f>
        <v>44199.99861</v>
      </c>
      <c r="B310" s="126">
        <f>IFERROR(__xludf.DUMMYFUNCTION("""COMPUTED_VALUE"""),73.09225)</f>
        <v>73.09225</v>
      </c>
    </row>
    <row r="311" ht="15.75" customHeight="1">
      <c r="A311" s="159">
        <f>IFERROR(__xludf.DUMMYFUNCTION("""COMPUTED_VALUE"""),44200.99861111111)</f>
        <v>44200.99861</v>
      </c>
      <c r="B311" s="126">
        <f>IFERROR(__xludf.DUMMYFUNCTION("""COMPUTED_VALUE"""),73.08875)</f>
        <v>73.08875</v>
      </c>
    </row>
    <row r="312" ht="15.75" customHeight="1">
      <c r="A312" s="159">
        <f>IFERROR(__xludf.DUMMYFUNCTION("""COMPUTED_VALUE"""),44201.99861111111)</f>
        <v>44201.99861</v>
      </c>
      <c r="B312" s="126">
        <f>IFERROR(__xludf.DUMMYFUNCTION("""COMPUTED_VALUE"""),73.14105)</f>
        <v>73.14105</v>
      </c>
    </row>
    <row r="313" ht="15.75" customHeight="1">
      <c r="A313" s="159">
        <f>IFERROR(__xludf.DUMMYFUNCTION("""COMPUTED_VALUE"""),44202.99861111111)</f>
        <v>44202.99861</v>
      </c>
      <c r="B313" s="126">
        <f>IFERROR(__xludf.DUMMYFUNCTION("""COMPUTED_VALUE"""),73.375)</f>
        <v>73.375</v>
      </c>
    </row>
    <row r="314" ht="15.75" customHeight="1">
      <c r="A314" s="159">
        <f>IFERROR(__xludf.DUMMYFUNCTION("""COMPUTED_VALUE"""),44203.99861111111)</f>
        <v>44203.99861</v>
      </c>
      <c r="B314" s="126">
        <f>IFERROR(__xludf.DUMMYFUNCTION("""COMPUTED_VALUE"""),73.4535)</f>
        <v>73.4535</v>
      </c>
    </row>
    <row r="315" ht="15.75" customHeight="1">
      <c r="A315" s="159">
        <f>IFERROR(__xludf.DUMMYFUNCTION("""COMPUTED_VALUE"""),44204.99861111111)</f>
        <v>44204.99861</v>
      </c>
      <c r="B315" s="126">
        <f>IFERROR(__xludf.DUMMYFUNCTION("""COMPUTED_VALUE"""),73.3794)</f>
        <v>73.3794</v>
      </c>
    </row>
    <row r="316" ht="15.75" customHeight="1">
      <c r="A316" s="159">
        <f>IFERROR(__xludf.DUMMYFUNCTION("""COMPUTED_VALUE"""),44205.99861111111)</f>
        <v>44205.99861</v>
      </c>
      <c r="B316" s="126">
        <f>IFERROR(__xludf.DUMMYFUNCTION("""COMPUTED_VALUE"""),73.3784)</f>
        <v>73.3784</v>
      </c>
    </row>
    <row r="317" ht="15.75" customHeight="1">
      <c r="A317" s="159">
        <f>IFERROR(__xludf.DUMMYFUNCTION("""COMPUTED_VALUE"""),44206.99861111111)</f>
        <v>44206.99861</v>
      </c>
      <c r="B317" s="126">
        <f>IFERROR(__xludf.DUMMYFUNCTION("""COMPUTED_VALUE"""),73.3784)</f>
        <v>73.3784</v>
      </c>
    </row>
    <row r="318" ht="15.75" customHeight="1">
      <c r="A318" s="159">
        <f>IFERROR(__xludf.DUMMYFUNCTION("""COMPUTED_VALUE"""),44207.99861111111)</f>
        <v>44207.99861</v>
      </c>
      <c r="B318" s="126">
        <f>IFERROR(__xludf.DUMMYFUNCTION("""COMPUTED_VALUE"""),73.5132)</f>
        <v>73.5132</v>
      </c>
    </row>
    <row r="319" ht="15.75" customHeight="1">
      <c r="A319" s="159">
        <f>IFERROR(__xludf.DUMMYFUNCTION("""COMPUTED_VALUE"""),44208.99861111111)</f>
        <v>44208.99861</v>
      </c>
      <c r="B319" s="126">
        <f>IFERROR(__xludf.DUMMYFUNCTION("""COMPUTED_VALUE"""),73.439)</f>
        <v>73.439</v>
      </c>
    </row>
    <row r="320" ht="15.75" customHeight="1">
      <c r="A320" s="159">
        <f>IFERROR(__xludf.DUMMYFUNCTION("""COMPUTED_VALUE"""),44209.99861111111)</f>
        <v>44209.99861</v>
      </c>
      <c r="B320" s="126">
        <f>IFERROR(__xludf.DUMMYFUNCTION("""COMPUTED_VALUE"""),73.17015)</f>
        <v>73.17015</v>
      </c>
    </row>
    <row r="321" ht="15.75" customHeight="1">
      <c r="A321" s="159">
        <f>IFERROR(__xludf.DUMMYFUNCTION("""COMPUTED_VALUE"""),44210.99861111111)</f>
        <v>44210.99861</v>
      </c>
      <c r="B321" s="126">
        <f>IFERROR(__xludf.DUMMYFUNCTION("""COMPUTED_VALUE"""),73.08785)</f>
        <v>73.08785</v>
      </c>
    </row>
    <row r="322" ht="15.75" customHeight="1">
      <c r="A322" s="159">
        <f>IFERROR(__xludf.DUMMYFUNCTION("""COMPUTED_VALUE"""),44211.99861111111)</f>
        <v>44211.99861</v>
      </c>
      <c r="B322" s="126">
        <f>IFERROR(__xludf.DUMMYFUNCTION("""COMPUTED_VALUE"""),73.1615)</f>
        <v>73.1615</v>
      </c>
    </row>
    <row r="323" ht="15.75" customHeight="1">
      <c r="A323" s="159">
        <f>IFERROR(__xludf.DUMMYFUNCTION("""COMPUTED_VALUE"""),44212.99861111111)</f>
        <v>44212.99861</v>
      </c>
      <c r="B323" s="126">
        <f>IFERROR(__xludf.DUMMYFUNCTION("""COMPUTED_VALUE"""),73.1625)</f>
        <v>73.1625</v>
      </c>
    </row>
    <row r="324" ht="15.75" customHeight="1">
      <c r="A324" s="159">
        <f>IFERROR(__xludf.DUMMYFUNCTION("""COMPUTED_VALUE"""),44213.99861111111)</f>
        <v>44213.99861</v>
      </c>
      <c r="B324" s="126">
        <f>IFERROR(__xludf.DUMMYFUNCTION("""COMPUTED_VALUE"""),73.1625)</f>
        <v>73.1625</v>
      </c>
    </row>
    <row r="325" ht="15.75" customHeight="1">
      <c r="A325" s="159">
        <f>IFERROR(__xludf.DUMMYFUNCTION("""COMPUTED_VALUE"""),44214.99861111111)</f>
        <v>44214.99861</v>
      </c>
      <c r="B325" s="126">
        <f>IFERROR(__xludf.DUMMYFUNCTION("""COMPUTED_VALUE"""),73.18895)</f>
        <v>73.18895</v>
      </c>
    </row>
    <row r="326" ht="15.75" customHeight="1">
      <c r="A326" s="159">
        <f>IFERROR(__xludf.DUMMYFUNCTION("""COMPUTED_VALUE"""),44215.99861111111)</f>
        <v>44215.99861</v>
      </c>
      <c r="B326" s="126">
        <f>IFERROR(__xludf.DUMMYFUNCTION("""COMPUTED_VALUE"""),73.19215)</f>
        <v>73.19215</v>
      </c>
    </row>
    <row r="327" ht="15.75" customHeight="1">
      <c r="A327" s="159">
        <f>IFERROR(__xludf.DUMMYFUNCTION("""COMPUTED_VALUE"""),44216.99861111111)</f>
        <v>44216.99861</v>
      </c>
      <c r="B327" s="126">
        <f>IFERROR(__xludf.DUMMYFUNCTION("""COMPUTED_VALUE"""),72.90305)</f>
        <v>72.90305</v>
      </c>
    </row>
    <row r="328" ht="15.75" customHeight="1">
      <c r="A328" s="159">
        <f>IFERROR(__xludf.DUMMYFUNCTION("""COMPUTED_VALUE"""),44217.99861111111)</f>
        <v>44217.99861</v>
      </c>
      <c r="B328" s="126">
        <f>IFERROR(__xludf.DUMMYFUNCTION("""COMPUTED_VALUE"""),72.95515)</f>
        <v>72.95515</v>
      </c>
    </row>
    <row r="329" ht="15.75" customHeight="1">
      <c r="A329" s="159">
        <f>IFERROR(__xludf.DUMMYFUNCTION("""COMPUTED_VALUE"""),44218.99861111111)</f>
        <v>44218.99861</v>
      </c>
      <c r="B329" s="126">
        <f>IFERROR(__xludf.DUMMYFUNCTION("""COMPUTED_VALUE"""),72.9994)</f>
        <v>72.9994</v>
      </c>
    </row>
    <row r="330" ht="15.75" customHeight="1">
      <c r="A330" s="159">
        <f>IFERROR(__xludf.DUMMYFUNCTION("""COMPUTED_VALUE"""),44219.99861111111)</f>
        <v>44219.99861</v>
      </c>
      <c r="B330" s="126">
        <f>IFERROR(__xludf.DUMMYFUNCTION("""COMPUTED_VALUE"""),72.9994)</f>
        <v>72.9994</v>
      </c>
    </row>
    <row r="331" ht="15.75" customHeight="1">
      <c r="A331" s="159">
        <f>IFERROR(__xludf.DUMMYFUNCTION("""COMPUTED_VALUE"""),44220.99861111111)</f>
        <v>44220.99861</v>
      </c>
      <c r="B331" s="126">
        <f>IFERROR(__xludf.DUMMYFUNCTION("""COMPUTED_VALUE"""),72.9994)</f>
        <v>72.9994</v>
      </c>
    </row>
    <row r="332" ht="15.75" customHeight="1">
      <c r="A332" s="159">
        <f>IFERROR(__xludf.DUMMYFUNCTION("""COMPUTED_VALUE"""),44221.99861111111)</f>
        <v>44221.99861</v>
      </c>
      <c r="B332" s="126">
        <f>IFERROR(__xludf.DUMMYFUNCTION("""COMPUTED_VALUE"""),72.9679)</f>
        <v>72.9679</v>
      </c>
    </row>
    <row r="333" ht="15.75" customHeight="1">
      <c r="A333" s="159">
        <f>IFERROR(__xludf.DUMMYFUNCTION("""COMPUTED_VALUE"""),44222.99861111111)</f>
        <v>44222.99861</v>
      </c>
      <c r="B333" s="126">
        <f>IFERROR(__xludf.DUMMYFUNCTION("""COMPUTED_VALUE"""),72.91505)</f>
        <v>72.91505</v>
      </c>
    </row>
    <row r="334" ht="15.75" customHeight="1">
      <c r="A334" s="159">
        <f>IFERROR(__xludf.DUMMYFUNCTION("""COMPUTED_VALUE"""),44223.99861111111)</f>
        <v>44223.99861</v>
      </c>
      <c r="B334" s="126">
        <f>IFERROR(__xludf.DUMMYFUNCTION("""COMPUTED_VALUE"""),73.03735)</f>
        <v>73.03735</v>
      </c>
    </row>
    <row r="335" ht="15.75" customHeight="1">
      <c r="A335" s="159">
        <f>IFERROR(__xludf.DUMMYFUNCTION("""COMPUTED_VALUE"""),44224.99861111111)</f>
        <v>44224.99861</v>
      </c>
      <c r="B335" s="126">
        <f>IFERROR(__xludf.DUMMYFUNCTION("""COMPUTED_VALUE"""),72.93905)</f>
        <v>72.93905</v>
      </c>
    </row>
    <row r="336" ht="15.75" customHeight="1">
      <c r="A336" s="159">
        <f>IFERROR(__xludf.DUMMYFUNCTION("""COMPUTED_VALUE"""),44225.99861111111)</f>
        <v>44225.99861</v>
      </c>
      <c r="B336" s="126">
        <f>IFERROR(__xludf.DUMMYFUNCTION("""COMPUTED_VALUE"""),72.90725)</f>
        <v>72.90725</v>
      </c>
    </row>
    <row r="337" ht="15.75" customHeight="1">
      <c r="A337" s="159">
        <f>IFERROR(__xludf.DUMMYFUNCTION("""COMPUTED_VALUE"""),44226.99861111111)</f>
        <v>44226.99861</v>
      </c>
      <c r="B337" s="126">
        <f>IFERROR(__xludf.DUMMYFUNCTION("""COMPUTED_VALUE"""),72.90685)</f>
        <v>72.90685</v>
      </c>
    </row>
    <row r="338" ht="15.75" customHeight="1">
      <c r="A338" s="159">
        <f>IFERROR(__xludf.DUMMYFUNCTION("""COMPUTED_VALUE"""),44227.99861111111)</f>
        <v>44227.99861</v>
      </c>
      <c r="B338" s="126">
        <f>IFERROR(__xludf.DUMMYFUNCTION("""COMPUTED_VALUE"""),72.9058)</f>
        <v>72.9058</v>
      </c>
    </row>
    <row r="339" ht="15.75" customHeight="1">
      <c r="A339" s="159">
        <f>IFERROR(__xludf.DUMMYFUNCTION("""COMPUTED_VALUE"""),44228.99861111111)</f>
        <v>44228.99861</v>
      </c>
      <c r="B339" s="126">
        <f>IFERROR(__xludf.DUMMYFUNCTION("""COMPUTED_VALUE"""),73.12005)</f>
        <v>73.12005</v>
      </c>
    </row>
    <row r="340" ht="15.75" customHeight="1">
      <c r="A340" s="159">
        <f>IFERROR(__xludf.DUMMYFUNCTION("""COMPUTED_VALUE"""),44229.99861111111)</f>
        <v>44229.99861</v>
      </c>
      <c r="B340" s="126">
        <f>IFERROR(__xludf.DUMMYFUNCTION("""COMPUTED_VALUE"""),72.91655)</f>
        <v>72.91655</v>
      </c>
    </row>
    <row r="341" ht="15.75" customHeight="1">
      <c r="A341" s="159">
        <f>IFERROR(__xludf.DUMMYFUNCTION("""COMPUTED_VALUE"""),44230.99861111111)</f>
        <v>44230.99861</v>
      </c>
      <c r="B341" s="126">
        <f>IFERROR(__xludf.DUMMYFUNCTION("""COMPUTED_VALUE"""),72.85825)</f>
        <v>72.85825</v>
      </c>
    </row>
    <row r="342" ht="15.75" customHeight="1">
      <c r="A342" s="159">
        <f>IFERROR(__xludf.DUMMYFUNCTION("""COMPUTED_VALUE"""),44231.99861111111)</f>
        <v>44231.99861</v>
      </c>
      <c r="B342" s="126">
        <f>IFERROR(__xludf.DUMMYFUNCTION("""COMPUTED_VALUE"""),72.94295)</f>
        <v>72.94295</v>
      </c>
    </row>
    <row r="343" ht="15.75" customHeight="1">
      <c r="A343" s="159">
        <f>IFERROR(__xludf.DUMMYFUNCTION("""COMPUTED_VALUE"""),44232.99861111111)</f>
        <v>44232.99861</v>
      </c>
      <c r="B343" s="126">
        <f>IFERROR(__xludf.DUMMYFUNCTION("""COMPUTED_VALUE"""),72.7883)</f>
        <v>72.7883</v>
      </c>
    </row>
    <row r="344" ht="15.75" customHeight="1">
      <c r="A344" s="159">
        <f>IFERROR(__xludf.DUMMYFUNCTION("""COMPUTED_VALUE"""),44233.99861111111)</f>
        <v>44233.99861</v>
      </c>
      <c r="B344" s="126">
        <f>IFERROR(__xludf.DUMMYFUNCTION("""COMPUTED_VALUE"""),72.7883)</f>
        <v>72.7883</v>
      </c>
    </row>
    <row r="345" ht="15.75" customHeight="1">
      <c r="A345" s="159">
        <f>IFERROR(__xludf.DUMMYFUNCTION("""COMPUTED_VALUE"""),44234.99861111111)</f>
        <v>44234.99861</v>
      </c>
      <c r="B345" s="126">
        <f>IFERROR(__xludf.DUMMYFUNCTION("""COMPUTED_VALUE"""),72.7883)</f>
        <v>72.7883</v>
      </c>
    </row>
    <row r="346" ht="15.75" customHeight="1">
      <c r="A346" s="159">
        <f>IFERROR(__xludf.DUMMYFUNCTION("""COMPUTED_VALUE"""),44235.99861111111)</f>
        <v>44235.99861</v>
      </c>
      <c r="B346" s="126">
        <f>IFERROR(__xludf.DUMMYFUNCTION("""COMPUTED_VALUE"""),72.93015)</f>
        <v>72.93015</v>
      </c>
    </row>
    <row r="347" ht="15.75" customHeight="1">
      <c r="A347" s="159">
        <f>IFERROR(__xludf.DUMMYFUNCTION("""COMPUTED_VALUE"""),44236.99861111111)</f>
        <v>44236.99861</v>
      </c>
      <c r="B347" s="126">
        <f>IFERROR(__xludf.DUMMYFUNCTION("""COMPUTED_VALUE"""),72.85515)</f>
        <v>72.85515</v>
      </c>
    </row>
    <row r="348" ht="15.75" customHeight="1">
      <c r="A348" s="159">
        <f>IFERROR(__xludf.DUMMYFUNCTION("""COMPUTED_VALUE"""),44237.99861111111)</f>
        <v>44237.99861</v>
      </c>
      <c r="B348" s="126">
        <f>IFERROR(__xludf.DUMMYFUNCTION("""COMPUTED_VALUE"""),72.80755)</f>
        <v>72.80755</v>
      </c>
    </row>
    <row r="349" ht="15.75" customHeight="1">
      <c r="A349" s="159">
        <f>IFERROR(__xludf.DUMMYFUNCTION("""COMPUTED_VALUE"""),44238.99861111111)</f>
        <v>44238.99861</v>
      </c>
      <c r="B349" s="126">
        <f>IFERROR(__xludf.DUMMYFUNCTION("""COMPUTED_VALUE"""),72.70975)</f>
        <v>72.70975</v>
      </c>
    </row>
    <row r="350" ht="15.75" customHeight="1">
      <c r="A350" s="159">
        <f>IFERROR(__xludf.DUMMYFUNCTION("""COMPUTED_VALUE"""),44239.99861111111)</f>
        <v>44239.99861</v>
      </c>
      <c r="B350" s="126">
        <f>IFERROR(__xludf.DUMMYFUNCTION("""COMPUTED_VALUE"""),72.59105)</f>
        <v>72.59105</v>
      </c>
    </row>
    <row r="351" ht="15.75" customHeight="1">
      <c r="A351" s="159">
        <f>IFERROR(__xludf.DUMMYFUNCTION("""COMPUTED_VALUE"""),44240.99861111111)</f>
        <v>44240.99861</v>
      </c>
      <c r="B351" s="126">
        <f>IFERROR(__xludf.DUMMYFUNCTION("""COMPUTED_VALUE"""),72.59105)</f>
        <v>72.59105</v>
      </c>
    </row>
    <row r="352" ht="15.75" customHeight="1">
      <c r="A352" s="159">
        <f>IFERROR(__xludf.DUMMYFUNCTION("""COMPUTED_VALUE"""),44241.99861111111)</f>
        <v>44241.99861</v>
      </c>
      <c r="B352" s="126">
        <f>IFERROR(__xludf.DUMMYFUNCTION("""COMPUTED_VALUE"""),72.59505)</f>
        <v>72.59505</v>
      </c>
    </row>
    <row r="353" ht="15.75" customHeight="1">
      <c r="A353" s="159">
        <f>IFERROR(__xludf.DUMMYFUNCTION("""COMPUTED_VALUE"""),44242.99861111111)</f>
        <v>44242.99861</v>
      </c>
      <c r="B353" s="126">
        <f>IFERROR(__xludf.DUMMYFUNCTION("""COMPUTED_VALUE"""),72.63895)</f>
        <v>72.63895</v>
      </c>
    </row>
    <row r="354" ht="15.75" customHeight="1">
      <c r="A354" s="159">
        <f>IFERROR(__xludf.DUMMYFUNCTION("""COMPUTED_VALUE"""),44243.99861111111)</f>
        <v>44243.99861</v>
      </c>
      <c r="B354" s="126">
        <f>IFERROR(__xludf.DUMMYFUNCTION("""COMPUTED_VALUE"""),72.93525)</f>
        <v>72.93525</v>
      </c>
    </row>
    <row r="355" ht="15.75" customHeight="1">
      <c r="A355" s="159">
        <f>IFERROR(__xludf.DUMMYFUNCTION("""COMPUTED_VALUE"""),44244.99861111111)</f>
        <v>44244.99861</v>
      </c>
      <c r="B355" s="126">
        <f>IFERROR(__xludf.DUMMYFUNCTION("""COMPUTED_VALUE"""),72.80385)</f>
        <v>72.80385</v>
      </c>
    </row>
    <row r="356" ht="15.75" customHeight="1">
      <c r="A356" s="159">
        <f>IFERROR(__xludf.DUMMYFUNCTION("""COMPUTED_VALUE"""),44245.99861111111)</f>
        <v>44245.99861</v>
      </c>
      <c r="B356" s="126">
        <f>IFERROR(__xludf.DUMMYFUNCTION("""COMPUTED_VALUE"""),72.60565)</f>
        <v>72.60565</v>
      </c>
    </row>
    <row r="357" ht="15.75" customHeight="1">
      <c r="A357" s="159">
        <f>IFERROR(__xludf.DUMMYFUNCTION("""COMPUTED_VALUE"""),44246.99861111111)</f>
        <v>44246.99861</v>
      </c>
      <c r="B357" s="126">
        <f>IFERROR(__xludf.DUMMYFUNCTION("""COMPUTED_VALUE"""),72.55135)</f>
        <v>72.55135</v>
      </c>
    </row>
    <row r="358" ht="15.75" customHeight="1">
      <c r="A358" s="159">
        <f>IFERROR(__xludf.DUMMYFUNCTION("""COMPUTED_VALUE"""),44247.99861111111)</f>
        <v>44247.99861</v>
      </c>
      <c r="B358" s="126">
        <f>IFERROR(__xludf.DUMMYFUNCTION("""COMPUTED_VALUE"""),72.5705)</f>
        <v>72.5705</v>
      </c>
    </row>
    <row r="359" ht="15.75" customHeight="1">
      <c r="A359" s="159">
        <f>IFERROR(__xludf.DUMMYFUNCTION("""COMPUTED_VALUE"""),44248.99861111111)</f>
        <v>44248.99861</v>
      </c>
      <c r="B359" s="126">
        <f>IFERROR(__xludf.DUMMYFUNCTION("""COMPUTED_VALUE"""),72.5543)</f>
        <v>72.5543</v>
      </c>
    </row>
    <row r="360" ht="15.75" customHeight="1">
      <c r="A360" s="159">
        <f>IFERROR(__xludf.DUMMYFUNCTION("""COMPUTED_VALUE"""),44249.99861111111)</f>
        <v>44249.99861</v>
      </c>
      <c r="B360" s="126">
        <f>IFERROR(__xludf.DUMMYFUNCTION("""COMPUTED_VALUE"""),72.44425)</f>
        <v>72.44425</v>
      </c>
    </row>
    <row r="361" ht="15.75" customHeight="1">
      <c r="A361" s="159">
        <f>IFERROR(__xludf.DUMMYFUNCTION("""COMPUTED_VALUE"""),44250.99861111111)</f>
        <v>44250.99861</v>
      </c>
      <c r="B361" s="126">
        <f>IFERROR(__xludf.DUMMYFUNCTION("""COMPUTED_VALUE"""),72.3665)</f>
        <v>72.3665</v>
      </c>
    </row>
    <row r="362" ht="15.75" customHeight="1">
      <c r="A362" s="159">
        <f>IFERROR(__xludf.DUMMYFUNCTION("""COMPUTED_VALUE"""),44251.99861111111)</f>
        <v>44251.99861</v>
      </c>
      <c r="B362" s="126">
        <f>IFERROR(__xludf.DUMMYFUNCTION("""COMPUTED_VALUE"""),72.39485)</f>
        <v>72.39485</v>
      </c>
    </row>
    <row r="363" ht="15.75" customHeight="1">
      <c r="A363" s="159">
        <f>IFERROR(__xludf.DUMMYFUNCTION("""COMPUTED_VALUE"""),44252.99861111111)</f>
        <v>44252.99861</v>
      </c>
      <c r="B363" s="126">
        <f>IFERROR(__xludf.DUMMYFUNCTION("""COMPUTED_VALUE"""),73.1514)</f>
        <v>73.1514</v>
      </c>
    </row>
    <row r="364" ht="15.75" customHeight="1">
      <c r="A364" s="159">
        <f>IFERROR(__xludf.DUMMYFUNCTION("""COMPUTED_VALUE"""),44253.99861111111)</f>
        <v>44253.99861</v>
      </c>
      <c r="B364" s="126">
        <f>IFERROR(__xludf.DUMMYFUNCTION("""COMPUTED_VALUE"""),73.5964)</f>
        <v>73.5964</v>
      </c>
    </row>
    <row r="365" ht="15.75" customHeight="1">
      <c r="A365" s="159">
        <f>IFERROR(__xludf.DUMMYFUNCTION("""COMPUTED_VALUE"""),44254.99861111111)</f>
        <v>44254.99861</v>
      </c>
      <c r="B365" s="126">
        <f>IFERROR(__xludf.DUMMYFUNCTION("""COMPUTED_VALUE"""),73.5964)</f>
        <v>73.5964</v>
      </c>
    </row>
    <row r="366" ht="15.75" customHeight="1">
      <c r="A366" s="159">
        <f>IFERROR(__xludf.DUMMYFUNCTION("""COMPUTED_VALUE"""),44255.99861111111)</f>
        <v>44255.99861</v>
      </c>
      <c r="B366" s="126">
        <f>IFERROR(__xludf.DUMMYFUNCTION("""COMPUTED_VALUE"""),73.5964)</f>
        <v>73.5964</v>
      </c>
    </row>
    <row r="367" ht="15.75" customHeight="1">
      <c r="A367" s="159">
        <f>IFERROR(__xludf.DUMMYFUNCTION("""COMPUTED_VALUE"""),44256.99861111111)</f>
        <v>44256.99861</v>
      </c>
      <c r="B367" s="126">
        <f>IFERROR(__xludf.DUMMYFUNCTION("""COMPUTED_VALUE"""),73.3113)</f>
        <v>73.3113</v>
      </c>
    </row>
    <row r="368" ht="15.75" customHeight="1">
      <c r="A368" s="159">
        <f>IFERROR(__xludf.DUMMYFUNCTION("""COMPUTED_VALUE"""),44257.99861111111)</f>
        <v>44257.99861</v>
      </c>
      <c r="B368" s="126">
        <f>IFERROR(__xludf.DUMMYFUNCTION("""COMPUTED_VALUE"""),73.27775)</f>
        <v>73.27775</v>
      </c>
    </row>
    <row r="369" ht="15.75" customHeight="1">
      <c r="A369" s="159">
        <f>IFERROR(__xludf.DUMMYFUNCTION("""COMPUTED_VALUE"""),44258.99861111111)</f>
        <v>44258.99861</v>
      </c>
      <c r="B369" s="126">
        <f>IFERROR(__xludf.DUMMYFUNCTION("""COMPUTED_VALUE"""),72.88195)</f>
        <v>72.88195</v>
      </c>
    </row>
    <row r="370" ht="15.75" customHeight="1">
      <c r="A370" s="159">
        <f>IFERROR(__xludf.DUMMYFUNCTION("""COMPUTED_VALUE"""),44259.99861111111)</f>
        <v>44259.99861</v>
      </c>
      <c r="B370" s="126">
        <f>IFERROR(__xludf.DUMMYFUNCTION("""COMPUTED_VALUE"""),73.1029)</f>
        <v>73.1029</v>
      </c>
    </row>
    <row r="371" ht="15.75" customHeight="1">
      <c r="A371" s="159">
        <f>IFERROR(__xludf.DUMMYFUNCTION("""COMPUTED_VALUE"""),44260.99861111111)</f>
        <v>44260.99861</v>
      </c>
      <c r="B371" s="126">
        <f>IFERROR(__xludf.DUMMYFUNCTION("""COMPUTED_VALUE"""),73.1809)</f>
        <v>73.1809</v>
      </c>
    </row>
    <row r="372" ht="15.75" customHeight="1">
      <c r="A372" s="159">
        <f>IFERROR(__xludf.DUMMYFUNCTION("""COMPUTED_VALUE"""),44261.99861111111)</f>
        <v>44261.99861</v>
      </c>
      <c r="B372" s="126">
        <f>IFERROR(__xludf.DUMMYFUNCTION("""COMPUTED_VALUE"""),73.1809)</f>
        <v>73.1809</v>
      </c>
    </row>
    <row r="373" ht="15.75" customHeight="1">
      <c r="A373" s="159">
        <f>IFERROR(__xludf.DUMMYFUNCTION("""COMPUTED_VALUE"""),44262.99861111111)</f>
        <v>44262.99861</v>
      </c>
      <c r="B373" s="126">
        <f>IFERROR(__xludf.DUMMYFUNCTION("""COMPUTED_VALUE"""),73.1809)</f>
        <v>73.1809</v>
      </c>
    </row>
    <row r="374" ht="15.75" customHeight="1">
      <c r="A374" s="159">
        <f>IFERROR(__xludf.DUMMYFUNCTION("""COMPUTED_VALUE"""),44263.99861111111)</f>
        <v>44263.99861</v>
      </c>
      <c r="B374" s="126">
        <f>IFERROR(__xludf.DUMMYFUNCTION("""COMPUTED_VALUE"""),73.33025)</f>
        <v>73.33025</v>
      </c>
    </row>
    <row r="375" ht="15.75" customHeight="1">
      <c r="A375" s="159">
        <f>IFERROR(__xludf.DUMMYFUNCTION("""COMPUTED_VALUE"""),44264.99861111111)</f>
        <v>44264.99861</v>
      </c>
      <c r="B375" s="126">
        <f>IFERROR(__xludf.DUMMYFUNCTION("""COMPUTED_VALUE"""),72.77615)</f>
        <v>72.77615</v>
      </c>
    </row>
    <row r="376" ht="15.75" customHeight="1">
      <c r="A376" s="159">
        <f>IFERROR(__xludf.DUMMYFUNCTION("""COMPUTED_VALUE"""),44265.99861111111)</f>
        <v>44265.99861</v>
      </c>
      <c r="B376" s="126">
        <f>IFERROR(__xludf.DUMMYFUNCTION("""COMPUTED_VALUE"""),72.70625)</f>
        <v>72.70625</v>
      </c>
    </row>
    <row r="377" ht="15.75" customHeight="1">
      <c r="A377" s="159">
        <f>IFERROR(__xludf.DUMMYFUNCTION("""COMPUTED_VALUE"""),44266.99861111111)</f>
        <v>44266.99861</v>
      </c>
      <c r="B377" s="126">
        <f>IFERROR(__xludf.DUMMYFUNCTION("""COMPUTED_VALUE"""),72.63925)</f>
        <v>72.63925</v>
      </c>
    </row>
    <row r="378" ht="15.75" customHeight="1">
      <c r="A378" s="159">
        <f>IFERROR(__xludf.DUMMYFUNCTION("""COMPUTED_VALUE"""),44267.99861111111)</f>
        <v>44267.99861</v>
      </c>
      <c r="B378" s="126">
        <f>IFERROR(__xludf.DUMMYFUNCTION("""COMPUTED_VALUE"""),72.68925)</f>
        <v>72.68925</v>
      </c>
    </row>
    <row r="379" ht="15.75" customHeight="1">
      <c r="A379" s="159">
        <f>IFERROR(__xludf.DUMMYFUNCTION("""COMPUTED_VALUE"""),44268.99861111111)</f>
        <v>44268.99861</v>
      </c>
      <c r="B379" s="126">
        <f>IFERROR(__xludf.DUMMYFUNCTION("""COMPUTED_VALUE"""),72.68925)</f>
        <v>72.68925</v>
      </c>
    </row>
    <row r="380" ht="15.75" customHeight="1">
      <c r="A380" s="159">
        <f>IFERROR(__xludf.DUMMYFUNCTION("""COMPUTED_VALUE"""),44269.99861111111)</f>
        <v>44269.99861</v>
      </c>
      <c r="B380" s="126">
        <f>IFERROR(__xludf.DUMMYFUNCTION("""COMPUTED_VALUE"""),72.6905)</f>
        <v>72.6905</v>
      </c>
    </row>
    <row r="381" ht="15.75" customHeight="1">
      <c r="A381" s="159">
        <f>IFERROR(__xludf.DUMMYFUNCTION("""COMPUTED_VALUE"""),44270.99861111111)</f>
        <v>44270.99861</v>
      </c>
      <c r="B381" s="126">
        <f>IFERROR(__xludf.DUMMYFUNCTION("""COMPUTED_VALUE"""),72.51555)</f>
        <v>72.51555</v>
      </c>
    </row>
    <row r="382" ht="15.75" customHeight="1">
      <c r="A382" s="159">
        <f>IFERROR(__xludf.DUMMYFUNCTION("""COMPUTED_VALUE"""),44271.99861111111)</f>
        <v>44271.99861</v>
      </c>
      <c r="B382" s="126">
        <f>IFERROR(__xludf.DUMMYFUNCTION("""COMPUTED_VALUE"""),72.51585)</f>
        <v>72.51585</v>
      </c>
    </row>
    <row r="383" ht="15.75" customHeight="1">
      <c r="A383" s="159">
        <f>IFERROR(__xludf.DUMMYFUNCTION("""COMPUTED_VALUE"""),44272.99861111111)</f>
        <v>44272.99861</v>
      </c>
      <c r="B383" s="126">
        <f>IFERROR(__xludf.DUMMYFUNCTION("""COMPUTED_VALUE"""),72.29585)</f>
        <v>72.29585</v>
      </c>
    </row>
    <row r="384" ht="15.75" customHeight="1">
      <c r="A384" s="159">
        <f>IFERROR(__xludf.DUMMYFUNCTION("""COMPUTED_VALUE"""),44273.99861111111)</f>
        <v>44273.99861</v>
      </c>
      <c r="B384" s="126">
        <f>IFERROR(__xludf.DUMMYFUNCTION("""COMPUTED_VALUE"""),72.66905)</f>
        <v>72.66905</v>
      </c>
    </row>
    <row r="385" ht="15.75" customHeight="1">
      <c r="A385" s="159">
        <f>IFERROR(__xludf.DUMMYFUNCTION("""COMPUTED_VALUE"""),44274.99861111111)</f>
        <v>44274.99861</v>
      </c>
      <c r="B385" s="126">
        <f>IFERROR(__xludf.DUMMYFUNCTION("""COMPUTED_VALUE"""),72.44205)</f>
        <v>72.44205</v>
      </c>
    </row>
    <row r="386" ht="15.75" customHeight="1">
      <c r="A386" s="159">
        <f>IFERROR(__xludf.DUMMYFUNCTION("""COMPUTED_VALUE"""),44275.99861111111)</f>
        <v>44275.99861</v>
      </c>
      <c r="B386" s="126">
        <f>IFERROR(__xludf.DUMMYFUNCTION("""COMPUTED_VALUE"""),72.44205)</f>
        <v>72.44205</v>
      </c>
    </row>
    <row r="387" ht="15.75" customHeight="1">
      <c r="A387" s="159">
        <f>IFERROR(__xludf.DUMMYFUNCTION("""COMPUTED_VALUE"""),44276.99861111111)</f>
        <v>44276.99861</v>
      </c>
      <c r="B387" s="126">
        <f>IFERROR(__xludf.DUMMYFUNCTION("""COMPUTED_VALUE"""),72.4125)</f>
        <v>72.4125</v>
      </c>
    </row>
    <row r="388" ht="15.75" customHeight="1">
      <c r="A388" s="159">
        <f>IFERROR(__xludf.DUMMYFUNCTION("""COMPUTED_VALUE"""),44277.99861111111)</f>
        <v>44277.99861</v>
      </c>
      <c r="B388" s="126">
        <f>IFERROR(__xludf.DUMMYFUNCTION("""COMPUTED_VALUE"""),72.3722)</f>
        <v>72.3722</v>
      </c>
    </row>
    <row r="389" ht="15.75" customHeight="1">
      <c r="A389" s="159">
        <f>IFERROR(__xludf.DUMMYFUNCTION("""COMPUTED_VALUE"""),44278.99861111111)</f>
        <v>44278.99861</v>
      </c>
      <c r="B389" s="126">
        <f>IFERROR(__xludf.DUMMYFUNCTION("""COMPUTED_VALUE"""),72.61245)</f>
        <v>72.61245</v>
      </c>
    </row>
    <row r="390" ht="15.75" customHeight="1">
      <c r="A390" s="159">
        <f>IFERROR(__xludf.DUMMYFUNCTION("""COMPUTED_VALUE"""),44279.99861111111)</f>
        <v>44279.99861</v>
      </c>
      <c r="B390" s="126">
        <f>IFERROR(__xludf.DUMMYFUNCTION("""COMPUTED_VALUE"""),72.64585)</f>
        <v>72.64585</v>
      </c>
    </row>
    <row r="391" ht="15.75" customHeight="1">
      <c r="A391" s="159">
        <f>IFERROR(__xludf.DUMMYFUNCTION("""COMPUTED_VALUE"""),44280.99861111111)</f>
        <v>44280.99861</v>
      </c>
      <c r="B391" s="126">
        <f>IFERROR(__xludf.DUMMYFUNCTION("""COMPUTED_VALUE"""),72.60225)</f>
        <v>72.60225</v>
      </c>
    </row>
    <row r="392" ht="15.75" customHeight="1">
      <c r="A392" s="159">
        <f>IFERROR(__xludf.DUMMYFUNCTION("""COMPUTED_VALUE"""),44281.99861111111)</f>
        <v>44281.99861</v>
      </c>
      <c r="B392" s="126">
        <f>IFERROR(__xludf.DUMMYFUNCTION("""COMPUTED_VALUE"""),72.4474)</f>
        <v>72.4474</v>
      </c>
    </row>
    <row r="393" ht="15.75" customHeight="1">
      <c r="A393" s="159">
        <f>IFERROR(__xludf.DUMMYFUNCTION("""COMPUTED_VALUE"""),44282.99861111111)</f>
        <v>44282.99861</v>
      </c>
      <c r="B393" s="126">
        <f>IFERROR(__xludf.DUMMYFUNCTION("""COMPUTED_VALUE"""),72.4474)</f>
        <v>72.4474</v>
      </c>
    </row>
    <row r="394" ht="15.75" customHeight="1">
      <c r="A394" s="159">
        <f>IFERROR(__xludf.DUMMYFUNCTION("""COMPUTED_VALUE"""),44283.99861111111)</f>
        <v>44283.99861</v>
      </c>
      <c r="B394" s="126">
        <f>IFERROR(__xludf.DUMMYFUNCTION("""COMPUTED_VALUE"""),72.44745)</f>
        <v>72.44745</v>
      </c>
    </row>
    <row r="395" ht="15.75" customHeight="1">
      <c r="A395" s="159">
        <f>IFERROR(__xludf.DUMMYFUNCTION("""COMPUTED_VALUE"""),44284.99861111111)</f>
        <v>44284.99861</v>
      </c>
      <c r="B395" s="126">
        <f>IFERROR(__xludf.DUMMYFUNCTION("""COMPUTED_VALUE"""),72.74215)</f>
        <v>72.74215</v>
      </c>
    </row>
    <row r="396" ht="15.75" customHeight="1">
      <c r="A396" s="159">
        <f>IFERROR(__xludf.DUMMYFUNCTION("""COMPUTED_VALUE"""),44285.99861111111)</f>
        <v>44285.99861</v>
      </c>
      <c r="B396" s="126">
        <f>IFERROR(__xludf.DUMMYFUNCTION("""COMPUTED_VALUE"""),73.44555)</f>
        <v>73.44555</v>
      </c>
    </row>
    <row r="397" ht="15.75" customHeight="1">
      <c r="A397" s="159">
        <f>IFERROR(__xludf.DUMMYFUNCTION("""COMPUTED_VALUE"""),44286.99861111111)</f>
        <v>44286.99861</v>
      </c>
      <c r="B397" s="126">
        <f>IFERROR(__xludf.DUMMYFUNCTION("""COMPUTED_VALUE"""),73.20375)</f>
        <v>73.20375</v>
      </c>
    </row>
    <row r="398" ht="15.75" customHeight="1">
      <c r="A398" s="159">
        <f>IFERROR(__xludf.DUMMYFUNCTION("""COMPUTED_VALUE"""),44287.99861111111)</f>
        <v>44287.99861</v>
      </c>
      <c r="B398" s="126">
        <f>IFERROR(__xludf.DUMMYFUNCTION("""COMPUTED_VALUE"""),73.28755)</f>
        <v>73.28755</v>
      </c>
    </row>
    <row r="399" ht="15.75" customHeight="1">
      <c r="A399" s="159">
        <f>IFERROR(__xludf.DUMMYFUNCTION("""COMPUTED_VALUE"""),44288.99861111111)</f>
        <v>44288.99861</v>
      </c>
      <c r="B399" s="126">
        <f>IFERROR(__xludf.DUMMYFUNCTION("""COMPUTED_VALUE"""),73.37805)</f>
        <v>73.37805</v>
      </c>
    </row>
    <row r="400" ht="15.75" customHeight="1">
      <c r="A400" s="159">
        <f>IFERROR(__xludf.DUMMYFUNCTION("""COMPUTED_VALUE"""),44289.99861111111)</f>
        <v>44289.99861</v>
      </c>
      <c r="B400" s="126">
        <f>IFERROR(__xludf.DUMMYFUNCTION("""COMPUTED_VALUE"""),73.37805)</f>
        <v>73.37805</v>
      </c>
    </row>
    <row r="401" ht="15.75" customHeight="1">
      <c r="A401" s="159">
        <f>IFERROR(__xludf.DUMMYFUNCTION("""COMPUTED_VALUE"""),44290.99861111111)</f>
        <v>44290.99861</v>
      </c>
      <c r="B401" s="126">
        <f>IFERROR(__xludf.DUMMYFUNCTION("""COMPUTED_VALUE"""),73.37625)</f>
        <v>73.37625</v>
      </c>
    </row>
    <row r="402" ht="15.75" customHeight="1">
      <c r="A402" s="159">
        <f>IFERROR(__xludf.DUMMYFUNCTION("""COMPUTED_VALUE"""),44291.99861111111)</f>
        <v>44291.99861</v>
      </c>
      <c r="B402" s="126">
        <f>IFERROR(__xludf.DUMMYFUNCTION("""COMPUTED_VALUE"""),73.27975)</f>
        <v>73.27975</v>
      </c>
    </row>
    <row r="403" ht="15.75" customHeight="1">
      <c r="A403" s="159">
        <f>IFERROR(__xludf.DUMMYFUNCTION("""COMPUTED_VALUE"""),44292.99861111111)</f>
        <v>44292.99861</v>
      </c>
      <c r="B403" s="126">
        <f>IFERROR(__xludf.DUMMYFUNCTION("""COMPUTED_VALUE"""),73.49025)</f>
        <v>73.49025</v>
      </c>
    </row>
    <row r="404" ht="15.75" customHeight="1">
      <c r="A404" s="159">
        <f>IFERROR(__xludf.DUMMYFUNCTION("""COMPUTED_VALUE"""),44293.99861111111)</f>
        <v>44293.99861</v>
      </c>
      <c r="B404" s="126">
        <f>IFERROR(__xludf.DUMMYFUNCTION("""COMPUTED_VALUE"""),74.40175)</f>
        <v>74.40175</v>
      </c>
    </row>
    <row r="405" ht="15.75" customHeight="1">
      <c r="A405" s="159">
        <f>IFERROR(__xludf.DUMMYFUNCTION("""COMPUTED_VALUE"""),44294.99861111111)</f>
        <v>44294.99861</v>
      </c>
      <c r="B405" s="126">
        <f>IFERROR(__xludf.DUMMYFUNCTION("""COMPUTED_VALUE"""),74.54465)</f>
        <v>74.54465</v>
      </c>
    </row>
    <row r="406" ht="15.75" customHeight="1">
      <c r="A406" s="159">
        <f>IFERROR(__xludf.DUMMYFUNCTION("""COMPUTED_VALUE"""),44295.99861111111)</f>
        <v>44295.99861</v>
      </c>
      <c r="B406" s="126">
        <f>IFERROR(__xludf.DUMMYFUNCTION("""COMPUTED_VALUE"""),74.7297)</f>
        <v>74.7297</v>
      </c>
    </row>
    <row r="407" ht="15.75" customHeight="1">
      <c r="A407" s="159">
        <f>IFERROR(__xludf.DUMMYFUNCTION("""COMPUTED_VALUE"""),44296.99861111111)</f>
        <v>44296.99861</v>
      </c>
      <c r="B407" s="126">
        <f>IFERROR(__xludf.DUMMYFUNCTION("""COMPUTED_VALUE"""),74.725)</f>
        <v>74.725</v>
      </c>
    </row>
    <row r="408" ht="15.75" customHeight="1">
      <c r="A408" s="159">
        <f>IFERROR(__xludf.DUMMYFUNCTION("""COMPUTED_VALUE"""),44297.99861111111)</f>
        <v>44297.99861</v>
      </c>
      <c r="B408" s="126">
        <f>IFERROR(__xludf.DUMMYFUNCTION("""COMPUTED_VALUE"""),74.72975)</f>
        <v>74.72975</v>
      </c>
    </row>
    <row r="409" ht="15.75" customHeight="1">
      <c r="A409" s="159">
        <f>IFERROR(__xludf.DUMMYFUNCTION("""COMPUTED_VALUE"""),44298.99861111111)</f>
        <v>44298.99861</v>
      </c>
      <c r="B409" s="126">
        <f>IFERROR(__xludf.DUMMYFUNCTION("""COMPUTED_VALUE"""),74.99125)</f>
        <v>74.99125</v>
      </c>
    </row>
    <row r="410" ht="15.75" customHeight="1">
      <c r="A410" s="159">
        <f>IFERROR(__xludf.DUMMYFUNCTION("""COMPUTED_VALUE"""),44299.99861111111)</f>
        <v>44299.99861</v>
      </c>
      <c r="B410" s="126">
        <f>IFERROR(__xludf.DUMMYFUNCTION("""COMPUTED_VALUE"""),75.18425)</f>
        <v>75.18425</v>
      </c>
    </row>
    <row r="411" ht="15.75" customHeight="1">
      <c r="A411" s="159">
        <f>IFERROR(__xludf.DUMMYFUNCTION("""COMPUTED_VALUE"""),44300.99861111111)</f>
        <v>44300.99861</v>
      </c>
      <c r="B411" s="126">
        <f>IFERROR(__xludf.DUMMYFUNCTION("""COMPUTED_VALUE"""),75.02635)</f>
        <v>75.02635</v>
      </c>
    </row>
    <row r="412" ht="15.75" customHeight="1">
      <c r="A412" s="159">
        <f>IFERROR(__xludf.DUMMYFUNCTION("""COMPUTED_VALUE"""),44301.99861111111)</f>
        <v>44301.99861</v>
      </c>
      <c r="B412" s="126">
        <f>IFERROR(__xludf.DUMMYFUNCTION("""COMPUTED_VALUE"""),74.72765)</f>
        <v>74.72765</v>
      </c>
    </row>
    <row r="413" ht="15.75" customHeight="1">
      <c r="A413" s="159">
        <f>IFERROR(__xludf.DUMMYFUNCTION("""COMPUTED_VALUE"""),44302.99861111111)</f>
        <v>44302.99861</v>
      </c>
      <c r="B413" s="126">
        <f>IFERROR(__xludf.DUMMYFUNCTION("""COMPUTED_VALUE"""),74.54005)</f>
        <v>74.54005</v>
      </c>
    </row>
    <row r="414" ht="15.75" customHeight="1">
      <c r="A414" s="159">
        <f>IFERROR(__xludf.DUMMYFUNCTION("""COMPUTED_VALUE"""),44303.99861111111)</f>
        <v>44303.99861</v>
      </c>
      <c r="B414" s="126">
        <f>IFERROR(__xludf.DUMMYFUNCTION("""COMPUTED_VALUE"""),74.5405)</f>
        <v>74.5405</v>
      </c>
    </row>
    <row r="415" ht="15.75" customHeight="1">
      <c r="A415" s="159">
        <f>IFERROR(__xludf.DUMMYFUNCTION("""COMPUTED_VALUE"""),44304.99861111111)</f>
        <v>44304.99861</v>
      </c>
      <c r="B415" s="126">
        <f>IFERROR(__xludf.DUMMYFUNCTION("""COMPUTED_VALUE"""),74.56345)</f>
        <v>74.56345</v>
      </c>
    </row>
    <row r="416" ht="15.75" customHeight="1">
      <c r="A416" s="159">
        <f>IFERROR(__xludf.DUMMYFUNCTION("""COMPUTED_VALUE"""),44305.99861111111)</f>
        <v>44305.99861</v>
      </c>
      <c r="B416" s="126">
        <f>IFERROR(__xludf.DUMMYFUNCTION("""COMPUTED_VALUE"""),74.87845)</f>
        <v>74.87845</v>
      </c>
    </row>
    <row r="417" ht="15.75" customHeight="1">
      <c r="A417" s="159">
        <f>IFERROR(__xludf.DUMMYFUNCTION("""COMPUTED_VALUE"""),44306.99861111111)</f>
        <v>44306.99861</v>
      </c>
      <c r="B417" s="126">
        <f>IFERROR(__xludf.DUMMYFUNCTION("""COMPUTED_VALUE"""),75.44925)</f>
        <v>75.44925</v>
      </c>
    </row>
    <row r="418" ht="15.75" customHeight="1">
      <c r="A418" s="159">
        <f>IFERROR(__xludf.DUMMYFUNCTION("""COMPUTED_VALUE"""),44307.99861111111)</f>
        <v>44307.99861</v>
      </c>
      <c r="B418" s="126">
        <f>IFERROR(__xludf.DUMMYFUNCTION("""COMPUTED_VALUE"""),75.42975)</f>
        <v>75.42975</v>
      </c>
    </row>
    <row r="419" ht="15.75" customHeight="1">
      <c r="A419" s="159">
        <f>IFERROR(__xludf.DUMMYFUNCTION("""COMPUTED_VALUE"""),44308.99861111111)</f>
        <v>44308.99861</v>
      </c>
      <c r="B419" s="126">
        <f>IFERROR(__xludf.DUMMYFUNCTION("""COMPUTED_VALUE"""),75.09195)</f>
        <v>75.09195</v>
      </c>
    </row>
    <row r="420" ht="15.75" customHeight="1">
      <c r="A420" s="159">
        <f>IFERROR(__xludf.DUMMYFUNCTION("""COMPUTED_VALUE"""),44309.99861111111)</f>
        <v>44309.99861</v>
      </c>
      <c r="B420" s="126">
        <f>IFERROR(__xludf.DUMMYFUNCTION("""COMPUTED_VALUE"""),75.219)</f>
        <v>75.219</v>
      </c>
    </row>
    <row r="421" ht="15.75" customHeight="1">
      <c r="A421" s="159">
        <f>IFERROR(__xludf.DUMMYFUNCTION("""COMPUTED_VALUE"""),44310.99861111111)</f>
        <v>44310.99861</v>
      </c>
      <c r="B421" s="126">
        <f>IFERROR(__xludf.DUMMYFUNCTION("""COMPUTED_VALUE"""),74.9305)</f>
        <v>74.9305</v>
      </c>
    </row>
    <row r="422" ht="15.75" customHeight="1">
      <c r="A422" s="159">
        <f>IFERROR(__xludf.DUMMYFUNCTION("""COMPUTED_VALUE"""),44311.99861111111)</f>
        <v>44311.99861</v>
      </c>
      <c r="B422" s="126">
        <f>IFERROR(__xludf.DUMMYFUNCTION("""COMPUTED_VALUE"""),74.86835)</f>
        <v>74.86835</v>
      </c>
    </row>
    <row r="423" ht="15.75" customHeight="1">
      <c r="A423" s="159">
        <f>IFERROR(__xludf.DUMMYFUNCTION("""COMPUTED_VALUE"""),44312.99861111111)</f>
        <v>44312.99861</v>
      </c>
      <c r="B423" s="126">
        <f>IFERROR(__xludf.DUMMYFUNCTION("""COMPUTED_VALUE"""),74.81515)</f>
        <v>74.81515</v>
      </c>
    </row>
    <row r="424" ht="15.75" customHeight="1">
      <c r="A424" s="159">
        <f>IFERROR(__xludf.DUMMYFUNCTION("""COMPUTED_VALUE"""),44313.99861111111)</f>
        <v>44313.99861</v>
      </c>
      <c r="B424" s="126">
        <f>IFERROR(__xludf.DUMMYFUNCTION("""COMPUTED_VALUE"""),74.57505)</f>
        <v>74.57505</v>
      </c>
    </row>
    <row r="425" ht="15.75" customHeight="1">
      <c r="A425" s="159">
        <f>IFERROR(__xludf.DUMMYFUNCTION("""COMPUTED_VALUE"""),44314.99861111111)</f>
        <v>44314.99861</v>
      </c>
      <c r="B425" s="126">
        <f>IFERROR(__xludf.DUMMYFUNCTION("""COMPUTED_VALUE"""),74.31205)</f>
        <v>74.31205</v>
      </c>
    </row>
    <row r="426" ht="15.75" customHeight="1">
      <c r="A426" s="159">
        <f>IFERROR(__xludf.DUMMYFUNCTION("""COMPUTED_VALUE"""),44315.99861111111)</f>
        <v>44315.99861</v>
      </c>
      <c r="B426" s="126">
        <f>IFERROR(__xludf.DUMMYFUNCTION("""COMPUTED_VALUE"""),74.10605)</f>
        <v>74.10605</v>
      </c>
    </row>
    <row r="427" ht="15.75" customHeight="1">
      <c r="A427" s="159">
        <f>IFERROR(__xludf.DUMMYFUNCTION("""COMPUTED_VALUE"""),44316.99861111111)</f>
        <v>44316.99861</v>
      </c>
      <c r="B427" s="126">
        <f>IFERROR(__xludf.DUMMYFUNCTION("""COMPUTED_VALUE"""),74.0955)</f>
        <v>74.0955</v>
      </c>
    </row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2020-07-14T06:26:27Z</dcterms:created>
  <dc:creator>Rishi</dc:creator>
</cp:coreProperties>
</file>